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rp\shares\home\Bachut\My Documents\"/>
    </mc:Choice>
  </mc:AlternateContent>
  <bookViews>
    <workbookView xWindow="285" yWindow="420" windowWidth="12240" windowHeight="6330" tabRatio="896"/>
  </bookViews>
  <sheets>
    <sheet name="FZSF-FZCP" sheetId="40" r:id="rId1"/>
    <sheet name="UCAP Oblig.-ZCP" sheetId="41" r:id="rId2"/>
    <sheet name="Summary" sheetId="7" r:id="rId3"/>
    <sheet name="Pricing Points" sheetId="39" r:id="rId4"/>
    <sheet name="BRA Resource Clearing Results" sheetId="25" r:id="rId5"/>
    <sheet name="BRA Load Pricing Results" sheetId="30" r:id="rId6"/>
    <sheet name="BRA CTRs" sheetId="2" r:id="rId7"/>
    <sheet name="BRA ICTRs" sheetId="3" r:id="rId8"/>
    <sheet name="3rdIA Resource Clearing Results" sheetId="42" r:id="rId9"/>
    <sheet name="3rd IA Load Pricing Results" sheetId="43" r:id="rId10"/>
    <sheet name="3rd IA CTRs" sheetId="44" r:id="rId11"/>
    <sheet name="3rd IA ICTRs" sheetId="45" r:id="rId12"/>
  </sheets>
  <definedNames>
    <definedName name="FPR">'3rd IA Load Pricing Results'!$B$6</definedName>
    <definedName name="OPL_ScalingFactor">'3rd IA Load Pricing Results'!$B$8</definedName>
    <definedName name="ParticipantBuyAndSell">'3rdIA Resource Clearing Results'!$A$25:$E$41</definedName>
    <definedName name="ParticipantNetCleared">'3rdIA Resource Clearing Results'!$A$25:$E$41</definedName>
    <definedName name="PjmNetCleared">'3rdIA Resource Clearing Results'!$A$44:$D$60</definedName>
    <definedName name="_xlnm.Print_Area" localSheetId="11">'3rd IA ICTRs'!$A$1:$M$77</definedName>
    <definedName name="_xlnm.Print_Area" localSheetId="6">'BRA CTRs'!$A$1:$AH$50</definedName>
    <definedName name="_xlnm.Print_Area" localSheetId="7">'BRA ICTRs'!$A$1:$AK$100</definedName>
    <definedName name="_xlnm.Print_Area" localSheetId="2">Summary!#REF!</definedName>
  </definedNames>
  <calcPr calcId="162913"/>
</workbook>
</file>

<file path=xl/calcChain.xml><?xml version="1.0" encoding="utf-8"?>
<calcChain xmlns="http://schemas.openxmlformats.org/spreadsheetml/2006/main">
  <c r="C4" i="40" l="1"/>
  <c r="F43" i="43" l="1"/>
  <c r="F44" i="43" l="1"/>
  <c r="F45" i="43"/>
  <c r="F46" i="43"/>
  <c r="F47" i="43"/>
  <c r="F48" i="43"/>
  <c r="F49" i="43"/>
  <c r="F50" i="43"/>
  <c r="F51" i="43"/>
  <c r="F52" i="43"/>
  <c r="F53" i="43"/>
  <c r="F54" i="43"/>
  <c r="F55" i="43"/>
  <c r="F56" i="43"/>
  <c r="F57" i="43"/>
  <c r="F58" i="43"/>
  <c r="F59" i="43"/>
  <c r="F60" i="43"/>
  <c r="F61" i="43"/>
  <c r="F62" i="43"/>
  <c r="F63" i="43"/>
  <c r="AC25" i="44" l="1"/>
  <c r="AC26" i="44"/>
  <c r="AC27" i="44"/>
  <c r="AC28" i="44"/>
  <c r="AC29" i="44"/>
  <c r="AC30" i="44"/>
  <c r="AC31" i="44"/>
  <c r="AC32" i="44"/>
  <c r="AC34" i="44"/>
  <c r="AC35" i="44"/>
  <c r="AC36" i="44"/>
  <c r="AC37" i="44"/>
  <c r="AC38" i="44"/>
  <c r="AC39" i="44"/>
  <c r="AC40" i="44"/>
  <c r="AC41" i="44"/>
  <c r="AC42" i="44"/>
  <c r="AC43" i="44"/>
  <c r="AC44" i="44"/>
  <c r="AC24" i="44"/>
  <c r="H64" i="43" l="1"/>
  <c r="D15" i="30" l="1"/>
  <c r="E14" i="45" l="1"/>
  <c r="D14" i="45"/>
  <c r="B14" i="45"/>
  <c r="N14" i="45"/>
  <c r="M14" i="45"/>
  <c r="L14" i="45"/>
  <c r="K14" i="45"/>
  <c r="J14" i="45"/>
  <c r="I14" i="45"/>
  <c r="H14" i="45"/>
  <c r="G14" i="45"/>
  <c r="F14" i="45"/>
  <c r="E6" i="44" l="1"/>
  <c r="E7" i="44"/>
  <c r="E8" i="44"/>
  <c r="E9" i="44"/>
  <c r="E10" i="44"/>
  <c r="E11" i="44"/>
  <c r="E12" i="44"/>
  <c r="E13" i="44"/>
  <c r="E14" i="44"/>
  <c r="E15" i="44"/>
  <c r="E16" i="44"/>
  <c r="E17" i="44"/>
  <c r="E5" i="44"/>
  <c r="B99" i="42" l="1"/>
  <c r="C78" i="42" l="1"/>
  <c r="C76" i="42"/>
  <c r="C79" i="42"/>
  <c r="D60" i="42"/>
  <c r="C61" i="7" s="1"/>
  <c r="C64" i="42" l="1"/>
  <c r="C73" i="42"/>
  <c r="C71" i="42"/>
  <c r="C70" i="42"/>
  <c r="C69" i="42"/>
  <c r="C77" i="42"/>
  <c r="C75" i="42"/>
  <c r="C74" i="42"/>
  <c r="C118" i="42"/>
  <c r="D118" i="42" s="1"/>
  <c r="B98" i="42" l="1"/>
  <c r="B97" i="42"/>
  <c r="B96" i="42"/>
  <c r="B95" i="42"/>
  <c r="B94" i="42"/>
  <c r="B93" i="42"/>
  <c r="B91" i="42"/>
  <c r="B90" i="42"/>
  <c r="B89" i="42"/>
  <c r="C116" i="42"/>
  <c r="D116" i="42" s="1"/>
  <c r="C108" i="42"/>
  <c r="D108" i="42" s="1"/>
  <c r="B20" i="42"/>
  <c r="D20" i="42" s="1"/>
  <c r="F79" i="42" s="1"/>
  <c r="I100" i="42"/>
  <c r="H100" i="42"/>
  <c r="F100" i="42"/>
  <c r="E100" i="42"/>
  <c r="D100" i="42"/>
  <c r="C67" i="42"/>
  <c r="C117" i="42"/>
  <c r="D117" i="42" s="1"/>
  <c r="C115" i="42"/>
  <c r="D115" i="42" s="1"/>
  <c r="C114" i="42"/>
  <c r="D114" i="42" s="1"/>
  <c r="C113" i="42"/>
  <c r="D113" i="42" s="1"/>
  <c r="C112" i="42"/>
  <c r="D112" i="42" s="1"/>
  <c r="C111" i="42"/>
  <c r="D111" i="42" s="1"/>
  <c r="B13" i="42"/>
  <c r="D13" i="42" s="1"/>
  <c r="C110" i="42"/>
  <c r="D110" i="42" s="1"/>
  <c r="B12" i="42"/>
  <c r="C109" i="42"/>
  <c r="D109" i="42" s="1"/>
  <c r="C107" i="42"/>
  <c r="D107" i="42" s="1"/>
  <c r="C106" i="42"/>
  <c r="D106" i="42" s="1"/>
  <c r="C105" i="42"/>
  <c r="D105" i="42" s="1"/>
  <c r="C104" i="42"/>
  <c r="D104" i="42" s="1"/>
  <c r="B18" i="42"/>
  <c r="N47" i="45"/>
  <c r="M47" i="45"/>
  <c r="L47" i="45"/>
  <c r="G16" i="44" s="1"/>
  <c r="K47" i="45"/>
  <c r="G13" i="44" s="1"/>
  <c r="J47" i="45"/>
  <c r="G10" i="44" s="1"/>
  <c r="I47" i="45"/>
  <c r="H47" i="45"/>
  <c r="G9" i="44" s="1"/>
  <c r="G47" i="45"/>
  <c r="F47" i="45"/>
  <c r="E47" i="45"/>
  <c r="G7" i="44" s="1"/>
  <c r="D47" i="45"/>
  <c r="G6" i="44" s="1"/>
  <c r="B47" i="45"/>
  <c r="N33" i="45"/>
  <c r="M33" i="45"/>
  <c r="H12" i="44" s="1"/>
  <c r="L33" i="45"/>
  <c r="K33" i="45"/>
  <c r="J33" i="45"/>
  <c r="I33" i="45"/>
  <c r="H9" i="44" s="1"/>
  <c r="H33" i="45"/>
  <c r="G33" i="45"/>
  <c r="F33" i="45"/>
  <c r="F49" i="45" s="1"/>
  <c r="E33" i="45"/>
  <c r="E49" i="45" s="1"/>
  <c r="D33" i="45"/>
  <c r="B33" i="45"/>
  <c r="AA44" i="44"/>
  <c r="Y44" i="44"/>
  <c r="W44" i="44"/>
  <c r="U44" i="44"/>
  <c r="S44" i="44"/>
  <c r="Q44" i="44"/>
  <c r="O44" i="44"/>
  <c r="M44" i="44"/>
  <c r="K44" i="44"/>
  <c r="I44" i="44"/>
  <c r="AA43" i="44"/>
  <c r="Y43" i="44"/>
  <c r="W43" i="44"/>
  <c r="U43" i="44"/>
  <c r="S43" i="44"/>
  <c r="Q43" i="44"/>
  <c r="O43" i="44"/>
  <c r="M43" i="44"/>
  <c r="I43" i="44"/>
  <c r="AA42" i="44"/>
  <c r="Y42" i="44"/>
  <c r="U42" i="44"/>
  <c r="S42" i="44"/>
  <c r="Q42" i="44"/>
  <c r="O42" i="44"/>
  <c r="M42" i="44"/>
  <c r="K42" i="44"/>
  <c r="I42" i="44"/>
  <c r="G42" i="44"/>
  <c r="AA41" i="44"/>
  <c r="Y41" i="44"/>
  <c r="W41" i="44"/>
  <c r="U41" i="44"/>
  <c r="S41" i="44"/>
  <c r="Q41" i="44"/>
  <c r="M41" i="44"/>
  <c r="K41" i="44"/>
  <c r="G41" i="44"/>
  <c r="AA40" i="44"/>
  <c r="Y40" i="44"/>
  <c r="W40" i="44"/>
  <c r="U40" i="44"/>
  <c r="S40" i="44"/>
  <c r="Q40" i="44"/>
  <c r="O40" i="44"/>
  <c r="M40" i="44"/>
  <c r="K40" i="44"/>
  <c r="I40" i="44"/>
  <c r="G40" i="44"/>
  <c r="AA39" i="44"/>
  <c r="Y39" i="44"/>
  <c r="W39" i="44"/>
  <c r="U39" i="44"/>
  <c r="S39" i="44"/>
  <c r="Q39" i="44"/>
  <c r="O39" i="44"/>
  <c r="M39" i="44"/>
  <c r="K39" i="44"/>
  <c r="I39" i="44"/>
  <c r="AA38" i="44"/>
  <c r="Y38" i="44"/>
  <c r="W38" i="44"/>
  <c r="U38" i="44"/>
  <c r="S38" i="44"/>
  <c r="Q38" i="44"/>
  <c r="O38" i="44"/>
  <c r="M38" i="44"/>
  <c r="K38" i="44"/>
  <c r="I38" i="44"/>
  <c r="G38" i="44"/>
  <c r="E38" i="44"/>
  <c r="AA37" i="44"/>
  <c r="Y37" i="44"/>
  <c r="W37" i="44"/>
  <c r="U37" i="44"/>
  <c r="S37" i="44"/>
  <c r="Q37" i="44"/>
  <c r="O37" i="44"/>
  <c r="M37" i="44"/>
  <c r="K37" i="44"/>
  <c r="I37" i="44"/>
  <c r="G37" i="44"/>
  <c r="AA36" i="44"/>
  <c r="Y36" i="44"/>
  <c r="W36" i="44"/>
  <c r="U36" i="44"/>
  <c r="S36" i="44"/>
  <c r="Q36" i="44"/>
  <c r="O36" i="44"/>
  <c r="M36" i="44"/>
  <c r="K36" i="44"/>
  <c r="I36" i="44"/>
  <c r="AA35" i="44"/>
  <c r="Y35" i="44"/>
  <c r="W35" i="44"/>
  <c r="U35" i="44"/>
  <c r="S35" i="44"/>
  <c r="Q35" i="44"/>
  <c r="O35" i="44"/>
  <c r="M35" i="44"/>
  <c r="K35" i="44"/>
  <c r="I35" i="44"/>
  <c r="G35" i="44"/>
  <c r="E35" i="44"/>
  <c r="AA34" i="44"/>
  <c r="Y34" i="44"/>
  <c r="W34" i="44"/>
  <c r="U34" i="44"/>
  <c r="S34" i="44"/>
  <c r="Q34" i="44"/>
  <c r="O34" i="44"/>
  <c r="K34" i="44"/>
  <c r="I34" i="44"/>
  <c r="AA33" i="44"/>
  <c r="Y33" i="44"/>
  <c r="W33" i="44"/>
  <c r="U33" i="44"/>
  <c r="S33" i="44"/>
  <c r="Q33" i="44"/>
  <c r="O33" i="44"/>
  <c r="M33" i="44"/>
  <c r="K33" i="44"/>
  <c r="I33" i="44"/>
  <c r="G33" i="44"/>
  <c r="E33" i="44"/>
  <c r="AA32" i="44"/>
  <c r="Y32" i="44"/>
  <c r="W32" i="44"/>
  <c r="U32" i="44"/>
  <c r="S32" i="44"/>
  <c r="Q32" i="44"/>
  <c r="O32" i="44"/>
  <c r="M32" i="44"/>
  <c r="K32" i="44"/>
  <c r="I32" i="44"/>
  <c r="G32" i="44"/>
  <c r="E32" i="44"/>
  <c r="Y31" i="44"/>
  <c r="W31" i="44"/>
  <c r="U31" i="44"/>
  <c r="S31" i="44"/>
  <c r="Q31" i="44"/>
  <c r="O31" i="44"/>
  <c r="M31" i="44"/>
  <c r="K31" i="44"/>
  <c r="I31" i="44"/>
  <c r="G31" i="44"/>
  <c r="E31" i="44"/>
  <c r="AA30" i="44"/>
  <c r="W30" i="44"/>
  <c r="U30" i="44"/>
  <c r="S30" i="44"/>
  <c r="Q30" i="44"/>
  <c r="O30" i="44"/>
  <c r="M30" i="44"/>
  <c r="K30" i="44"/>
  <c r="I30" i="44"/>
  <c r="G30" i="44"/>
  <c r="E30" i="44"/>
  <c r="AA29" i="44"/>
  <c r="Y29" i="44"/>
  <c r="W29" i="44"/>
  <c r="U29" i="44"/>
  <c r="Q29" i="44"/>
  <c r="O29" i="44"/>
  <c r="M29" i="44"/>
  <c r="K29" i="44"/>
  <c r="I29" i="44"/>
  <c r="G29" i="44"/>
  <c r="E29" i="44"/>
  <c r="AA28" i="44"/>
  <c r="Y28" i="44"/>
  <c r="W28" i="44"/>
  <c r="S28" i="44"/>
  <c r="Q28" i="44"/>
  <c r="O28" i="44"/>
  <c r="M28" i="44"/>
  <c r="K28" i="44"/>
  <c r="G28" i="44"/>
  <c r="AA27" i="44"/>
  <c r="Y27" i="44"/>
  <c r="W27" i="44"/>
  <c r="U27" i="44"/>
  <c r="S27" i="44"/>
  <c r="O27" i="44"/>
  <c r="M27" i="44"/>
  <c r="K27" i="44"/>
  <c r="I27" i="44"/>
  <c r="G27" i="44"/>
  <c r="E27" i="44"/>
  <c r="AA26" i="44"/>
  <c r="Y26" i="44"/>
  <c r="W26" i="44"/>
  <c r="U26" i="44"/>
  <c r="S26" i="44"/>
  <c r="Q26" i="44"/>
  <c r="O26" i="44"/>
  <c r="M26" i="44"/>
  <c r="K26" i="44"/>
  <c r="I26" i="44"/>
  <c r="G26" i="44"/>
  <c r="E26" i="44"/>
  <c r="AA25" i="44"/>
  <c r="Y25" i="44"/>
  <c r="W25" i="44"/>
  <c r="U25" i="44"/>
  <c r="S25" i="44"/>
  <c r="Q25" i="44"/>
  <c r="O25" i="44"/>
  <c r="M25" i="44"/>
  <c r="K25" i="44"/>
  <c r="I25" i="44"/>
  <c r="G25" i="44"/>
  <c r="E25" i="44"/>
  <c r="AA24" i="44"/>
  <c r="Y24" i="44"/>
  <c r="W24" i="44"/>
  <c r="U24" i="44"/>
  <c r="S24" i="44"/>
  <c r="Q24" i="44"/>
  <c r="O24" i="44"/>
  <c r="M24" i="44"/>
  <c r="K24" i="44"/>
  <c r="I24" i="44"/>
  <c r="H16" i="44"/>
  <c r="H13" i="44"/>
  <c r="H8" i="44"/>
  <c r="H7" i="44"/>
  <c r="H6" i="44"/>
  <c r="G64" i="43"/>
  <c r="E64" i="43"/>
  <c r="D45" i="42" l="1"/>
  <c r="C46" i="7" s="1"/>
  <c r="D26" i="42"/>
  <c r="K49" i="45"/>
  <c r="J49" i="45"/>
  <c r="B49" i="45"/>
  <c r="G12" i="44"/>
  <c r="M49" i="45"/>
  <c r="H49" i="45"/>
  <c r="I49" i="45"/>
  <c r="N49" i="45"/>
  <c r="G49" i="45"/>
  <c r="AE26" i="44"/>
  <c r="AH26" i="44" s="1"/>
  <c r="AE35" i="44"/>
  <c r="AH35" i="44" s="1"/>
  <c r="AE32" i="44"/>
  <c r="AH32" i="44" s="1"/>
  <c r="AE38" i="44"/>
  <c r="AH38" i="44" s="1"/>
  <c r="AE25" i="44"/>
  <c r="AH25" i="44" s="1"/>
  <c r="C99" i="42"/>
  <c r="D52" i="42"/>
  <c r="C53" i="7" s="1"/>
  <c r="D59" i="42"/>
  <c r="C60" i="7" s="1"/>
  <c r="B86" i="42"/>
  <c r="D55" i="42"/>
  <c r="C56" i="7" s="1"/>
  <c r="D27" i="42"/>
  <c r="B68" i="42"/>
  <c r="D18" i="42"/>
  <c r="D56" i="42"/>
  <c r="C57" i="7" s="1"/>
  <c r="B84" i="42"/>
  <c r="B87" i="42"/>
  <c r="C65" i="42"/>
  <c r="C68" i="42"/>
  <c r="D57" i="42"/>
  <c r="C58" i="7" s="1"/>
  <c r="D58" i="42"/>
  <c r="C59" i="7" s="1"/>
  <c r="D12" i="42"/>
  <c r="C66" i="42"/>
  <c r="C72" i="42"/>
  <c r="F72" i="42" s="1"/>
  <c r="B92" i="42"/>
  <c r="C92" i="42" s="1"/>
  <c r="D53" i="42"/>
  <c r="C54" i="7" s="1"/>
  <c r="D51" i="42"/>
  <c r="C52" i="7" s="1"/>
  <c r="D54" i="42"/>
  <c r="C55" i="7" s="1"/>
  <c r="B85" i="42"/>
  <c r="B88" i="42"/>
  <c r="D119" i="42"/>
  <c r="D49" i="42"/>
  <c r="C50" i="7" s="1"/>
  <c r="B8" i="42"/>
  <c r="D8" i="42" s="1"/>
  <c r="B16" i="42"/>
  <c r="D16" i="42" s="1"/>
  <c r="D5" i="42"/>
  <c r="B11" i="42"/>
  <c r="D11" i="42" s="1"/>
  <c r="B19" i="42"/>
  <c r="D19" i="42" s="1"/>
  <c r="D50" i="42"/>
  <c r="C51" i="7" s="1"/>
  <c r="B6" i="42"/>
  <c r="D6" i="42" s="1"/>
  <c r="B14" i="42"/>
  <c r="D14" i="42" s="1"/>
  <c r="B9" i="42"/>
  <c r="D9" i="42" s="1"/>
  <c r="B17" i="42"/>
  <c r="D17" i="42" s="1"/>
  <c r="B7" i="42"/>
  <c r="D7" i="42" s="1"/>
  <c r="B15" i="42"/>
  <c r="D15" i="42" s="1"/>
  <c r="B10" i="42"/>
  <c r="D10" i="42" s="1"/>
  <c r="H10" i="44"/>
  <c r="D49" i="45"/>
  <c r="L49" i="45"/>
  <c r="D40" i="42" l="1"/>
  <c r="B76" i="42"/>
  <c r="C80" i="42"/>
  <c r="B69" i="42"/>
  <c r="B77" i="42"/>
  <c r="E77" i="42" s="1"/>
  <c r="D29" i="42"/>
  <c r="C28" i="7" s="1"/>
  <c r="D28" i="42"/>
  <c r="C27" i="7" s="1"/>
  <c r="B78" i="42"/>
  <c r="E78" i="42" s="1"/>
  <c r="C98" i="42"/>
  <c r="C25" i="7"/>
  <c r="D78" i="42"/>
  <c r="C26" i="7"/>
  <c r="B79" i="42"/>
  <c r="D41" i="42"/>
  <c r="J32" i="43"/>
  <c r="D36" i="42"/>
  <c r="B74" i="42"/>
  <c r="E74" i="42" s="1"/>
  <c r="D38" i="42"/>
  <c r="E76" i="42"/>
  <c r="D37" i="42"/>
  <c r="B75" i="42"/>
  <c r="E75" i="42" s="1"/>
  <c r="D33" i="42"/>
  <c r="B71" i="42"/>
  <c r="E71" i="42" s="1"/>
  <c r="D48" i="42"/>
  <c r="C49" i="7" s="1"/>
  <c r="B73" i="42"/>
  <c r="E73" i="42" s="1"/>
  <c r="D32" i="42"/>
  <c r="B70" i="42"/>
  <c r="E70" i="42" s="1"/>
  <c r="F64" i="42"/>
  <c r="F71" i="42"/>
  <c r="D39" i="42"/>
  <c r="B65" i="42"/>
  <c r="E65" i="42" s="1"/>
  <c r="D35" i="42"/>
  <c r="C34" i="7" s="1"/>
  <c r="D31" i="42"/>
  <c r="C30" i="7" s="1"/>
  <c r="B67" i="42"/>
  <c r="E67" i="42" s="1"/>
  <c r="D46" i="42"/>
  <c r="C47" i="7" s="1"/>
  <c r="C91" i="42"/>
  <c r="C93" i="42"/>
  <c r="C90" i="42"/>
  <c r="C85" i="42"/>
  <c r="C96" i="42"/>
  <c r="F75" i="42"/>
  <c r="C97" i="42"/>
  <c r="F69" i="42"/>
  <c r="F68" i="42"/>
  <c r="F78" i="42"/>
  <c r="F65" i="42"/>
  <c r="F66" i="42"/>
  <c r="F74" i="42"/>
  <c r="F76" i="42"/>
  <c r="F77" i="42"/>
  <c r="B100" i="42"/>
  <c r="C88" i="42"/>
  <c r="C84" i="42"/>
  <c r="C95" i="42"/>
  <c r="C89" i="42"/>
  <c r="C94" i="42"/>
  <c r="C87" i="42"/>
  <c r="F73" i="42"/>
  <c r="F70" i="42"/>
  <c r="F67" i="42"/>
  <c r="C86" i="42"/>
  <c r="D47" i="42"/>
  <c r="C48" i="7" s="1"/>
  <c r="B64" i="42" l="1"/>
  <c r="E64" i="42" s="1"/>
  <c r="G64" i="42" s="1"/>
  <c r="C39" i="7"/>
  <c r="E69" i="42"/>
  <c r="G69" i="42" s="1"/>
  <c r="G71" i="42"/>
  <c r="F80" i="42"/>
  <c r="E79" i="42"/>
  <c r="G79" i="42" s="1"/>
  <c r="E68" i="42"/>
  <c r="G68" i="42" s="1"/>
  <c r="B72" i="42"/>
  <c r="E72" i="42" s="1"/>
  <c r="G72" i="42" s="1"/>
  <c r="D71" i="42"/>
  <c r="C32" i="7"/>
  <c r="D67" i="42"/>
  <c r="D79" i="42"/>
  <c r="C40" i="7"/>
  <c r="C36" i="7"/>
  <c r="D70" i="42"/>
  <c r="C31" i="7"/>
  <c r="D76" i="42"/>
  <c r="C37" i="7"/>
  <c r="D65" i="42"/>
  <c r="D77" i="42"/>
  <c r="C38" i="7"/>
  <c r="D74" i="42"/>
  <c r="C35" i="7"/>
  <c r="D73" i="42"/>
  <c r="D75" i="42"/>
  <c r="D34" i="42"/>
  <c r="D64" i="42" s="1"/>
  <c r="D69" i="42"/>
  <c r="G70" i="42"/>
  <c r="B66" i="42"/>
  <c r="E66" i="42" s="1"/>
  <c r="G66" i="42" s="1"/>
  <c r="D30" i="42"/>
  <c r="G73" i="42"/>
  <c r="G65" i="42"/>
  <c r="G78" i="42"/>
  <c r="G74" i="42"/>
  <c r="G67" i="42"/>
  <c r="G75" i="42"/>
  <c r="G76" i="42"/>
  <c r="G77" i="42"/>
  <c r="C100" i="42"/>
  <c r="G100" i="42"/>
  <c r="B80" i="42" l="1"/>
  <c r="G80" i="42"/>
  <c r="E80" i="42"/>
  <c r="C33" i="7"/>
  <c r="D72" i="42"/>
  <c r="D68" i="42"/>
  <c r="C29" i="7"/>
  <c r="D66" i="42"/>
  <c r="D80" i="42" l="1"/>
  <c r="E41" i="30" l="1"/>
  <c r="E43" i="30"/>
  <c r="N14" i="3" l="1"/>
  <c r="M14" i="3"/>
  <c r="L14" i="3"/>
  <c r="K14" i="3"/>
  <c r="J14" i="3"/>
  <c r="I14" i="3"/>
  <c r="H14" i="3"/>
  <c r="G14" i="3"/>
  <c r="F14" i="3"/>
  <c r="E14" i="3"/>
  <c r="D14" i="3"/>
  <c r="B14" i="3"/>
  <c r="AC25" i="2" l="1"/>
  <c r="AC26" i="2"/>
  <c r="AC27" i="2"/>
  <c r="AC28" i="2"/>
  <c r="AC29" i="2"/>
  <c r="AC30" i="2"/>
  <c r="AC31" i="2"/>
  <c r="AC32" i="2"/>
  <c r="AC34" i="2"/>
  <c r="AC35" i="2"/>
  <c r="AC36" i="2"/>
  <c r="AC37" i="2"/>
  <c r="AC38" i="2"/>
  <c r="AC39" i="2"/>
  <c r="AC40" i="2"/>
  <c r="AC41" i="2"/>
  <c r="AC42" i="2"/>
  <c r="AC43" i="2"/>
  <c r="AC44" i="2"/>
  <c r="AC24" i="2"/>
  <c r="D23" i="30" l="1"/>
  <c r="AD22" i="2" l="1"/>
  <c r="AD25" i="2" l="1"/>
  <c r="AD24" i="2"/>
  <c r="AD26" i="2"/>
  <c r="AD29" i="2"/>
  <c r="E17" i="2"/>
  <c r="AD30" i="2" l="1"/>
  <c r="AD27" i="2"/>
  <c r="AD32" i="2"/>
  <c r="AD28" i="2"/>
  <c r="C102" i="25"/>
  <c r="D102" i="25" s="1"/>
  <c r="F84" i="25"/>
  <c r="E84" i="25"/>
  <c r="D84" i="25"/>
  <c r="B83" i="25"/>
  <c r="B82" i="25"/>
  <c r="B68" i="25" l="1"/>
  <c r="B47" i="25"/>
  <c r="B61" i="25"/>
  <c r="B62" i="25"/>
  <c r="AD35" i="2"/>
  <c r="AD31" i="2"/>
  <c r="AD36" i="2"/>
  <c r="B55" i="25"/>
  <c r="E42" i="25"/>
  <c r="C62" i="25" s="1"/>
  <c r="F42" i="25" l="1"/>
  <c r="D62" i="25"/>
  <c r="C17" i="2" s="1"/>
  <c r="AD39" i="2"/>
  <c r="AD42" i="2"/>
  <c r="AD38" i="2"/>
  <c r="AD34" i="2"/>
  <c r="E61" i="30"/>
  <c r="E60" i="30"/>
  <c r="E59" i="30"/>
  <c r="E58" i="30"/>
  <c r="E57" i="30"/>
  <c r="E56" i="30"/>
  <c r="E55" i="30"/>
  <c r="E54" i="30"/>
  <c r="E53" i="30"/>
  <c r="E51" i="30"/>
  <c r="E50" i="30"/>
  <c r="E49" i="30"/>
  <c r="E48" i="30"/>
  <c r="E47" i="30"/>
  <c r="E46" i="30"/>
  <c r="E45" i="30"/>
  <c r="E44" i="30"/>
  <c r="E42" i="30"/>
  <c r="B40" i="7" l="1"/>
  <c r="C17" i="44"/>
  <c r="AD41" i="2"/>
  <c r="AD44" i="2"/>
  <c r="AD37" i="2"/>
  <c r="AA44" i="2"/>
  <c r="Y44" i="2"/>
  <c r="W44" i="2"/>
  <c r="U44" i="2"/>
  <c r="S44" i="2"/>
  <c r="Q44" i="2"/>
  <c r="O44" i="2"/>
  <c r="M44" i="2"/>
  <c r="K44" i="2"/>
  <c r="I44" i="2"/>
  <c r="AA43" i="2"/>
  <c r="Y43" i="2"/>
  <c r="W43" i="2"/>
  <c r="U43" i="2"/>
  <c r="S43" i="2"/>
  <c r="Q43" i="2"/>
  <c r="O43" i="2"/>
  <c r="M43" i="2"/>
  <c r="I43" i="2"/>
  <c r="AA42" i="2"/>
  <c r="Y42" i="2"/>
  <c r="U42" i="2"/>
  <c r="S42" i="2"/>
  <c r="Q42" i="2"/>
  <c r="O42" i="2"/>
  <c r="M42" i="2"/>
  <c r="K42" i="2"/>
  <c r="I42" i="2"/>
  <c r="G42" i="2"/>
  <c r="AA41" i="2"/>
  <c r="Y41" i="2"/>
  <c r="W41" i="2"/>
  <c r="U41" i="2"/>
  <c r="S41" i="2"/>
  <c r="Q41" i="2"/>
  <c r="M41" i="2"/>
  <c r="K41" i="2"/>
  <c r="G41" i="2"/>
  <c r="AA40" i="2"/>
  <c r="Y40" i="2"/>
  <c r="W40" i="2"/>
  <c r="U40" i="2"/>
  <c r="S40" i="2"/>
  <c r="Q40" i="2"/>
  <c r="O40" i="2"/>
  <c r="M40" i="2"/>
  <c r="K40" i="2"/>
  <c r="I40" i="2"/>
  <c r="G40" i="2"/>
  <c r="AA39" i="2"/>
  <c r="Y39" i="2"/>
  <c r="W39" i="2"/>
  <c r="U39" i="2"/>
  <c r="S39" i="2"/>
  <c r="Q39" i="2"/>
  <c r="O39" i="2"/>
  <c r="M39" i="2"/>
  <c r="K39" i="2"/>
  <c r="I39" i="2"/>
  <c r="AA38" i="2"/>
  <c r="Y38" i="2"/>
  <c r="W38" i="2"/>
  <c r="U38" i="2"/>
  <c r="S38" i="2"/>
  <c r="Q38" i="2"/>
  <c r="O38" i="2"/>
  <c r="M38" i="2"/>
  <c r="K38" i="2"/>
  <c r="I38" i="2"/>
  <c r="G38" i="2"/>
  <c r="E38" i="2"/>
  <c r="AA37" i="2"/>
  <c r="Y37" i="2"/>
  <c r="W37" i="2"/>
  <c r="U37" i="2"/>
  <c r="S37" i="2"/>
  <c r="Q37" i="2"/>
  <c r="O37" i="2"/>
  <c r="M37" i="2"/>
  <c r="K37" i="2"/>
  <c r="I37" i="2"/>
  <c r="G37" i="2"/>
  <c r="AA36" i="2"/>
  <c r="Y36" i="2"/>
  <c r="W36" i="2"/>
  <c r="U36" i="2"/>
  <c r="S36" i="2"/>
  <c r="Q36" i="2"/>
  <c r="O36" i="2"/>
  <c r="M36" i="2"/>
  <c r="K36" i="2"/>
  <c r="I36" i="2"/>
  <c r="AA35" i="2"/>
  <c r="Y35" i="2"/>
  <c r="W35" i="2"/>
  <c r="U35" i="2"/>
  <c r="S35" i="2"/>
  <c r="Q35" i="2"/>
  <c r="O35" i="2"/>
  <c r="M35" i="2"/>
  <c r="K35" i="2"/>
  <c r="I35" i="2"/>
  <c r="G35" i="2"/>
  <c r="E35" i="2"/>
  <c r="AA34" i="2"/>
  <c r="Y34" i="2"/>
  <c r="W34" i="2"/>
  <c r="U34" i="2"/>
  <c r="S34" i="2"/>
  <c r="Q34" i="2"/>
  <c r="O34" i="2"/>
  <c r="K34" i="2"/>
  <c r="I34" i="2"/>
  <c r="AA33" i="2"/>
  <c r="Y33" i="2"/>
  <c r="W33" i="2"/>
  <c r="U33" i="2"/>
  <c r="S33" i="2"/>
  <c r="Q33" i="2"/>
  <c r="O33" i="2"/>
  <c r="M33" i="2"/>
  <c r="K33" i="2"/>
  <c r="I33" i="2"/>
  <c r="G33" i="2"/>
  <c r="E33" i="2"/>
  <c r="AA32" i="2"/>
  <c r="Y32" i="2"/>
  <c r="W32" i="2"/>
  <c r="U32" i="2"/>
  <c r="S32" i="2"/>
  <c r="Q32" i="2"/>
  <c r="O32" i="2"/>
  <c r="M32" i="2"/>
  <c r="K32" i="2"/>
  <c r="I32" i="2"/>
  <c r="G32" i="2"/>
  <c r="E32" i="2"/>
  <c r="Y31" i="2"/>
  <c r="W31" i="2"/>
  <c r="U31" i="2"/>
  <c r="S31" i="2"/>
  <c r="Q31" i="2"/>
  <c r="O31" i="2"/>
  <c r="M31" i="2"/>
  <c r="K31" i="2"/>
  <c r="I31" i="2"/>
  <c r="G31" i="2"/>
  <c r="E31" i="2"/>
  <c r="AA30" i="2"/>
  <c r="W30" i="2"/>
  <c r="U30" i="2"/>
  <c r="S30" i="2"/>
  <c r="Q30" i="2"/>
  <c r="O30" i="2"/>
  <c r="M30" i="2"/>
  <c r="K30" i="2"/>
  <c r="I30" i="2"/>
  <c r="G30" i="2"/>
  <c r="E30" i="2"/>
  <c r="AA29" i="2"/>
  <c r="Y29" i="2"/>
  <c r="W29" i="2"/>
  <c r="U29" i="2"/>
  <c r="Q29" i="2"/>
  <c r="O29" i="2"/>
  <c r="M29" i="2"/>
  <c r="K29" i="2"/>
  <c r="I29" i="2"/>
  <c r="G29" i="2"/>
  <c r="E29" i="2"/>
  <c r="AA28" i="2"/>
  <c r="Y28" i="2"/>
  <c r="W28" i="2"/>
  <c r="S28" i="2"/>
  <c r="Q28" i="2"/>
  <c r="O28" i="2"/>
  <c r="M28" i="2"/>
  <c r="K28" i="2"/>
  <c r="G28" i="2"/>
  <c r="AA27" i="2"/>
  <c r="Y27" i="2"/>
  <c r="W27" i="2"/>
  <c r="U27" i="2"/>
  <c r="S27" i="2"/>
  <c r="O27" i="2"/>
  <c r="M27" i="2"/>
  <c r="K27" i="2"/>
  <c r="I27" i="2"/>
  <c r="G27" i="2"/>
  <c r="E27" i="2"/>
  <c r="AA26" i="2"/>
  <c r="Y26" i="2"/>
  <c r="W26" i="2"/>
  <c r="U26" i="2"/>
  <c r="S26" i="2"/>
  <c r="Q26" i="2"/>
  <c r="O26" i="2"/>
  <c r="M26" i="2"/>
  <c r="K26" i="2"/>
  <c r="I26" i="2"/>
  <c r="G26" i="2"/>
  <c r="E26" i="2"/>
  <c r="AA25" i="2"/>
  <c r="Y25" i="2"/>
  <c r="W25" i="2"/>
  <c r="U25" i="2"/>
  <c r="S25" i="2"/>
  <c r="Q25" i="2"/>
  <c r="O25" i="2"/>
  <c r="M25" i="2"/>
  <c r="K25" i="2"/>
  <c r="I25" i="2"/>
  <c r="G25" i="2"/>
  <c r="E25" i="2"/>
  <c r="AA24" i="2"/>
  <c r="Y24" i="2"/>
  <c r="W24" i="2"/>
  <c r="U24" i="2"/>
  <c r="S24" i="2"/>
  <c r="Q24" i="2"/>
  <c r="O24" i="2"/>
  <c r="M24" i="2"/>
  <c r="K24" i="2"/>
  <c r="I24" i="2"/>
  <c r="AE38" i="2" l="1"/>
  <c r="AH38" i="2" s="1"/>
  <c r="AE25" i="2"/>
  <c r="AH25" i="2" s="1"/>
  <c r="AE26" i="2"/>
  <c r="AH26" i="2" s="1"/>
  <c r="AE32" i="2"/>
  <c r="AH32" i="2" s="1"/>
  <c r="AE35" i="2"/>
  <c r="AH35" i="2" s="1"/>
  <c r="AD40" i="2"/>
  <c r="AD43" i="2"/>
  <c r="E16" i="2" l="1"/>
  <c r="E15" i="2"/>
  <c r="E14" i="2"/>
  <c r="E13" i="2"/>
  <c r="E12" i="2"/>
  <c r="E10" i="2"/>
  <c r="E7" i="2"/>
  <c r="E6" i="2"/>
  <c r="E5" i="2"/>
  <c r="G62" i="30"/>
  <c r="D13" i="30"/>
  <c r="B81" i="25"/>
  <c r="B60" i="25"/>
  <c r="B80" i="25"/>
  <c r="B59" i="25"/>
  <c r="B79" i="25"/>
  <c r="B58" i="25"/>
  <c r="B78" i="25"/>
  <c r="B57" i="25"/>
  <c r="B77" i="25"/>
  <c r="B56" i="25"/>
  <c r="B75" i="25"/>
  <c r="B74" i="25"/>
  <c r="B53" i="25"/>
  <c r="C33" i="43" s="1"/>
  <c r="B73" i="25"/>
  <c r="B52" i="25"/>
  <c r="B71" i="25"/>
  <c r="AB22" i="2"/>
  <c r="G16" i="2" s="1"/>
  <c r="Z22" i="2"/>
  <c r="X22" i="2"/>
  <c r="V22" i="2"/>
  <c r="G13" i="2" s="1"/>
  <c r="T22" i="2"/>
  <c r="G12" i="2" s="1"/>
  <c r="C96" i="25"/>
  <c r="D96" i="25" s="1"/>
  <c r="C95" i="25"/>
  <c r="D95" i="25" s="1"/>
  <c r="C94" i="25"/>
  <c r="D94" i="25" s="1"/>
  <c r="C93" i="25"/>
  <c r="D93" i="25" s="1"/>
  <c r="E9" i="2" s="1"/>
  <c r="C92" i="25"/>
  <c r="D92" i="25" s="1"/>
  <c r="C91" i="25"/>
  <c r="D91" i="25" s="1"/>
  <c r="C89" i="25"/>
  <c r="D89" i="25" s="1"/>
  <c r="D14" i="30"/>
  <c r="B56" i="3" l="1"/>
  <c r="D58" i="25"/>
  <c r="B70" i="25"/>
  <c r="E30" i="25"/>
  <c r="F30" i="25" s="1"/>
  <c r="E38" i="25"/>
  <c r="C58" i="25" s="1"/>
  <c r="B16" i="25"/>
  <c r="C19" i="30" s="1"/>
  <c r="B20" i="25"/>
  <c r="E27" i="25"/>
  <c r="E29" i="25"/>
  <c r="F29" i="25" s="1"/>
  <c r="E31" i="25"/>
  <c r="F31" i="25" s="1"/>
  <c r="B29" i="7" s="1"/>
  <c r="E33" i="25"/>
  <c r="F33" i="25" s="1"/>
  <c r="B31" i="7" s="1"/>
  <c r="E35" i="25"/>
  <c r="F35" i="25" s="1"/>
  <c r="B33" i="7" s="1"/>
  <c r="D18" i="30"/>
  <c r="K56" i="3" s="1"/>
  <c r="B69" i="25"/>
  <c r="B17" i="25"/>
  <c r="D17" i="25" s="1"/>
  <c r="B17" i="7" s="1"/>
  <c r="B72" i="25"/>
  <c r="B76" i="25"/>
  <c r="F22" i="2"/>
  <c r="E28" i="25"/>
  <c r="B48" i="25"/>
  <c r="C100" i="25"/>
  <c r="D100" i="25" s="1"/>
  <c r="H22" i="2"/>
  <c r="B13" i="25"/>
  <c r="D13" i="25" s="1"/>
  <c r="B13" i="7" s="1"/>
  <c r="E32" i="25"/>
  <c r="E34" i="25"/>
  <c r="C54" i="25" s="1"/>
  <c r="C101" i="25"/>
  <c r="D101" i="25" s="1"/>
  <c r="D21" i="30"/>
  <c r="E11" i="2"/>
  <c r="E40" i="25"/>
  <c r="F40" i="25" s="1"/>
  <c r="D22" i="30"/>
  <c r="J56" i="3" s="1"/>
  <c r="D17" i="30"/>
  <c r="B9" i="25"/>
  <c r="D9" i="25" s="1"/>
  <c r="B9" i="7" s="1"/>
  <c r="E37" i="25"/>
  <c r="C57" i="25" s="1"/>
  <c r="D57" i="25" s="1"/>
  <c r="C88" i="25"/>
  <c r="D88" i="25" s="1"/>
  <c r="E8" i="2"/>
  <c r="E39" i="25"/>
  <c r="C59" i="25" s="1"/>
  <c r="D59" i="25" s="1"/>
  <c r="E41" i="25"/>
  <c r="F41" i="25" s="1"/>
  <c r="X43" i="2"/>
  <c r="X25" i="2"/>
  <c r="X31" i="2"/>
  <c r="X24" i="2"/>
  <c r="X40" i="2"/>
  <c r="X35" i="2"/>
  <c r="X29" i="2"/>
  <c r="X36" i="2"/>
  <c r="X30" i="2"/>
  <c r="X34" i="2"/>
  <c r="X32" i="2"/>
  <c r="X38" i="2"/>
  <c r="X33" i="2"/>
  <c r="X28" i="2"/>
  <c r="X26" i="2"/>
  <c r="X44" i="2"/>
  <c r="X27" i="2"/>
  <c r="X41" i="2"/>
  <c r="X39" i="2"/>
  <c r="X37" i="2"/>
  <c r="T34" i="2"/>
  <c r="T43" i="2"/>
  <c r="T27" i="2"/>
  <c r="T38" i="2"/>
  <c r="T37" i="2"/>
  <c r="T25" i="2"/>
  <c r="T31" i="2"/>
  <c r="T42" i="2"/>
  <c r="T40" i="2"/>
  <c r="T32" i="2"/>
  <c r="T41" i="2"/>
  <c r="T36" i="2"/>
  <c r="T35" i="2"/>
  <c r="T30" i="2"/>
  <c r="T44" i="2"/>
  <c r="T33" i="2"/>
  <c r="T39" i="2"/>
  <c r="T26" i="2"/>
  <c r="T28" i="2"/>
  <c r="T24" i="2"/>
  <c r="V27" i="2"/>
  <c r="V37" i="2"/>
  <c r="V31" i="2"/>
  <c r="V44" i="2"/>
  <c r="V41" i="2"/>
  <c r="V39" i="2"/>
  <c r="V26" i="2"/>
  <c r="V35" i="2"/>
  <c r="V29" i="2"/>
  <c r="V33" i="2"/>
  <c r="V36" i="2"/>
  <c r="V42" i="2"/>
  <c r="V43" i="2"/>
  <c r="V32" i="2"/>
  <c r="V25" i="2"/>
  <c r="V40" i="2"/>
  <c r="V30" i="2"/>
  <c r="V34" i="2"/>
  <c r="V38" i="2"/>
  <c r="V24" i="2"/>
  <c r="D5" i="25"/>
  <c r="J22" i="2"/>
  <c r="G7" i="2" s="1"/>
  <c r="B6" i="25"/>
  <c r="B14" i="25"/>
  <c r="D14" i="25" s="1"/>
  <c r="B14" i="7" s="1"/>
  <c r="B50" i="25"/>
  <c r="B54" i="25"/>
  <c r="C97" i="25"/>
  <c r="D97" i="25" s="1"/>
  <c r="D16" i="30"/>
  <c r="D56" i="3" s="1"/>
  <c r="D20" i="30"/>
  <c r="P22" i="2"/>
  <c r="G10" i="2" s="1"/>
  <c r="Z37" i="2"/>
  <c r="Z25" i="2"/>
  <c r="Z39" i="2"/>
  <c r="Z41" i="2"/>
  <c r="Z38" i="2"/>
  <c r="Z31" i="2"/>
  <c r="Z29" i="2"/>
  <c r="Z33" i="2"/>
  <c r="Z43" i="2"/>
  <c r="Z27" i="2"/>
  <c r="Z24" i="2"/>
  <c r="Z42" i="2"/>
  <c r="Z40" i="2"/>
  <c r="Z44" i="2"/>
  <c r="Z36" i="2"/>
  <c r="Z34" i="2"/>
  <c r="Z26" i="2"/>
  <c r="Z32" i="2"/>
  <c r="Z35" i="2"/>
  <c r="Z28" i="2"/>
  <c r="D19" i="30"/>
  <c r="B10" i="25"/>
  <c r="D10" i="25" s="1"/>
  <c r="B10" i="7" s="1"/>
  <c r="B18" i="25"/>
  <c r="C90" i="25"/>
  <c r="D90" i="25" s="1"/>
  <c r="B11" i="25"/>
  <c r="D11" i="25" s="1"/>
  <c r="B11" i="7" s="1"/>
  <c r="B19" i="25"/>
  <c r="D19" i="25" s="1"/>
  <c r="B19" i="7" s="1"/>
  <c r="C98" i="25"/>
  <c r="D98" i="25" s="1"/>
  <c r="AB38" i="2"/>
  <c r="AB39" i="2"/>
  <c r="AB34" i="2"/>
  <c r="AB28" i="2"/>
  <c r="AB42" i="2"/>
  <c r="AB40" i="2"/>
  <c r="AB35" i="2"/>
  <c r="AB26" i="2"/>
  <c r="AB36" i="2"/>
  <c r="AB33" i="2"/>
  <c r="AB32" i="2"/>
  <c r="AB43" i="2"/>
  <c r="AB30" i="2"/>
  <c r="AB27" i="2"/>
  <c r="AB29" i="2"/>
  <c r="AB37" i="2"/>
  <c r="AB44" i="2"/>
  <c r="AB24" i="2"/>
  <c r="AB25" i="2"/>
  <c r="AB41" i="2"/>
  <c r="B49" i="25"/>
  <c r="B7" i="25"/>
  <c r="B15" i="25"/>
  <c r="B51" i="25"/>
  <c r="C13" i="30"/>
  <c r="B12" i="25"/>
  <c r="E36" i="25"/>
  <c r="C99" i="25"/>
  <c r="D99" i="25" s="1"/>
  <c r="B8" i="25"/>
  <c r="B39" i="7" l="1"/>
  <c r="C16" i="44"/>
  <c r="B38" i="7"/>
  <c r="C15" i="44"/>
  <c r="B28" i="7"/>
  <c r="C7" i="44"/>
  <c r="B27" i="7"/>
  <c r="C6" i="44"/>
  <c r="E47" i="25"/>
  <c r="B5" i="7"/>
  <c r="D54" i="25"/>
  <c r="D33" i="43"/>
  <c r="D29" i="43"/>
  <c r="C6" i="2"/>
  <c r="D35" i="43"/>
  <c r="H35" i="2"/>
  <c r="G6" i="2"/>
  <c r="F31" i="2"/>
  <c r="G5" i="2"/>
  <c r="C82" i="25"/>
  <c r="F27" i="25"/>
  <c r="C47" i="25"/>
  <c r="D47" i="25" s="1"/>
  <c r="D16" i="25"/>
  <c r="B16" i="7" s="1"/>
  <c r="D103" i="25"/>
  <c r="D20" i="25"/>
  <c r="B20" i="7" s="1"/>
  <c r="C23" i="30"/>
  <c r="B84" i="25"/>
  <c r="F38" i="25"/>
  <c r="B63" i="25"/>
  <c r="C61" i="25"/>
  <c r="D61" i="25" s="1"/>
  <c r="C51" i="25"/>
  <c r="C53" i="25"/>
  <c r="C49" i="25"/>
  <c r="D49" i="25" s="1"/>
  <c r="C20" i="30"/>
  <c r="C55" i="25"/>
  <c r="H38" i="2"/>
  <c r="H30" i="2"/>
  <c r="C80" i="25"/>
  <c r="H28" i="2"/>
  <c r="H40" i="2"/>
  <c r="H41" i="2"/>
  <c r="H25" i="2"/>
  <c r="H33" i="2"/>
  <c r="C76" i="25"/>
  <c r="F34" i="25"/>
  <c r="H26" i="2"/>
  <c r="H29" i="2"/>
  <c r="H27" i="2"/>
  <c r="H42" i="2"/>
  <c r="F29" i="2"/>
  <c r="F37" i="25"/>
  <c r="F28" i="25"/>
  <c r="F39" i="25"/>
  <c r="C74" i="25"/>
  <c r="F35" i="2"/>
  <c r="F26" i="2"/>
  <c r="C56" i="3"/>
  <c r="F38" i="2"/>
  <c r="F30" i="2"/>
  <c r="F32" i="2"/>
  <c r="H37" i="2"/>
  <c r="H32" i="2"/>
  <c r="F25" i="2"/>
  <c r="F27" i="2"/>
  <c r="H31" i="2"/>
  <c r="F33" i="2"/>
  <c r="E59" i="25"/>
  <c r="C14" i="2"/>
  <c r="C72" i="25"/>
  <c r="C48" i="25"/>
  <c r="D48" i="25" s="1"/>
  <c r="F32" i="25"/>
  <c r="B30" i="7" s="1"/>
  <c r="C52" i="25"/>
  <c r="C60" i="25"/>
  <c r="C73" i="25"/>
  <c r="C77" i="25"/>
  <c r="C50" i="25"/>
  <c r="D50" i="25" s="1"/>
  <c r="D12" i="25"/>
  <c r="B12" i="7" s="1"/>
  <c r="C17" i="30"/>
  <c r="D6" i="25"/>
  <c r="B6" i="7" s="1"/>
  <c r="C14" i="30"/>
  <c r="D7" i="25"/>
  <c r="B7" i="7" s="1"/>
  <c r="C15" i="30"/>
  <c r="C22" i="30"/>
  <c r="J27" i="2"/>
  <c r="J33" i="2"/>
  <c r="J43" i="2"/>
  <c r="J37" i="2"/>
  <c r="J31" i="2"/>
  <c r="J36" i="2"/>
  <c r="J38" i="2"/>
  <c r="J39" i="2"/>
  <c r="J29" i="2"/>
  <c r="J25" i="2"/>
  <c r="J42" i="2"/>
  <c r="J32" i="2"/>
  <c r="J40" i="2"/>
  <c r="J26" i="2"/>
  <c r="J44" i="2"/>
  <c r="J35" i="2"/>
  <c r="J34" i="2"/>
  <c r="J30" i="2"/>
  <c r="J24" i="2"/>
  <c r="D8" i="25"/>
  <c r="B8" i="7" s="1"/>
  <c r="C16" i="30"/>
  <c r="P36" i="2"/>
  <c r="P30" i="2"/>
  <c r="P28" i="2"/>
  <c r="P44" i="2"/>
  <c r="P39" i="2"/>
  <c r="P24" i="2"/>
  <c r="P42" i="2"/>
  <c r="P26" i="2"/>
  <c r="P32" i="2"/>
  <c r="P37" i="2"/>
  <c r="P40" i="2"/>
  <c r="P38" i="2"/>
  <c r="P27" i="2"/>
  <c r="P35" i="2"/>
  <c r="P33" i="2"/>
  <c r="P34" i="2"/>
  <c r="P31" i="2"/>
  <c r="P29" i="2"/>
  <c r="P25" i="2"/>
  <c r="P43" i="2"/>
  <c r="D18" i="25"/>
  <c r="B18" i="7" s="1"/>
  <c r="C21" i="30"/>
  <c r="C7" i="2"/>
  <c r="D15" i="25"/>
  <c r="B15" i="7" s="1"/>
  <c r="C18" i="30"/>
  <c r="F36" i="25"/>
  <c r="B34" i="7" s="1"/>
  <c r="C56" i="25"/>
  <c r="C68" i="25"/>
  <c r="I56" i="3"/>
  <c r="H56" i="3"/>
  <c r="B37" i="7" l="1"/>
  <c r="C14" i="44"/>
  <c r="C10" i="2"/>
  <c r="B32" i="7"/>
  <c r="C10" i="44"/>
  <c r="B26" i="7"/>
  <c r="C5" i="44"/>
  <c r="B25" i="7"/>
  <c r="D13" i="43"/>
  <c r="C13" i="43"/>
  <c r="B36" i="7"/>
  <c r="C13" i="44"/>
  <c r="B35" i="7"/>
  <c r="C12" i="44"/>
  <c r="D18" i="43"/>
  <c r="T22" i="44" s="1"/>
  <c r="D30" i="43"/>
  <c r="E56" i="45" s="1"/>
  <c r="E64" i="45" s="1"/>
  <c r="E23" i="43"/>
  <c r="E29" i="43"/>
  <c r="E17" i="43"/>
  <c r="D53" i="25"/>
  <c r="E53" i="25" s="1"/>
  <c r="C34" i="43"/>
  <c r="D34" i="43" s="1"/>
  <c r="D51" i="25"/>
  <c r="C29" i="43" s="1"/>
  <c r="E36" i="43"/>
  <c r="E20" i="43"/>
  <c r="E35" i="43"/>
  <c r="E19" i="43"/>
  <c r="E30" i="43"/>
  <c r="E33" i="43"/>
  <c r="E34" i="43" s="1"/>
  <c r="D60" i="25"/>
  <c r="E60" i="25" s="1"/>
  <c r="D52" i="25"/>
  <c r="C30" i="43" s="1"/>
  <c r="D36" i="43"/>
  <c r="D55" i="25"/>
  <c r="C35" i="43" s="1"/>
  <c r="C13" i="2"/>
  <c r="D56" i="25"/>
  <c r="C36" i="43" s="1"/>
  <c r="E58" i="25"/>
  <c r="C81" i="25"/>
  <c r="C79" i="25"/>
  <c r="C83" i="25"/>
  <c r="E62" i="25"/>
  <c r="C63" i="25"/>
  <c r="C16" i="2"/>
  <c r="E61" i="25"/>
  <c r="E48" i="25"/>
  <c r="E54" i="25"/>
  <c r="C12" i="2"/>
  <c r="E49" i="25"/>
  <c r="C5" i="2"/>
  <c r="E50" i="25"/>
  <c r="C69" i="25"/>
  <c r="E57" i="25"/>
  <c r="C78" i="25"/>
  <c r="C71" i="25"/>
  <c r="C75" i="25"/>
  <c r="C70" i="25"/>
  <c r="E61" i="45" l="1"/>
  <c r="E70" i="45"/>
  <c r="E80" i="45"/>
  <c r="B94" i="45"/>
  <c r="E76" i="45"/>
  <c r="E74" i="45"/>
  <c r="E75" i="45"/>
  <c r="E65" i="45"/>
  <c r="E69" i="45"/>
  <c r="E77" i="45"/>
  <c r="E78" i="45"/>
  <c r="E81" i="45"/>
  <c r="D23" i="43"/>
  <c r="AD22" i="44" s="1"/>
  <c r="D22" i="43"/>
  <c r="AB22" i="44" s="1"/>
  <c r="D21" i="43"/>
  <c r="Z22" i="44" s="1"/>
  <c r="E66" i="45"/>
  <c r="E72" i="45"/>
  <c r="E63" i="45"/>
  <c r="E73" i="45"/>
  <c r="E62" i="45"/>
  <c r="E67" i="45"/>
  <c r="C23" i="43"/>
  <c r="E58" i="45"/>
  <c r="E59" i="45"/>
  <c r="E79" i="45"/>
  <c r="D14" i="43"/>
  <c r="E68" i="45"/>
  <c r="E71" i="45"/>
  <c r="E60" i="45"/>
  <c r="E13" i="43"/>
  <c r="I47" i="43"/>
  <c r="J47" i="43" s="1"/>
  <c r="I55" i="43"/>
  <c r="J55" i="43" s="1"/>
  <c r="I63" i="43"/>
  <c r="J63" i="43" s="1"/>
  <c r="I48" i="43"/>
  <c r="J48" i="43" s="1"/>
  <c r="I56" i="43"/>
  <c r="J56" i="43" s="1"/>
  <c r="I43" i="43"/>
  <c r="J43" i="43" s="1"/>
  <c r="I50" i="43"/>
  <c r="J50" i="43" s="1"/>
  <c r="I46" i="43"/>
  <c r="J46" i="43" s="1"/>
  <c r="I49" i="43"/>
  <c r="J49" i="43" s="1"/>
  <c r="I57" i="43"/>
  <c r="J57" i="43" s="1"/>
  <c r="I58" i="43"/>
  <c r="J58" i="43" s="1"/>
  <c r="I54" i="43"/>
  <c r="J54" i="43" s="1"/>
  <c r="I51" i="43"/>
  <c r="J51" i="43" s="1"/>
  <c r="I59" i="43"/>
  <c r="J59" i="43" s="1"/>
  <c r="I45" i="43"/>
  <c r="J45" i="43" s="1"/>
  <c r="I61" i="43"/>
  <c r="J61" i="43" s="1"/>
  <c r="I62" i="43"/>
  <c r="I44" i="43"/>
  <c r="J44" i="43" s="1"/>
  <c r="K44" i="43" s="1"/>
  <c r="I52" i="43"/>
  <c r="J52" i="43" s="1"/>
  <c r="K52" i="43" s="1"/>
  <c r="I60" i="43"/>
  <c r="J60" i="43" s="1"/>
  <c r="I53" i="43"/>
  <c r="J53" i="43" s="1"/>
  <c r="C9" i="44"/>
  <c r="E37" i="43"/>
  <c r="E52" i="25"/>
  <c r="E16" i="43"/>
  <c r="E56" i="25"/>
  <c r="C31" i="43"/>
  <c r="C8" i="44" s="1"/>
  <c r="C15" i="2"/>
  <c r="E22" i="43"/>
  <c r="C37" i="43"/>
  <c r="C11" i="44" s="1"/>
  <c r="J62" i="43"/>
  <c r="E51" i="25"/>
  <c r="E55" i="25"/>
  <c r="C14" i="43"/>
  <c r="C16" i="43"/>
  <c r="C20" i="43"/>
  <c r="C22" i="43"/>
  <c r="C15" i="43"/>
  <c r="C17" i="43"/>
  <c r="C21" i="43"/>
  <c r="C18" i="43"/>
  <c r="C19" i="43"/>
  <c r="G56" i="45"/>
  <c r="N22" i="44"/>
  <c r="E31" i="43"/>
  <c r="E21" i="43"/>
  <c r="E18" i="43"/>
  <c r="E15" i="43"/>
  <c r="E14" i="43"/>
  <c r="G84" i="25"/>
  <c r="C84" i="25"/>
  <c r="D63" i="25"/>
  <c r="E82" i="45" l="1"/>
  <c r="C94" i="45" s="1"/>
  <c r="F22" i="44"/>
  <c r="D16" i="43"/>
  <c r="D15" i="43"/>
  <c r="H22" i="44" s="1"/>
  <c r="D20" i="43"/>
  <c r="X22" i="44" s="1"/>
  <c r="AD26" i="44"/>
  <c r="AD42" i="44"/>
  <c r="AD44" i="44"/>
  <c r="AD32" i="44"/>
  <c r="AD38" i="44"/>
  <c r="AD36" i="44"/>
  <c r="AD35" i="44"/>
  <c r="AD37" i="44"/>
  <c r="AD43" i="44"/>
  <c r="AD30" i="44"/>
  <c r="AD27" i="44"/>
  <c r="AD41" i="44"/>
  <c r="AD40" i="44"/>
  <c r="AD25" i="44"/>
  <c r="AD31" i="44"/>
  <c r="AD34" i="44"/>
  <c r="AD39" i="44"/>
  <c r="AD29" i="44"/>
  <c r="AD24" i="44"/>
  <c r="AD28" i="44"/>
  <c r="K46" i="43"/>
  <c r="F70" i="7" s="1"/>
  <c r="K57" i="43"/>
  <c r="K60" i="43"/>
  <c r="K43" i="43"/>
  <c r="F67" i="7" s="1"/>
  <c r="K59" i="43"/>
  <c r="F83" i="7" s="1"/>
  <c r="K54" i="43"/>
  <c r="K61" i="43"/>
  <c r="K48" i="43"/>
  <c r="K53" i="43"/>
  <c r="F77" i="7" s="1"/>
  <c r="K58" i="43"/>
  <c r="G60" i="45"/>
  <c r="G68" i="45"/>
  <c r="G76" i="45"/>
  <c r="G61" i="45"/>
  <c r="G69" i="45"/>
  <c r="G77" i="45"/>
  <c r="G62" i="45"/>
  <c r="G70" i="45"/>
  <c r="G78" i="45"/>
  <c r="G63" i="45"/>
  <c r="G71" i="45"/>
  <c r="G79" i="45"/>
  <c r="G67" i="45"/>
  <c r="G64" i="45"/>
  <c r="G72" i="45"/>
  <c r="G80" i="45"/>
  <c r="G65" i="45"/>
  <c r="G73" i="45"/>
  <c r="G81" i="45"/>
  <c r="G66" i="45"/>
  <c r="G74" i="45"/>
  <c r="G58" i="45"/>
  <c r="G59" i="45"/>
  <c r="G75" i="45"/>
  <c r="K62" i="43"/>
  <c r="F86" i="7" s="1"/>
  <c r="K49" i="43"/>
  <c r="K47" i="43"/>
  <c r="F71" i="7" s="1"/>
  <c r="K56" i="43"/>
  <c r="K51" i="43"/>
  <c r="F75" i="7" s="1"/>
  <c r="K55" i="43"/>
  <c r="F79" i="7" s="1"/>
  <c r="K63" i="43"/>
  <c r="F87" i="7" s="1"/>
  <c r="K50" i="43"/>
  <c r="F74" i="7" s="1"/>
  <c r="K45" i="43"/>
  <c r="F69" i="7" s="1"/>
  <c r="D37" i="43"/>
  <c r="R22" i="44" s="1"/>
  <c r="B26" i="40"/>
  <c r="B8" i="40"/>
  <c r="B11" i="40"/>
  <c r="B27" i="40"/>
  <c r="B14" i="40"/>
  <c r="B9" i="40"/>
  <c r="B13" i="40"/>
  <c r="B21" i="40"/>
  <c r="F81" i="7"/>
  <c r="B25" i="40"/>
  <c r="B20" i="40"/>
  <c r="F80" i="7"/>
  <c r="B15" i="40"/>
  <c r="B19" i="40"/>
  <c r="B24" i="40"/>
  <c r="B7" i="40"/>
  <c r="B10" i="40"/>
  <c r="B23" i="40"/>
  <c r="B18" i="40"/>
  <c r="F78" i="7"/>
  <c r="B12" i="40"/>
  <c r="B17" i="40"/>
  <c r="B22" i="40"/>
  <c r="F82" i="7"/>
  <c r="B16" i="40"/>
  <c r="D31" i="43"/>
  <c r="F68" i="7"/>
  <c r="N42" i="44"/>
  <c r="N39" i="44"/>
  <c r="N33" i="44"/>
  <c r="N43" i="44"/>
  <c r="N30" i="44"/>
  <c r="N29" i="44"/>
  <c r="N35" i="44"/>
  <c r="N27" i="44"/>
  <c r="N24" i="44"/>
  <c r="N40" i="44"/>
  <c r="N36" i="44"/>
  <c r="N26" i="44"/>
  <c r="N25" i="44"/>
  <c r="N37" i="44"/>
  <c r="N28" i="44"/>
  <c r="N41" i="44"/>
  <c r="N31" i="44"/>
  <c r="N38" i="44"/>
  <c r="N44" i="44"/>
  <c r="N32" i="44"/>
  <c r="J56" i="45"/>
  <c r="J64" i="45" s="1"/>
  <c r="K56" i="45"/>
  <c r="B56" i="45"/>
  <c r="B64" i="45" s="1"/>
  <c r="B96" i="45"/>
  <c r="E63" i="25"/>
  <c r="F6" i="25" s="1"/>
  <c r="J22" i="44" l="1"/>
  <c r="D19" i="43"/>
  <c r="D17" i="43"/>
  <c r="R25" i="44"/>
  <c r="R29" i="44"/>
  <c r="R30" i="44"/>
  <c r="R33" i="44"/>
  <c r="R26" i="44"/>
  <c r="R39" i="44"/>
  <c r="R24" i="44"/>
  <c r="R36" i="44"/>
  <c r="R42" i="44"/>
  <c r="R44" i="44"/>
  <c r="R37" i="44"/>
  <c r="R34" i="44"/>
  <c r="R41" i="44"/>
  <c r="R31" i="44"/>
  <c r="R28" i="44"/>
  <c r="R43" i="44"/>
  <c r="R40" i="44"/>
  <c r="R38" i="44"/>
  <c r="R35" i="44"/>
  <c r="R32" i="44"/>
  <c r="L22" i="44"/>
  <c r="L36" i="44" s="1"/>
  <c r="F72" i="7"/>
  <c r="F84" i="7"/>
  <c r="B23" i="43"/>
  <c r="B17" i="44" s="1"/>
  <c r="F76" i="7"/>
  <c r="F73" i="7"/>
  <c r="F85" i="7"/>
  <c r="K64" i="45"/>
  <c r="B100" i="45"/>
  <c r="F56" i="45"/>
  <c r="F64" i="45" s="1"/>
  <c r="F6" i="41"/>
  <c r="K64" i="43"/>
  <c r="F19" i="41"/>
  <c r="C20" i="40" s="1"/>
  <c r="F10" i="41"/>
  <c r="C11" i="40" s="1"/>
  <c r="B16" i="43"/>
  <c r="B7" i="44" s="1"/>
  <c r="F37" i="43"/>
  <c r="F9" i="41"/>
  <c r="C10" i="40" s="1"/>
  <c r="B11" i="44"/>
  <c r="F17" i="41"/>
  <c r="C18" i="40" s="1"/>
  <c r="F21" i="41"/>
  <c r="C22" i="40" s="1"/>
  <c r="F18" i="41"/>
  <c r="C19" i="40" s="1"/>
  <c r="F34" i="43"/>
  <c r="F16" i="41"/>
  <c r="C17" i="40" s="1"/>
  <c r="B9" i="44"/>
  <c r="F8" i="41"/>
  <c r="C9" i="40" s="1"/>
  <c r="F20" i="41"/>
  <c r="C21" i="40" s="1"/>
  <c r="B22" i="43"/>
  <c r="B16" i="44" s="1"/>
  <c r="F13" i="41"/>
  <c r="C14" i="40" s="1"/>
  <c r="F14" i="41"/>
  <c r="C15" i="40" s="1"/>
  <c r="F7" i="41"/>
  <c r="C8" i="40" s="1"/>
  <c r="F25" i="41"/>
  <c r="C26" i="40" s="1"/>
  <c r="F31" i="43"/>
  <c r="B8" i="44"/>
  <c r="F22" i="41"/>
  <c r="C23" i="40" s="1"/>
  <c r="F26" i="41"/>
  <c r="C27" i="40" s="1"/>
  <c r="AB24" i="44"/>
  <c r="K75" i="45"/>
  <c r="K79" i="45"/>
  <c r="K58" i="45"/>
  <c r="K68" i="45"/>
  <c r="K61" i="45"/>
  <c r="K67" i="45"/>
  <c r="K78" i="45"/>
  <c r="K72" i="45"/>
  <c r="K63" i="45"/>
  <c r="K69" i="45"/>
  <c r="K70" i="45"/>
  <c r="K74" i="45"/>
  <c r="K77" i="45"/>
  <c r="K59" i="45"/>
  <c r="K66" i="45"/>
  <c r="K73" i="45"/>
  <c r="K80" i="45"/>
  <c r="K60" i="45"/>
  <c r="K81" i="45"/>
  <c r="K65" i="45"/>
  <c r="K62" i="45"/>
  <c r="K71" i="45"/>
  <c r="K76" i="45"/>
  <c r="Z29" i="44"/>
  <c r="Z33" i="44"/>
  <c r="Z35" i="44"/>
  <c r="Z43" i="44"/>
  <c r="Z42" i="44"/>
  <c r="Z38" i="44"/>
  <c r="Z36" i="44"/>
  <c r="Z25" i="44"/>
  <c r="Z41" i="44"/>
  <c r="Z39" i="44"/>
  <c r="Z24" i="44"/>
  <c r="Z26" i="44"/>
  <c r="Z40" i="44"/>
  <c r="Z31" i="44"/>
  <c r="Z37" i="44"/>
  <c r="Z32" i="44"/>
  <c r="Z27" i="44"/>
  <c r="Z34" i="44"/>
  <c r="Z44" i="44"/>
  <c r="Z28" i="44"/>
  <c r="C56" i="45"/>
  <c r="C64" i="45" s="1"/>
  <c r="H56" i="45"/>
  <c r="H64" i="45" s="1"/>
  <c r="B20" i="43"/>
  <c r="B14" i="44" s="1"/>
  <c r="B19" i="43"/>
  <c r="B13" i="44" s="1"/>
  <c r="B17" i="43"/>
  <c r="B10" i="44" s="1"/>
  <c r="G82" i="45"/>
  <c r="C96" i="45" s="1"/>
  <c r="F25" i="44"/>
  <c r="F30" i="44"/>
  <c r="F26" i="44"/>
  <c r="F35" i="44"/>
  <c r="F32" i="44"/>
  <c r="F29" i="44"/>
  <c r="F33" i="44"/>
  <c r="F38" i="44"/>
  <c r="F27" i="44"/>
  <c r="F31" i="44"/>
  <c r="D56" i="45"/>
  <c r="D64" i="45" s="1"/>
  <c r="AB25" i="44"/>
  <c r="AB26" i="44"/>
  <c r="AB34" i="44"/>
  <c r="AB30" i="44"/>
  <c r="AB29" i="44"/>
  <c r="AB32" i="44"/>
  <c r="AB33" i="44"/>
  <c r="AB38" i="44"/>
  <c r="AB28" i="44"/>
  <c r="AB43" i="44"/>
  <c r="AB42" i="44"/>
  <c r="AB40" i="44"/>
  <c r="AB27" i="44"/>
  <c r="AB44" i="44"/>
  <c r="AB39" i="44"/>
  <c r="AB35" i="44"/>
  <c r="AB37" i="44"/>
  <c r="AB41" i="44"/>
  <c r="AB36" i="44"/>
  <c r="B18" i="43"/>
  <c r="B12" i="44" s="1"/>
  <c r="J68" i="45"/>
  <c r="J79" i="45"/>
  <c r="J78" i="45"/>
  <c r="J65" i="45"/>
  <c r="J69" i="45"/>
  <c r="J61" i="45"/>
  <c r="J72" i="45"/>
  <c r="J74" i="45"/>
  <c r="J71" i="45"/>
  <c r="J77" i="45"/>
  <c r="J58" i="45"/>
  <c r="J62" i="45"/>
  <c r="J63" i="45"/>
  <c r="J75" i="45"/>
  <c r="J70" i="45"/>
  <c r="J80" i="45"/>
  <c r="J76" i="45"/>
  <c r="J67" i="45"/>
  <c r="J66" i="45"/>
  <c r="J73" i="45"/>
  <c r="B99" i="45"/>
  <c r="J59" i="45"/>
  <c r="J60" i="45"/>
  <c r="J81" i="45"/>
  <c r="B15" i="43"/>
  <c r="B6" i="44" s="1"/>
  <c r="B14" i="43"/>
  <c r="B5" i="44" s="1"/>
  <c r="T24" i="44"/>
  <c r="T40" i="44"/>
  <c r="T36" i="44"/>
  <c r="T25" i="44"/>
  <c r="T42" i="44"/>
  <c r="T44" i="44"/>
  <c r="T37" i="44"/>
  <c r="T34" i="44"/>
  <c r="T43" i="44"/>
  <c r="T26" i="44"/>
  <c r="T31" i="44"/>
  <c r="T27" i="44"/>
  <c r="T41" i="44"/>
  <c r="T35" i="44"/>
  <c r="T33" i="44"/>
  <c r="T39" i="44"/>
  <c r="T30" i="44"/>
  <c r="T28" i="44"/>
  <c r="T38" i="44"/>
  <c r="T32" i="44"/>
  <c r="B21" i="43"/>
  <c r="B15" i="44" s="1"/>
  <c r="H43" i="30"/>
  <c r="I43" i="30" s="1"/>
  <c r="H51" i="30"/>
  <c r="I51" i="30" s="1"/>
  <c r="H59" i="30"/>
  <c r="I59" i="30" s="1"/>
  <c r="H44" i="30"/>
  <c r="I44" i="30" s="1"/>
  <c r="H52" i="30"/>
  <c r="H60" i="30"/>
  <c r="I60" i="30" s="1"/>
  <c r="H55" i="30"/>
  <c r="I55" i="30" s="1"/>
  <c r="H56" i="30"/>
  <c r="I56" i="30" s="1"/>
  <c r="H50" i="30"/>
  <c r="I50" i="30" s="1"/>
  <c r="J50" i="30" s="1"/>
  <c r="B23" i="30" s="1"/>
  <c r="H45" i="30"/>
  <c r="I45" i="30" s="1"/>
  <c r="H53" i="30"/>
  <c r="I53" i="30" s="1"/>
  <c r="H61" i="30"/>
  <c r="I61" i="30" s="1"/>
  <c r="H46" i="30"/>
  <c r="I46" i="30" s="1"/>
  <c r="H54" i="30"/>
  <c r="I54" i="30" s="1"/>
  <c r="H41" i="30"/>
  <c r="I41" i="30" s="1"/>
  <c r="H47" i="30"/>
  <c r="I47" i="30" s="1"/>
  <c r="H48" i="30"/>
  <c r="I48" i="30" s="1"/>
  <c r="H49" i="30"/>
  <c r="I49" i="30" s="1"/>
  <c r="H57" i="30"/>
  <c r="I57" i="30" s="1"/>
  <c r="H42" i="30"/>
  <c r="I42" i="30" s="1"/>
  <c r="H58" i="30"/>
  <c r="I58" i="30" s="1"/>
  <c r="D35" i="30"/>
  <c r="C35" i="30"/>
  <c r="D34" i="30"/>
  <c r="C34" i="30"/>
  <c r="D32" i="30"/>
  <c r="G56" i="3" s="1"/>
  <c r="C32" i="30"/>
  <c r="D29" i="30"/>
  <c r="C29" i="30"/>
  <c r="D28" i="30"/>
  <c r="E56" i="3" s="1"/>
  <c r="C28" i="30"/>
  <c r="F23" i="41" l="1"/>
  <c r="C24" i="40" s="1"/>
  <c r="F11" i="41"/>
  <c r="C12" i="40" s="1"/>
  <c r="F15" i="41"/>
  <c r="C16" i="40" s="1"/>
  <c r="P22" i="44"/>
  <c r="P40" i="44" s="1"/>
  <c r="F24" i="41"/>
  <c r="C25" i="40" s="1"/>
  <c r="V22" i="44"/>
  <c r="F12" i="41"/>
  <c r="C13" i="40" s="1"/>
  <c r="L42" i="44"/>
  <c r="L29" i="44"/>
  <c r="L28" i="44"/>
  <c r="L35" i="44"/>
  <c r="L26" i="44"/>
  <c r="L32" i="44"/>
  <c r="L38" i="44"/>
  <c r="L27" i="44"/>
  <c r="L33" i="44"/>
  <c r="L25" i="44"/>
  <c r="L41" i="44"/>
  <c r="L30" i="44"/>
  <c r="L39" i="44"/>
  <c r="L40" i="44"/>
  <c r="F73" i="45"/>
  <c r="L24" i="44"/>
  <c r="L37" i="44"/>
  <c r="L44" i="44"/>
  <c r="L31" i="44"/>
  <c r="L34" i="44"/>
  <c r="F72" i="45"/>
  <c r="F68" i="45"/>
  <c r="F67" i="45"/>
  <c r="F60" i="45"/>
  <c r="F70" i="45"/>
  <c r="F62" i="45"/>
  <c r="F71" i="45"/>
  <c r="F74" i="45"/>
  <c r="F65" i="45"/>
  <c r="F79" i="45"/>
  <c r="F59" i="45"/>
  <c r="F58" i="45"/>
  <c r="F66" i="45"/>
  <c r="F69" i="45"/>
  <c r="F78" i="45"/>
  <c r="F75" i="45"/>
  <c r="F76" i="45"/>
  <c r="F61" i="45"/>
  <c r="F63" i="45"/>
  <c r="F81" i="45"/>
  <c r="F77" i="45"/>
  <c r="B95" i="45"/>
  <c r="G8" i="44" s="1"/>
  <c r="F80" i="45"/>
  <c r="F17" i="44"/>
  <c r="C7" i="40"/>
  <c r="F88" i="7"/>
  <c r="F14" i="44"/>
  <c r="F6" i="44"/>
  <c r="F7" i="44"/>
  <c r="F15" i="44"/>
  <c r="C73" i="45"/>
  <c r="C79" i="45"/>
  <c r="C70" i="45"/>
  <c r="C59" i="45"/>
  <c r="C71" i="45"/>
  <c r="C60" i="45"/>
  <c r="C68" i="45"/>
  <c r="C66" i="45"/>
  <c r="C80" i="45"/>
  <c r="C58" i="45"/>
  <c r="B92" i="45"/>
  <c r="C75" i="45"/>
  <c r="C62" i="45"/>
  <c r="C78" i="45"/>
  <c r="C76" i="45"/>
  <c r="C77" i="45"/>
  <c r="C81" i="45"/>
  <c r="C61" i="45"/>
  <c r="C72" i="45"/>
  <c r="C63" i="45"/>
  <c r="C67" i="45"/>
  <c r="C74" i="45"/>
  <c r="C69" i="45"/>
  <c r="C65" i="45"/>
  <c r="F16" i="44"/>
  <c r="H72" i="45"/>
  <c r="H63" i="45"/>
  <c r="H60" i="45"/>
  <c r="H81" i="45"/>
  <c r="H74" i="45"/>
  <c r="H73" i="45"/>
  <c r="H59" i="45"/>
  <c r="H78" i="45"/>
  <c r="B97" i="45"/>
  <c r="H80" i="45"/>
  <c r="H66" i="45"/>
  <c r="H69" i="45"/>
  <c r="H70" i="45"/>
  <c r="H62" i="45"/>
  <c r="H65" i="45"/>
  <c r="H77" i="45"/>
  <c r="H71" i="45"/>
  <c r="H79" i="45"/>
  <c r="H76" i="45"/>
  <c r="H58" i="45"/>
  <c r="H61" i="45"/>
  <c r="H75" i="45"/>
  <c r="H68" i="45"/>
  <c r="H67" i="45"/>
  <c r="H31" i="44"/>
  <c r="H26" i="44"/>
  <c r="H42" i="44"/>
  <c r="H37" i="44"/>
  <c r="H30" i="44"/>
  <c r="H32" i="44"/>
  <c r="H38" i="44"/>
  <c r="H27" i="44"/>
  <c r="H41" i="44"/>
  <c r="H28" i="44"/>
  <c r="H40" i="44"/>
  <c r="H25" i="44"/>
  <c r="H29" i="44"/>
  <c r="H35" i="44"/>
  <c r="H33" i="44"/>
  <c r="D72" i="45"/>
  <c r="D60" i="45"/>
  <c r="D80" i="45"/>
  <c r="D66" i="45"/>
  <c r="D58" i="45"/>
  <c r="B93" i="45"/>
  <c r="D62" i="45"/>
  <c r="D77" i="45"/>
  <c r="D67" i="45"/>
  <c r="D63" i="45"/>
  <c r="D69" i="45"/>
  <c r="D79" i="45"/>
  <c r="D78" i="45"/>
  <c r="D73" i="45"/>
  <c r="D74" i="45"/>
  <c r="D65" i="45"/>
  <c r="D61" i="45"/>
  <c r="D75" i="45"/>
  <c r="D71" i="45"/>
  <c r="D59" i="45"/>
  <c r="D81" i="45"/>
  <c r="D70" i="45"/>
  <c r="D76" i="45"/>
  <c r="D68" i="45"/>
  <c r="F10" i="44"/>
  <c r="F9" i="44"/>
  <c r="K82" i="45"/>
  <c r="C100" i="45" s="1"/>
  <c r="J40" i="44"/>
  <c r="J26" i="44"/>
  <c r="J42" i="44"/>
  <c r="J43" i="44"/>
  <c r="J33" i="44"/>
  <c r="J32" i="44"/>
  <c r="J39" i="44"/>
  <c r="J27" i="44"/>
  <c r="J24" i="44"/>
  <c r="J38" i="44"/>
  <c r="J25" i="44"/>
  <c r="J37" i="44"/>
  <c r="J36" i="44"/>
  <c r="J30" i="44"/>
  <c r="J34" i="44"/>
  <c r="J44" i="44"/>
  <c r="J29" i="44"/>
  <c r="J31" i="44"/>
  <c r="J35" i="44"/>
  <c r="F13" i="44"/>
  <c r="I13" i="44" s="1"/>
  <c r="B13" i="43"/>
  <c r="F13" i="43" s="1"/>
  <c r="F14" i="43" s="1"/>
  <c r="F16" i="43" s="1"/>
  <c r="J82" i="45"/>
  <c r="C99" i="45" s="1"/>
  <c r="I56" i="45"/>
  <c r="I64" i="45" s="1"/>
  <c r="X28" i="44"/>
  <c r="X32" i="44"/>
  <c r="X44" i="44"/>
  <c r="X43" i="44"/>
  <c r="X33" i="44"/>
  <c r="X39" i="44"/>
  <c r="X38" i="44"/>
  <c r="X26" i="44"/>
  <c r="X34" i="44"/>
  <c r="X27" i="44"/>
  <c r="X36" i="44"/>
  <c r="X30" i="44"/>
  <c r="X29" i="44"/>
  <c r="X25" i="44"/>
  <c r="X35" i="44"/>
  <c r="X40" i="44"/>
  <c r="X41" i="44"/>
  <c r="X37" i="44"/>
  <c r="X31" i="44"/>
  <c r="X24" i="44"/>
  <c r="F12" i="44"/>
  <c r="F5" i="44"/>
  <c r="B76" i="7"/>
  <c r="B17" i="2"/>
  <c r="F17" i="2" s="1"/>
  <c r="J47" i="30"/>
  <c r="B73" i="7" s="1"/>
  <c r="J41" i="30"/>
  <c r="B67" i="7" s="1"/>
  <c r="J56" i="30"/>
  <c r="B82" i="7" s="1"/>
  <c r="J60" i="30"/>
  <c r="B86" i="7" s="1"/>
  <c r="J57" i="30"/>
  <c r="B83" i="7" s="1"/>
  <c r="J53" i="30"/>
  <c r="B79" i="7" s="1"/>
  <c r="J59" i="30"/>
  <c r="B14" i="2" s="1"/>
  <c r="J54" i="30"/>
  <c r="B80" i="7" s="1"/>
  <c r="J46" i="30"/>
  <c r="B72" i="7" s="1"/>
  <c r="J61" i="30"/>
  <c r="B87" i="7" s="1"/>
  <c r="J49" i="30"/>
  <c r="B75" i="7" s="1"/>
  <c r="J45" i="30"/>
  <c r="B13" i="2" s="1"/>
  <c r="J51" i="30"/>
  <c r="B77" i="7" s="1"/>
  <c r="J42" i="30"/>
  <c r="B68" i="7" s="1"/>
  <c r="J55" i="30"/>
  <c r="B81" i="7" s="1"/>
  <c r="J58" i="30"/>
  <c r="B10" i="2" s="1"/>
  <c r="J44" i="30"/>
  <c r="B70" i="7" s="1"/>
  <c r="J48" i="30"/>
  <c r="B74" i="7" s="1"/>
  <c r="J43" i="30"/>
  <c r="B69" i="7" s="1"/>
  <c r="F56" i="3"/>
  <c r="C36" i="30"/>
  <c r="C11" i="2" s="1"/>
  <c r="C30" i="30"/>
  <c r="C8" i="2" s="1"/>
  <c r="P28" i="44" l="1"/>
  <c r="P29" i="44"/>
  <c r="P33" i="44"/>
  <c r="P37" i="44"/>
  <c r="P44" i="44"/>
  <c r="P35" i="44"/>
  <c r="P25" i="44"/>
  <c r="P36" i="44"/>
  <c r="F27" i="41"/>
  <c r="C28" i="40"/>
  <c r="B8" i="41"/>
  <c r="B14" i="41"/>
  <c r="B21" i="41"/>
  <c r="P26" i="44"/>
  <c r="P38" i="44"/>
  <c r="P43" i="44"/>
  <c r="P32" i="44"/>
  <c r="B22" i="41"/>
  <c r="B9" i="41"/>
  <c r="B25" i="41"/>
  <c r="B26" i="41"/>
  <c r="B12" i="41"/>
  <c r="B19" i="41"/>
  <c r="P30" i="44"/>
  <c r="P24" i="44"/>
  <c r="B21" i="30"/>
  <c r="B20" i="41"/>
  <c r="B15" i="41"/>
  <c r="P31" i="44"/>
  <c r="P39" i="44"/>
  <c r="P34" i="44"/>
  <c r="B16" i="41"/>
  <c r="B13" i="41"/>
  <c r="B11" i="41"/>
  <c r="B7" i="41"/>
  <c r="B18" i="41"/>
  <c r="P27" i="44"/>
  <c r="P42" i="44"/>
  <c r="F82" i="45"/>
  <c r="C95" i="45" s="1"/>
  <c r="B6" i="41"/>
  <c r="I17" i="44"/>
  <c r="AC33" i="44" s="1"/>
  <c r="I14" i="44"/>
  <c r="W42" i="44" s="1"/>
  <c r="V43" i="44"/>
  <c r="V32" i="44"/>
  <c r="V40" i="44"/>
  <c r="V41" i="44"/>
  <c r="V29" i="44"/>
  <c r="V37" i="44"/>
  <c r="V44" i="44"/>
  <c r="V30" i="44"/>
  <c r="V34" i="44"/>
  <c r="V35" i="44"/>
  <c r="V42" i="44"/>
  <c r="V27" i="44"/>
  <c r="V33" i="44"/>
  <c r="V25" i="44"/>
  <c r="V26" i="44"/>
  <c r="V31" i="44"/>
  <c r="V36" i="44"/>
  <c r="V24" i="44"/>
  <c r="V38" i="44"/>
  <c r="V39" i="44"/>
  <c r="F21" i="43"/>
  <c r="G21" i="43" s="1"/>
  <c r="F22" i="43"/>
  <c r="G22" i="43" s="1"/>
  <c r="F18" i="43"/>
  <c r="G18" i="43" s="1"/>
  <c r="F23" i="43"/>
  <c r="G23" i="43" s="1"/>
  <c r="G13" i="43"/>
  <c r="H82" i="45"/>
  <c r="C97" i="45" s="1"/>
  <c r="I7" i="44"/>
  <c r="C12" i="45"/>
  <c r="B63" i="45" s="1"/>
  <c r="C32" i="45"/>
  <c r="B81" i="45" s="1"/>
  <c r="C9" i="45"/>
  <c r="B60" i="45" s="1"/>
  <c r="C30" i="45"/>
  <c r="B79" i="45" s="1"/>
  <c r="C38" i="45"/>
  <c r="C25" i="45"/>
  <c r="B74" i="45" s="1"/>
  <c r="C35" i="45"/>
  <c r="C41" i="45"/>
  <c r="C23" i="45"/>
  <c r="B72" i="45" s="1"/>
  <c r="C46" i="45"/>
  <c r="C24" i="45"/>
  <c r="B73" i="45" s="1"/>
  <c r="C21" i="45"/>
  <c r="B70" i="45" s="1"/>
  <c r="C40" i="45"/>
  <c r="C16" i="45"/>
  <c r="C28" i="45"/>
  <c r="B77" i="45" s="1"/>
  <c r="C10" i="45"/>
  <c r="B61" i="45" s="1"/>
  <c r="C44" i="45"/>
  <c r="C43" i="45"/>
  <c r="C31" i="45"/>
  <c r="B80" i="45" s="1"/>
  <c r="C8" i="45"/>
  <c r="B59" i="45" s="1"/>
  <c r="C27" i="45"/>
  <c r="B76" i="45" s="1"/>
  <c r="C11" i="45"/>
  <c r="B62" i="45" s="1"/>
  <c r="C20" i="45"/>
  <c r="B69" i="45" s="1"/>
  <c r="C7" i="45"/>
  <c r="B58" i="45" s="1"/>
  <c r="C36" i="45"/>
  <c r="C19" i="45"/>
  <c r="B68" i="45" s="1"/>
  <c r="C37" i="45"/>
  <c r="C17" i="45"/>
  <c r="B66" i="45" s="1"/>
  <c r="C26" i="45"/>
  <c r="B75" i="45" s="1"/>
  <c r="C18" i="45"/>
  <c r="B67" i="45" s="1"/>
  <c r="C39" i="45"/>
  <c r="C45" i="45"/>
  <c r="C22" i="45"/>
  <c r="B71" i="45" s="1"/>
  <c r="C29" i="45"/>
  <c r="B78" i="45" s="1"/>
  <c r="C42" i="45"/>
  <c r="U28" i="44"/>
  <c r="I9" i="44"/>
  <c r="M34" i="44" s="1"/>
  <c r="D82" i="45"/>
  <c r="C93" i="45" s="1"/>
  <c r="I6" i="44"/>
  <c r="I15" i="44"/>
  <c r="Y30" i="44" s="1"/>
  <c r="AE30" i="44" s="1"/>
  <c r="I12" i="44"/>
  <c r="S29" i="44" s="1"/>
  <c r="AE29" i="44" s="1"/>
  <c r="I81" i="45"/>
  <c r="I75" i="45"/>
  <c r="I79" i="45"/>
  <c r="I78" i="45"/>
  <c r="I70" i="45"/>
  <c r="I67" i="45"/>
  <c r="I60" i="45"/>
  <c r="I80" i="45"/>
  <c r="I74" i="45"/>
  <c r="I71" i="45"/>
  <c r="I66" i="45"/>
  <c r="I61" i="45"/>
  <c r="I58" i="45"/>
  <c r="I77" i="45"/>
  <c r="I69" i="45"/>
  <c r="I62" i="45"/>
  <c r="I73" i="45"/>
  <c r="I63" i="45"/>
  <c r="I65" i="45"/>
  <c r="I68" i="45"/>
  <c r="I72" i="45"/>
  <c r="I59" i="45"/>
  <c r="B98" i="45"/>
  <c r="I76" i="45"/>
  <c r="I10" i="44"/>
  <c r="O41" i="44" s="1"/>
  <c r="I16" i="44"/>
  <c r="AA31" i="44" s="1"/>
  <c r="AE31" i="44" s="1"/>
  <c r="C82" i="45"/>
  <c r="C92" i="45" s="1"/>
  <c r="B20" i="30"/>
  <c r="B18" i="30"/>
  <c r="B12" i="2"/>
  <c r="B9" i="2"/>
  <c r="B15" i="2"/>
  <c r="B71" i="7"/>
  <c r="B84" i="7"/>
  <c r="B8" i="2"/>
  <c r="B85" i="7"/>
  <c r="E30" i="30"/>
  <c r="B16" i="2"/>
  <c r="B22" i="30"/>
  <c r="B11" i="2"/>
  <c r="E36" i="30"/>
  <c r="D36" i="30"/>
  <c r="I17" i="2"/>
  <c r="AC33" i="2" s="1"/>
  <c r="D30" i="30"/>
  <c r="B17" i="30"/>
  <c r="B15" i="30"/>
  <c r="B6" i="2" s="1"/>
  <c r="AF25" i="44" l="1"/>
  <c r="AG25" i="44" s="1"/>
  <c r="H68" i="7" s="1"/>
  <c r="AF35" i="44"/>
  <c r="AG35" i="44" s="1"/>
  <c r="H78" i="7" s="1"/>
  <c r="H17" i="41" s="1"/>
  <c r="E18" i="40" s="1"/>
  <c r="B23" i="41"/>
  <c r="B10" i="41"/>
  <c r="B24" i="41"/>
  <c r="H7" i="41"/>
  <c r="E8" i="40" s="1"/>
  <c r="AE33" i="44"/>
  <c r="AD33" i="44"/>
  <c r="AF33" i="44" s="1"/>
  <c r="L52" i="43"/>
  <c r="AC45" i="44"/>
  <c r="AF38" i="44"/>
  <c r="AG38" i="44" s="1"/>
  <c r="H81" i="7" s="1"/>
  <c r="AF26" i="44"/>
  <c r="AG26" i="44" s="1"/>
  <c r="H69" i="7" s="1"/>
  <c r="AF32" i="44"/>
  <c r="AG32" i="44" s="1"/>
  <c r="H75" i="7" s="1"/>
  <c r="C14" i="45"/>
  <c r="C47" i="45"/>
  <c r="I28" i="44"/>
  <c r="I41" i="44"/>
  <c r="J41" i="44" s="1"/>
  <c r="S45" i="44"/>
  <c r="T29" i="44"/>
  <c r="AF29" i="44" s="1"/>
  <c r="AG29" i="44" s="1"/>
  <c r="H72" i="7" s="1"/>
  <c r="G44" i="44"/>
  <c r="H44" i="44" s="1"/>
  <c r="G34" i="44"/>
  <c r="H34" i="44" s="1"/>
  <c r="G24" i="44"/>
  <c r="G36" i="44"/>
  <c r="H36" i="44" s="1"/>
  <c r="G39" i="44"/>
  <c r="H39" i="44" s="1"/>
  <c r="G43" i="44"/>
  <c r="H43" i="44" s="1"/>
  <c r="U45" i="44"/>
  <c r="V28" i="44"/>
  <c r="V45" i="44" s="1"/>
  <c r="B65" i="45"/>
  <c r="C33" i="45"/>
  <c r="L49" i="43"/>
  <c r="B37" i="43"/>
  <c r="G37" i="43" s="1"/>
  <c r="L51" i="43"/>
  <c r="L57" i="43"/>
  <c r="L45" i="43"/>
  <c r="L44" i="43"/>
  <c r="L54" i="43"/>
  <c r="F15" i="43"/>
  <c r="G15" i="43" s="1"/>
  <c r="B31" i="43" s="1"/>
  <c r="F20" i="43"/>
  <c r="G20" i="43" s="1"/>
  <c r="G14" i="43"/>
  <c r="I82" i="45"/>
  <c r="C98" i="45" s="1"/>
  <c r="L48" i="43"/>
  <c r="W45" i="44"/>
  <c r="X42" i="44"/>
  <c r="X45" i="44" s="1"/>
  <c r="M45" i="44"/>
  <c r="N34" i="44"/>
  <c r="N45" i="44" s="1"/>
  <c r="P41" i="44"/>
  <c r="P45" i="44" s="1"/>
  <c r="O45" i="44"/>
  <c r="AA45" i="44"/>
  <c r="AB31" i="44"/>
  <c r="AB45" i="44" s="1"/>
  <c r="Z30" i="44"/>
  <c r="Z45" i="44" s="1"/>
  <c r="Y45" i="44"/>
  <c r="L50" i="43"/>
  <c r="R22" i="2"/>
  <c r="R32" i="2" s="1"/>
  <c r="AE33" i="2"/>
  <c r="L22" i="2"/>
  <c r="L37" i="2" s="1"/>
  <c r="B19" i="30"/>
  <c r="B16" i="30"/>
  <c r="B7" i="2" s="1"/>
  <c r="B14" i="30"/>
  <c r="B5" i="2" s="1"/>
  <c r="E33" i="30"/>
  <c r="F11" i="44" l="1"/>
  <c r="F8" i="44"/>
  <c r="AD45" i="44"/>
  <c r="H14" i="41"/>
  <c r="E15" i="40" s="1"/>
  <c r="H20" i="41"/>
  <c r="E21" i="40" s="1"/>
  <c r="H8" i="41"/>
  <c r="E9" i="40" s="1"/>
  <c r="B91" i="45"/>
  <c r="B101" i="45" s="1"/>
  <c r="G5" i="44"/>
  <c r="AF30" i="44"/>
  <c r="AG30" i="44" s="1"/>
  <c r="H73" i="7" s="1"/>
  <c r="H5" i="44"/>
  <c r="AF31" i="44"/>
  <c r="AG31" i="44" s="1"/>
  <c r="H74" i="7" s="1"/>
  <c r="B82" i="45"/>
  <c r="C91" i="45" s="1"/>
  <c r="C101" i="45" s="1"/>
  <c r="L43" i="43"/>
  <c r="G31" i="43"/>
  <c r="L58" i="43"/>
  <c r="L55" i="43"/>
  <c r="L63" i="43"/>
  <c r="B34" i="43"/>
  <c r="G34" i="43" s="1"/>
  <c r="T45" i="44"/>
  <c r="C49" i="45"/>
  <c r="L61" i="43"/>
  <c r="F17" i="43"/>
  <c r="G17" i="43" s="1"/>
  <c r="F19" i="43"/>
  <c r="G19" i="43" s="1"/>
  <c r="G16" i="43"/>
  <c r="L46" i="43"/>
  <c r="I45" i="44"/>
  <c r="J28" i="44"/>
  <c r="J45" i="44" s="1"/>
  <c r="L59" i="43"/>
  <c r="L56" i="43"/>
  <c r="H24" i="44"/>
  <c r="H45" i="44" s="1"/>
  <c r="G45" i="44"/>
  <c r="R36" i="2"/>
  <c r="R41" i="2"/>
  <c r="R40" i="2"/>
  <c r="R35" i="2"/>
  <c r="R31" i="2"/>
  <c r="R42" i="2"/>
  <c r="R30" i="2"/>
  <c r="R33" i="2"/>
  <c r="R44" i="2"/>
  <c r="R26" i="2"/>
  <c r="R37" i="2"/>
  <c r="R34" i="2"/>
  <c r="R43" i="2"/>
  <c r="R39" i="2"/>
  <c r="R38" i="2"/>
  <c r="R24" i="2"/>
  <c r="R29" i="2"/>
  <c r="R28" i="2"/>
  <c r="R25" i="2"/>
  <c r="AC45" i="2"/>
  <c r="AD33" i="2"/>
  <c r="AD45" i="2" s="1"/>
  <c r="L28" i="2"/>
  <c r="L42" i="2"/>
  <c r="L34" i="2"/>
  <c r="L30" i="2"/>
  <c r="L36" i="2"/>
  <c r="L33" i="2"/>
  <c r="L31" i="2"/>
  <c r="L32" i="2"/>
  <c r="L39" i="2"/>
  <c r="L27" i="2"/>
  <c r="L24" i="2"/>
  <c r="L29" i="2"/>
  <c r="L35" i="2"/>
  <c r="L44" i="2"/>
  <c r="L26" i="2"/>
  <c r="L40" i="2"/>
  <c r="L25" i="2"/>
  <c r="L38" i="2"/>
  <c r="L41" i="2"/>
  <c r="I8" i="44" l="1"/>
  <c r="K43" i="44" s="1"/>
  <c r="I11" i="44"/>
  <c r="Q27" i="44" s="1"/>
  <c r="AG33" i="44"/>
  <c r="H76" i="7" s="1"/>
  <c r="AH33" i="44"/>
  <c r="AH31" i="44"/>
  <c r="H13" i="41" s="1"/>
  <c r="E14" i="40" s="1"/>
  <c r="L47" i="43"/>
  <c r="L62" i="43"/>
  <c r="L60" i="43"/>
  <c r="AH30" i="44"/>
  <c r="AH29" i="44"/>
  <c r="I5" i="44"/>
  <c r="L53" i="43"/>
  <c r="AE27" i="44" l="1"/>
  <c r="R27" i="44"/>
  <c r="Q45" i="44"/>
  <c r="K45" i="44"/>
  <c r="L43" i="44"/>
  <c r="L45" i="44" s="1"/>
  <c r="H15" i="41"/>
  <c r="E16" i="40" s="1"/>
  <c r="H12" i="41"/>
  <c r="E13" i="40" s="1"/>
  <c r="H11" i="41"/>
  <c r="E12" i="40" s="1"/>
  <c r="E44" i="44"/>
  <c r="AE44" i="44" s="1"/>
  <c r="E39" i="44"/>
  <c r="AE39" i="44" s="1"/>
  <c r="E40" i="44"/>
  <c r="AE40" i="44" s="1"/>
  <c r="E36" i="44"/>
  <c r="AE36" i="44" s="1"/>
  <c r="E34" i="44"/>
  <c r="AE34" i="44" s="1"/>
  <c r="E43" i="44"/>
  <c r="AE43" i="44" s="1"/>
  <c r="E41" i="44"/>
  <c r="AE41" i="44" s="1"/>
  <c r="E37" i="44"/>
  <c r="AE37" i="44" s="1"/>
  <c r="E28" i="44"/>
  <c r="AE28" i="44" s="1"/>
  <c r="E42" i="44"/>
  <c r="AE42" i="44" s="1"/>
  <c r="E24" i="44"/>
  <c r="AE24" i="44" s="1"/>
  <c r="I31" i="30"/>
  <c r="H12" i="2"/>
  <c r="N47" i="3"/>
  <c r="N33" i="3"/>
  <c r="N49" i="3"/>
  <c r="AF27" i="44" l="1"/>
  <c r="AG27" i="44" s="1"/>
  <c r="H70" i="7" s="1"/>
  <c r="R45" i="44"/>
  <c r="AH27" i="44"/>
  <c r="F40" i="44"/>
  <c r="F42" i="44"/>
  <c r="F39" i="44"/>
  <c r="F34" i="44"/>
  <c r="F44" i="44"/>
  <c r="F43" i="44"/>
  <c r="F36" i="44"/>
  <c r="F24" i="44"/>
  <c r="E45" i="44"/>
  <c r="F28" i="44"/>
  <c r="AF28" i="44" s="1"/>
  <c r="AG28" i="44" s="1"/>
  <c r="H71" i="7" s="1"/>
  <c r="F37" i="44"/>
  <c r="F41" i="44"/>
  <c r="G47" i="3"/>
  <c r="H9" i="41" l="1"/>
  <c r="E10" i="40" s="1"/>
  <c r="AF24" i="44"/>
  <c r="AF39" i="44"/>
  <c r="AG39" i="44" s="1"/>
  <c r="H82" i="7" s="1"/>
  <c r="AF34" i="44"/>
  <c r="AG34" i="44" s="1"/>
  <c r="H77" i="7" s="1"/>
  <c r="AF36" i="44"/>
  <c r="AG36" i="44" s="1"/>
  <c r="H79" i="7" s="1"/>
  <c r="AF41" i="44"/>
  <c r="AG41" i="44" s="1"/>
  <c r="H84" i="7" s="1"/>
  <c r="AF37" i="44"/>
  <c r="AG37" i="44" s="1"/>
  <c r="H80" i="7" s="1"/>
  <c r="AF40" i="44"/>
  <c r="AG40" i="44" s="1"/>
  <c r="H83" i="7" s="1"/>
  <c r="AF42" i="44"/>
  <c r="AG42" i="44" s="1"/>
  <c r="H85" i="7" s="1"/>
  <c r="AF43" i="44"/>
  <c r="AG43" i="44" s="1"/>
  <c r="H86" i="7" s="1"/>
  <c r="AF44" i="44"/>
  <c r="AG44" i="44" s="1"/>
  <c r="H87" i="7" s="1"/>
  <c r="F45" i="44"/>
  <c r="M47" i="3"/>
  <c r="K47" i="3"/>
  <c r="H47" i="3"/>
  <c r="F47" i="3"/>
  <c r="AF45" i="44" l="1"/>
  <c r="AG24" i="44"/>
  <c r="H67" i="7" s="1"/>
  <c r="AH34" i="44"/>
  <c r="H16" i="41" s="1"/>
  <c r="E17" i="40" s="1"/>
  <c r="AH36" i="44"/>
  <c r="H18" i="41" s="1"/>
  <c r="E19" i="40" s="1"/>
  <c r="AH43" i="44"/>
  <c r="H25" i="41" s="1"/>
  <c r="E26" i="40" s="1"/>
  <c r="AH42" i="44"/>
  <c r="H24" i="41" s="1"/>
  <c r="E25" i="40" s="1"/>
  <c r="AH40" i="44"/>
  <c r="H22" i="41" s="1"/>
  <c r="E23" i="40" s="1"/>
  <c r="AH39" i="44"/>
  <c r="H21" i="41" s="1"/>
  <c r="E22" i="40" s="1"/>
  <c r="AH44" i="44"/>
  <c r="H26" i="41" s="1"/>
  <c r="E27" i="40" s="1"/>
  <c r="AH41" i="44"/>
  <c r="H23" i="41" s="1"/>
  <c r="E24" i="40" s="1"/>
  <c r="AH37" i="44"/>
  <c r="AH28" i="44"/>
  <c r="H10" i="41" s="1"/>
  <c r="E11" i="40" s="1"/>
  <c r="AH24" i="44"/>
  <c r="H6" i="41" l="1"/>
  <c r="E7" i="40" s="1"/>
  <c r="H19" i="41"/>
  <c r="E20" i="40" s="1"/>
  <c r="C33" i="30"/>
  <c r="C9" i="2" s="1"/>
  <c r="D33" i="30" l="1"/>
  <c r="N22" i="2" s="1"/>
  <c r="G9" i="2" s="1"/>
  <c r="B33" i="3"/>
  <c r="D33" i="3"/>
  <c r="E33" i="3"/>
  <c r="G33" i="3"/>
  <c r="H33" i="3"/>
  <c r="I33" i="3"/>
  <c r="J33" i="3"/>
  <c r="K33" i="3"/>
  <c r="L33" i="3"/>
  <c r="M33" i="3"/>
  <c r="F33" i="3"/>
  <c r="N33" i="2" l="1"/>
  <c r="N44" i="2"/>
  <c r="N40" i="2"/>
  <c r="N32" i="2"/>
  <c r="N39" i="2"/>
  <c r="N35" i="2"/>
  <c r="N36" i="2"/>
  <c r="N42" i="2"/>
  <c r="N29" i="2"/>
  <c r="N30" i="2"/>
  <c r="N24" i="2"/>
  <c r="N31" i="2"/>
  <c r="N43" i="2"/>
  <c r="N41" i="2"/>
  <c r="N25" i="2"/>
  <c r="N38" i="2"/>
  <c r="N37" i="2"/>
  <c r="N28" i="2"/>
  <c r="N26" i="2"/>
  <c r="N27" i="2"/>
  <c r="L47" i="3"/>
  <c r="J47" i="3"/>
  <c r="I47" i="3"/>
  <c r="E47" i="3"/>
  <c r="AF32" i="2" l="1"/>
  <c r="AG32" i="2" s="1"/>
  <c r="AF33" i="2"/>
  <c r="AH33" i="2" s="1"/>
  <c r="AF25" i="2"/>
  <c r="AG25" i="2" s="1"/>
  <c r="AF35" i="2"/>
  <c r="AF26" i="2"/>
  <c r="AG26" i="2" s="1"/>
  <c r="AF38" i="2"/>
  <c r="AG38" i="2" s="1"/>
  <c r="AG33" i="2" l="1"/>
  <c r="M49" i="3"/>
  <c r="G76" i="7" l="1"/>
  <c r="G75" i="7"/>
  <c r="G69" i="7"/>
  <c r="G81" i="7"/>
  <c r="G78" i="7"/>
  <c r="G68" i="7" l="1"/>
  <c r="G73" i="7"/>
  <c r="G74" i="7"/>
  <c r="G70" i="7"/>
  <c r="G72" i="7"/>
  <c r="H6" i="2"/>
  <c r="D49" i="3"/>
  <c r="B49" i="3"/>
  <c r="G7" i="41" l="1"/>
  <c r="D8" i="40" s="1"/>
  <c r="I68" i="7"/>
  <c r="I78" i="7"/>
  <c r="G17" i="41"/>
  <c r="I69" i="7"/>
  <c r="G8" i="41"/>
  <c r="G20" i="41"/>
  <c r="I81" i="7"/>
  <c r="G14" i="41"/>
  <c r="I75" i="7"/>
  <c r="I76" i="7"/>
  <c r="G15" i="41"/>
  <c r="L49" i="3"/>
  <c r="H16" i="2"/>
  <c r="I8" i="41" l="1"/>
  <c r="I17" i="41"/>
  <c r="F18" i="40" s="1"/>
  <c r="I7" i="41"/>
  <c r="F8" i="40" s="1"/>
  <c r="I14" i="41"/>
  <c r="F15" i="40" s="1"/>
  <c r="I20" i="41"/>
  <c r="I15" i="41"/>
  <c r="F16" i="40" s="1"/>
  <c r="D16" i="40"/>
  <c r="D18" i="40"/>
  <c r="K29" i="43"/>
  <c r="G71" i="7"/>
  <c r="D9" i="40"/>
  <c r="D15" i="40"/>
  <c r="D21" i="40"/>
  <c r="F9" i="40"/>
  <c r="F21" i="40"/>
  <c r="I74" i="7"/>
  <c r="G13" i="41"/>
  <c r="G11" i="41"/>
  <c r="I72" i="7"/>
  <c r="G12" i="41"/>
  <c r="I73" i="7"/>
  <c r="G9" i="41"/>
  <c r="I70" i="7"/>
  <c r="J65" i="3"/>
  <c r="J69" i="3"/>
  <c r="J73" i="3"/>
  <c r="J77" i="3"/>
  <c r="J64" i="3"/>
  <c r="J60" i="3"/>
  <c r="J71" i="3"/>
  <c r="J79" i="3"/>
  <c r="J58" i="3"/>
  <c r="B98" i="3"/>
  <c r="J68" i="3"/>
  <c r="J72" i="3"/>
  <c r="J80" i="3"/>
  <c r="J66" i="3"/>
  <c r="J70" i="3"/>
  <c r="J74" i="3"/>
  <c r="J78" i="3"/>
  <c r="J63" i="3"/>
  <c r="J59" i="3"/>
  <c r="J67" i="3"/>
  <c r="J75" i="3"/>
  <c r="J62" i="3"/>
  <c r="J76" i="3"/>
  <c r="J61" i="3"/>
  <c r="I71" i="7" l="1"/>
  <c r="I12" i="41"/>
  <c r="F13" i="40" s="1"/>
  <c r="I11" i="41"/>
  <c r="I9" i="41"/>
  <c r="F10" i="40" s="1"/>
  <c r="I13" i="41"/>
  <c r="F14" i="40" s="1"/>
  <c r="D14" i="40"/>
  <c r="G10" i="41"/>
  <c r="D13" i="40"/>
  <c r="D12" i="40"/>
  <c r="D10" i="40"/>
  <c r="F12" i="40"/>
  <c r="G80" i="7"/>
  <c r="G83" i="7"/>
  <c r="J81" i="3"/>
  <c r="C98" i="3" s="1"/>
  <c r="I10" i="41" l="1"/>
  <c r="F11" i="40" s="1"/>
  <c r="D11" i="40"/>
  <c r="G79" i="7"/>
  <c r="G67" i="7"/>
  <c r="G87" i="7"/>
  <c r="G82" i="7"/>
  <c r="G85" i="7"/>
  <c r="H9" i="2"/>
  <c r="H13" i="2"/>
  <c r="H10" i="2"/>
  <c r="G6" i="41" l="1"/>
  <c r="I67" i="7"/>
  <c r="K30" i="43"/>
  <c r="G77" i="7"/>
  <c r="G21" i="41"/>
  <c r="I82" i="7"/>
  <c r="G26" i="41"/>
  <c r="I87" i="7"/>
  <c r="G18" i="41"/>
  <c r="I79" i="7"/>
  <c r="G86" i="7"/>
  <c r="G22" i="41"/>
  <c r="I83" i="7"/>
  <c r="G19" i="41"/>
  <c r="I80" i="7"/>
  <c r="G84" i="7"/>
  <c r="K80" i="3"/>
  <c r="K72" i="3"/>
  <c r="K63" i="3"/>
  <c r="K61" i="3"/>
  <c r="K60" i="3"/>
  <c r="K69" i="3"/>
  <c r="K78" i="3"/>
  <c r="K64" i="3"/>
  <c r="K65" i="3"/>
  <c r="K73" i="3"/>
  <c r="K62" i="3"/>
  <c r="K66" i="3"/>
  <c r="K67" i="3"/>
  <c r="K75" i="3"/>
  <c r="K68" i="3"/>
  <c r="B99" i="3"/>
  <c r="K71" i="3"/>
  <c r="K74" i="3"/>
  <c r="K76" i="3"/>
  <c r="K77" i="3"/>
  <c r="K79" i="3"/>
  <c r="K59" i="3"/>
  <c r="K58" i="3"/>
  <c r="K70" i="3"/>
  <c r="B95" i="3"/>
  <c r="C64" i="3"/>
  <c r="E72" i="3"/>
  <c r="B93" i="3"/>
  <c r="E76" i="3"/>
  <c r="E79" i="3"/>
  <c r="E73" i="3"/>
  <c r="E59" i="3"/>
  <c r="E63" i="3"/>
  <c r="E70" i="3"/>
  <c r="E58" i="3"/>
  <c r="E75" i="3"/>
  <c r="E74" i="3"/>
  <c r="E69" i="3"/>
  <c r="E77" i="3"/>
  <c r="E65" i="3"/>
  <c r="E60" i="3"/>
  <c r="E68" i="3"/>
  <c r="E64" i="3"/>
  <c r="E67" i="3"/>
  <c r="E61" i="3"/>
  <c r="E78" i="3"/>
  <c r="E80" i="3"/>
  <c r="E66" i="3"/>
  <c r="E62" i="3"/>
  <c r="E71" i="3"/>
  <c r="G67" i="3"/>
  <c r="J49" i="3"/>
  <c r="K49" i="3"/>
  <c r="F49" i="3"/>
  <c r="G49" i="3"/>
  <c r="H7" i="2"/>
  <c r="H49" i="3"/>
  <c r="E49" i="3"/>
  <c r="I19" i="41" l="1"/>
  <c r="F20" i="40" s="1"/>
  <c r="I21" i="41"/>
  <c r="F22" i="40" s="1"/>
  <c r="I18" i="41"/>
  <c r="F19" i="40" s="1"/>
  <c r="I6" i="41"/>
  <c r="F7" i="40" s="1"/>
  <c r="I26" i="41"/>
  <c r="F27" i="40" s="1"/>
  <c r="I22" i="41"/>
  <c r="F23" i="40" s="1"/>
  <c r="D22" i="40"/>
  <c r="G25" i="41"/>
  <c r="I86" i="7"/>
  <c r="D27" i="40"/>
  <c r="D19" i="40"/>
  <c r="D7" i="40"/>
  <c r="K31" i="43"/>
  <c r="K32" i="43" s="1"/>
  <c r="G16" i="41"/>
  <c r="I77" i="7"/>
  <c r="D20" i="40"/>
  <c r="D23" i="40"/>
  <c r="G24" i="41"/>
  <c r="I85" i="7"/>
  <c r="G23" i="41"/>
  <c r="I84" i="7"/>
  <c r="G70" i="3"/>
  <c r="G80" i="3"/>
  <c r="G59" i="3"/>
  <c r="G76" i="3"/>
  <c r="G69" i="3"/>
  <c r="G66" i="3"/>
  <c r="G63" i="3"/>
  <c r="G58" i="3"/>
  <c r="G77" i="3"/>
  <c r="G61" i="3"/>
  <c r="G75" i="3"/>
  <c r="C68" i="3"/>
  <c r="C74" i="3"/>
  <c r="G78" i="3"/>
  <c r="G64" i="3"/>
  <c r="G72" i="3"/>
  <c r="G60" i="3"/>
  <c r="G73" i="3"/>
  <c r="G65" i="3"/>
  <c r="C62" i="3"/>
  <c r="C63" i="3"/>
  <c r="G74" i="3"/>
  <c r="G62" i="3"/>
  <c r="G68" i="3"/>
  <c r="G79" i="3"/>
  <c r="G71" i="3"/>
  <c r="C72" i="3"/>
  <c r="C77" i="3"/>
  <c r="C58" i="3"/>
  <c r="C71" i="3"/>
  <c r="C60" i="3"/>
  <c r="C75" i="3"/>
  <c r="C67" i="3"/>
  <c r="C61" i="3"/>
  <c r="C78" i="3"/>
  <c r="C69" i="3"/>
  <c r="C59" i="3"/>
  <c r="C65" i="3"/>
  <c r="C76" i="3"/>
  <c r="B91" i="3"/>
  <c r="C70" i="3"/>
  <c r="C73" i="3"/>
  <c r="C80" i="3"/>
  <c r="C66" i="3"/>
  <c r="C79" i="3"/>
  <c r="H62" i="3"/>
  <c r="H58" i="3"/>
  <c r="H64" i="3"/>
  <c r="H80" i="3"/>
  <c r="H70" i="3"/>
  <c r="H74" i="3"/>
  <c r="H78" i="3"/>
  <c r="H60" i="3"/>
  <c r="B96" i="3"/>
  <c r="H65" i="3"/>
  <c r="H67" i="3"/>
  <c r="H69" i="3"/>
  <c r="H71" i="3"/>
  <c r="H73" i="3"/>
  <c r="H75" i="3"/>
  <c r="H77" i="3"/>
  <c r="H79" i="3"/>
  <c r="H61" i="3"/>
  <c r="H59" i="3"/>
  <c r="H66" i="3"/>
  <c r="H68" i="3"/>
  <c r="H72" i="3"/>
  <c r="H76" i="3"/>
  <c r="H63" i="3"/>
  <c r="E81" i="3"/>
  <c r="C93" i="3" s="1"/>
  <c r="K81" i="3"/>
  <c r="C99" i="3" s="1"/>
  <c r="D67" i="3"/>
  <c r="B92" i="3"/>
  <c r="D76" i="3"/>
  <c r="D79" i="3"/>
  <c r="D73" i="3"/>
  <c r="D62" i="3"/>
  <c r="D58" i="3"/>
  <c r="D59" i="3"/>
  <c r="D80" i="3"/>
  <c r="D78" i="3"/>
  <c r="D71" i="3"/>
  <c r="D66" i="3"/>
  <c r="D65" i="3"/>
  <c r="D68" i="3"/>
  <c r="D64" i="3"/>
  <c r="D74" i="3"/>
  <c r="D77" i="3"/>
  <c r="D69" i="3"/>
  <c r="D63" i="3"/>
  <c r="D60" i="3"/>
  <c r="D72" i="3"/>
  <c r="D70" i="3"/>
  <c r="D75" i="3"/>
  <c r="D61" i="3"/>
  <c r="B97" i="3"/>
  <c r="I62" i="3"/>
  <c r="I65" i="3"/>
  <c r="I69" i="3"/>
  <c r="I73" i="3"/>
  <c r="I77" i="3"/>
  <c r="I64" i="3"/>
  <c r="I71" i="3"/>
  <c r="I79" i="3"/>
  <c r="I63" i="3"/>
  <c r="I68" i="3"/>
  <c r="I76" i="3"/>
  <c r="I61" i="3"/>
  <c r="I66" i="3"/>
  <c r="I70" i="3"/>
  <c r="I74" i="3"/>
  <c r="I78" i="3"/>
  <c r="I58" i="3"/>
  <c r="I60" i="3"/>
  <c r="I67" i="3"/>
  <c r="I75" i="3"/>
  <c r="I59" i="3"/>
  <c r="I72" i="3"/>
  <c r="I80" i="3"/>
  <c r="F80" i="3"/>
  <c r="B94" i="3"/>
  <c r="G8" i="2" s="1"/>
  <c r="F74" i="3"/>
  <c r="F69" i="3"/>
  <c r="F77" i="3"/>
  <c r="F61" i="3"/>
  <c r="F65" i="3"/>
  <c r="F76" i="3"/>
  <c r="F71" i="3"/>
  <c r="F59" i="3"/>
  <c r="F68" i="3"/>
  <c r="F62" i="3"/>
  <c r="F70" i="3"/>
  <c r="F79" i="3"/>
  <c r="F73" i="3"/>
  <c r="F63" i="3"/>
  <c r="F60" i="3"/>
  <c r="F72" i="3"/>
  <c r="F67" i="3"/>
  <c r="F66" i="3"/>
  <c r="F64" i="3"/>
  <c r="F58" i="3"/>
  <c r="F75" i="3"/>
  <c r="F78" i="3"/>
  <c r="I16" i="41" l="1"/>
  <c r="F17" i="40" s="1"/>
  <c r="I23" i="41"/>
  <c r="F24" i="40" s="1"/>
  <c r="I24" i="41"/>
  <c r="F25" i="40" s="1"/>
  <c r="I25" i="41"/>
  <c r="F26" i="40" s="1"/>
  <c r="D26" i="40"/>
  <c r="D17" i="40"/>
  <c r="D25" i="40"/>
  <c r="D24" i="40"/>
  <c r="G81" i="3"/>
  <c r="C95" i="3" s="1"/>
  <c r="C81" i="3"/>
  <c r="C91" i="3" s="1"/>
  <c r="I81" i="3"/>
  <c r="C97" i="3" s="1"/>
  <c r="H81" i="3"/>
  <c r="C96" i="3" s="1"/>
  <c r="F81" i="3"/>
  <c r="C94" i="3" s="1"/>
  <c r="D81" i="3"/>
  <c r="C92" i="3" s="1"/>
  <c r="H8" i="2" l="1"/>
  <c r="I49" i="3" l="1"/>
  <c r="D76" i="7" l="1"/>
  <c r="D81" i="7"/>
  <c r="D75" i="7"/>
  <c r="D69" i="7"/>
  <c r="D68" i="7"/>
  <c r="D7" i="41" l="1"/>
  <c r="D8" i="41"/>
  <c r="D14" i="41"/>
  <c r="D20" i="41"/>
  <c r="D15" i="41"/>
  <c r="F13" i="2"/>
  <c r="F6" i="2"/>
  <c r="F14" i="2"/>
  <c r="F5" i="2"/>
  <c r="C7" i="3" s="1"/>
  <c r="F9" i="2"/>
  <c r="F12" i="2"/>
  <c r="F15" i="2"/>
  <c r="F11" i="2"/>
  <c r="F10" i="2"/>
  <c r="F16" i="2"/>
  <c r="F8" i="2"/>
  <c r="F7" i="2"/>
  <c r="I10" i="2" l="1"/>
  <c r="O41" i="2" s="1"/>
  <c r="O45" i="2" s="1"/>
  <c r="I13" i="2"/>
  <c r="U28" i="2" s="1"/>
  <c r="I14" i="2"/>
  <c r="W42" i="2" s="1"/>
  <c r="I11" i="2"/>
  <c r="Q27" i="2" s="1"/>
  <c r="I7" i="2"/>
  <c r="I28" i="2" s="1"/>
  <c r="I8" i="2"/>
  <c r="K43" i="2" s="1"/>
  <c r="K45" i="2" s="1"/>
  <c r="I15" i="2"/>
  <c r="Y30" i="2" s="1"/>
  <c r="I16" i="2"/>
  <c r="AA31" i="2" s="1"/>
  <c r="AE31" i="2" s="1"/>
  <c r="I12" i="2"/>
  <c r="S29" i="2" s="1"/>
  <c r="AE29" i="2" s="1"/>
  <c r="I6" i="2"/>
  <c r="G24" i="2" s="1"/>
  <c r="B58" i="3"/>
  <c r="C9" i="3"/>
  <c r="B60" i="3" s="1"/>
  <c r="C23" i="3"/>
  <c r="B71" i="3" s="1"/>
  <c r="C32" i="3"/>
  <c r="B80" i="3" s="1"/>
  <c r="C43" i="3"/>
  <c r="C27" i="3"/>
  <c r="B75" i="3" s="1"/>
  <c r="C39" i="3"/>
  <c r="C11" i="3"/>
  <c r="B62" i="3" s="1"/>
  <c r="C41" i="3"/>
  <c r="C17" i="3"/>
  <c r="B65" i="3" s="1"/>
  <c r="C18" i="3"/>
  <c r="B66" i="3" s="1"/>
  <c r="C30" i="3"/>
  <c r="B78" i="3" s="1"/>
  <c r="C37" i="3"/>
  <c r="C8" i="3"/>
  <c r="B59" i="3" s="1"/>
  <c r="C16" i="3"/>
  <c r="B64" i="3" s="1"/>
  <c r="C10" i="3"/>
  <c r="B61" i="3" s="1"/>
  <c r="C21" i="3"/>
  <c r="B69" i="3" s="1"/>
  <c r="C12" i="3"/>
  <c r="B63" i="3" s="1"/>
  <c r="C24" i="3"/>
  <c r="B72" i="3" s="1"/>
  <c r="C42" i="3"/>
  <c r="C35" i="3"/>
  <c r="C25" i="3"/>
  <c r="B73" i="3" s="1"/>
  <c r="C36" i="3"/>
  <c r="I9" i="2"/>
  <c r="M34" i="2" s="1"/>
  <c r="C22" i="3"/>
  <c r="B70" i="3" s="1"/>
  <c r="C44" i="3"/>
  <c r="C29" i="3"/>
  <c r="B77" i="3" s="1"/>
  <c r="C20" i="3"/>
  <c r="B68" i="3" s="1"/>
  <c r="C26" i="3"/>
  <c r="B74" i="3" s="1"/>
  <c r="C40" i="3"/>
  <c r="C28" i="3"/>
  <c r="B76" i="3" s="1"/>
  <c r="C19" i="3"/>
  <c r="B67" i="3" s="1"/>
  <c r="C31" i="3"/>
  <c r="B79" i="3" s="1"/>
  <c r="C38" i="3"/>
  <c r="C47" i="3" l="1"/>
  <c r="R27" i="2"/>
  <c r="AF27" i="2" s="1"/>
  <c r="AE27" i="2"/>
  <c r="Y45" i="2"/>
  <c r="AE30" i="2"/>
  <c r="X42" i="2"/>
  <c r="X45" i="2" s="1"/>
  <c r="V28" i="2"/>
  <c r="V45" i="2" s="1"/>
  <c r="AA45" i="2"/>
  <c r="AB31" i="2"/>
  <c r="AF31" i="2" s="1"/>
  <c r="AG31" i="2" s="1"/>
  <c r="L43" i="2"/>
  <c r="L45" i="2" s="1"/>
  <c r="S45" i="2"/>
  <c r="P41" i="2"/>
  <c r="P45" i="2" s="1"/>
  <c r="T29" i="2"/>
  <c r="I41" i="2"/>
  <c r="J41" i="2" s="1"/>
  <c r="U45" i="2"/>
  <c r="Q45" i="2"/>
  <c r="G39" i="2"/>
  <c r="H39" i="2" s="1"/>
  <c r="Z30" i="2"/>
  <c r="G43" i="2"/>
  <c r="H43" i="2" s="1"/>
  <c r="G44" i="2"/>
  <c r="H44" i="2" s="1"/>
  <c r="G34" i="2"/>
  <c r="H34" i="2" s="1"/>
  <c r="G36" i="2"/>
  <c r="H36" i="2" s="1"/>
  <c r="W45" i="2"/>
  <c r="H24" i="2"/>
  <c r="J28" i="2"/>
  <c r="N34" i="2"/>
  <c r="N45" i="2" s="1"/>
  <c r="M45" i="2"/>
  <c r="C14" i="3"/>
  <c r="C33" i="3"/>
  <c r="B81" i="3"/>
  <c r="C90" i="3" s="1"/>
  <c r="C100" i="3" s="1"/>
  <c r="R45" i="2" l="1"/>
  <c r="H5" i="2"/>
  <c r="I5" i="2" s="1"/>
  <c r="E24" i="2" s="1"/>
  <c r="AE24" i="2" s="1"/>
  <c r="AF29" i="2"/>
  <c r="AF30" i="2"/>
  <c r="AG30" i="2" s="1"/>
  <c r="T45" i="2"/>
  <c r="I45" i="2"/>
  <c r="J45" i="2"/>
  <c r="AB45" i="2"/>
  <c r="AH31" i="2"/>
  <c r="AH27" i="2"/>
  <c r="Z45" i="2"/>
  <c r="H45" i="2"/>
  <c r="G45" i="2"/>
  <c r="AG27" i="2"/>
  <c r="D74" i="7"/>
  <c r="C49" i="3"/>
  <c r="B90" i="3"/>
  <c r="D13" i="41" l="1"/>
  <c r="AH30" i="2"/>
  <c r="AG29" i="2"/>
  <c r="D72" i="7" s="1"/>
  <c r="AH29" i="2"/>
  <c r="E43" i="2"/>
  <c r="AE43" i="2" s="1"/>
  <c r="E41" i="2"/>
  <c r="AE41" i="2" s="1"/>
  <c r="E39" i="2"/>
  <c r="AE39" i="2" s="1"/>
  <c r="E37" i="2"/>
  <c r="AE37" i="2" s="1"/>
  <c r="E42" i="2"/>
  <c r="AE42" i="2" s="1"/>
  <c r="E40" i="2"/>
  <c r="AE40" i="2" s="1"/>
  <c r="E36" i="2"/>
  <c r="AE36" i="2" s="1"/>
  <c r="E34" i="2"/>
  <c r="AE34" i="2" s="1"/>
  <c r="E28" i="2"/>
  <c r="AE28" i="2" s="1"/>
  <c r="E44" i="2"/>
  <c r="AE44" i="2" s="1"/>
  <c r="B100" i="3"/>
  <c r="D73" i="7"/>
  <c r="D70" i="7"/>
  <c r="D9" i="41" l="1"/>
  <c r="D12" i="41"/>
  <c r="D11" i="41"/>
  <c r="F37" i="2"/>
  <c r="F34" i="2"/>
  <c r="F44" i="2"/>
  <c r="F36" i="2"/>
  <c r="F39" i="2"/>
  <c r="F28" i="2"/>
  <c r="F41" i="2"/>
  <c r="F43" i="2"/>
  <c r="F40" i="2"/>
  <c r="F42" i="2"/>
  <c r="E45" i="2"/>
  <c r="F24" i="2"/>
  <c r="AF24" i="2" s="1"/>
  <c r="AF42" i="2" l="1"/>
  <c r="AF44" i="2"/>
  <c r="AH44" i="2" s="1"/>
  <c r="AF43" i="2"/>
  <c r="AH43" i="2" s="1"/>
  <c r="AF36" i="2"/>
  <c r="AH36" i="2" s="1"/>
  <c r="AF40" i="2"/>
  <c r="AF41" i="2"/>
  <c r="AG41" i="2" s="1"/>
  <c r="D84" i="7" s="1"/>
  <c r="AF34" i="2"/>
  <c r="AH34" i="2" s="1"/>
  <c r="AF28" i="2"/>
  <c r="AH28" i="2" s="1"/>
  <c r="AF39" i="2"/>
  <c r="AG39" i="2" s="1"/>
  <c r="D82" i="7" s="1"/>
  <c r="AF37" i="2"/>
  <c r="F45" i="2"/>
  <c r="D23" i="41" l="1"/>
  <c r="D21" i="41"/>
  <c r="AG40" i="2"/>
  <c r="D83" i="7" s="1"/>
  <c r="AH40" i="2"/>
  <c r="AG37" i="2"/>
  <c r="D80" i="7" s="1"/>
  <c r="AH37" i="2"/>
  <c r="AG42" i="2"/>
  <c r="D85" i="7" s="1"/>
  <c r="AH42" i="2"/>
  <c r="AH39" i="2"/>
  <c r="AH41" i="2"/>
  <c r="AG28" i="2"/>
  <c r="D71" i="7" s="1"/>
  <c r="AG36" i="2"/>
  <c r="D79" i="7" s="1"/>
  <c r="AG43" i="2"/>
  <c r="D86" i="7" s="1"/>
  <c r="AG44" i="2"/>
  <c r="D87" i="7" s="1"/>
  <c r="AG34" i="2"/>
  <c r="D77" i="7" s="1"/>
  <c r="AG24" i="2"/>
  <c r="D67" i="7" s="1"/>
  <c r="AF45" i="2"/>
  <c r="AH24" i="2"/>
  <c r="D25" i="41" l="1"/>
  <c r="D26" i="41"/>
  <c r="D6" i="41"/>
  <c r="D22" i="41"/>
  <c r="D24" i="41"/>
  <c r="D16" i="41"/>
  <c r="D18" i="41"/>
  <c r="D19" i="41"/>
  <c r="D10" i="41"/>
  <c r="I52" i="30" l="1"/>
  <c r="J52" i="30" s="1"/>
  <c r="J62" i="30" s="1"/>
  <c r="E52" i="30"/>
  <c r="E62" i="30" s="1"/>
  <c r="B78" i="7"/>
  <c r="B17" i="41" l="1"/>
  <c r="B27" i="41" s="1"/>
  <c r="B88" i="7"/>
  <c r="AG35" i="2"/>
  <c r="D78" i="7" s="1"/>
  <c r="D17" i="41" l="1"/>
  <c r="B13" i="30"/>
  <c r="E13" i="30" s="1"/>
  <c r="E23" i="30" s="1"/>
  <c r="F23" i="30" s="1"/>
  <c r="K50" i="30" s="1"/>
  <c r="E14" i="30"/>
  <c r="E18" i="30"/>
  <c r="F18" i="30" s="1"/>
  <c r="K46" i="30" s="1"/>
  <c r="E22" i="30"/>
  <c r="F22" i="30" s="1"/>
  <c r="K48" i="30" s="1"/>
  <c r="E21" i="30" l="1"/>
  <c r="F21" i="30" s="1"/>
  <c r="K47" i="30" s="1"/>
  <c r="F13" i="30"/>
  <c r="K49" i="30" s="1"/>
  <c r="K55" i="30"/>
  <c r="B36" i="30"/>
  <c r="F36" i="30" s="1"/>
  <c r="K43" i="30"/>
  <c r="E20" i="30"/>
  <c r="F20" i="30" s="1"/>
  <c r="K59" i="30" s="1"/>
  <c r="E15" i="30"/>
  <c r="F15" i="30" s="1"/>
  <c r="F14" i="30"/>
  <c r="E16" i="30"/>
  <c r="K52" i="30" l="1"/>
  <c r="K42" i="30"/>
  <c r="F16" i="30"/>
  <c r="E17" i="30"/>
  <c r="F17" i="30" s="1"/>
  <c r="K58" i="30" s="1"/>
  <c r="E19" i="30"/>
  <c r="F19" i="30" s="1"/>
  <c r="K45" i="30" s="1"/>
  <c r="K54" i="30"/>
  <c r="K57" i="30"/>
  <c r="K53" i="30"/>
  <c r="K61" i="30"/>
  <c r="K41" i="30"/>
  <c r="B33" i="30"/>
  <c r="F33" i="30" s="1"/>
  <c r="K56" i="30"/>
  <c r="B30" i="30"/>
  <c r="F30" i="30" s="1"/>
  <c r="K44" i="30"/>
  <c r="K60" i="30" l="1"/>
  <c r="K51" i="30"/>
  <c r="C78" i="7" l="1"/>
  <c r="C68" i="7"/>
  <c r="C75" i="7"/>
  <c r="C69" i="7"/>
  <c r="C81" i="7"/>
  <c r="C14" i="41" l="1"/>
  <c r="C8" i="41"/>
  <c r="C7" i="41"/>
  <c r="C17" i="41"/>
  <c r="C20" i="41"/>
  <c r="C83" i="7"/>
  <c r="E75" i="7"/>
  <c r="E81" i="7"/>
  <c r="C80" i="7"/>
  <c r="C73" i="7"/>
  <c r="C70" i="7"/>
  <c r="C74" i="7"/>
  <c r="E69" i="7"/>
  <c r="E78" i="7"/>
  <c r="E68" i="7"/>
  <c r="C72" i="7"/>
  <c r="C76" i="7"/>
  <c r="C22" i="41" l="1"/>
  <c r="C11" i="41"/>
  <c r="C19" i="41"/>
  <c r="C15" i="41"/>
  <c r="C12" i="41"/>
  <c r="C13" i="41"/>
  <c r="C9" i="41"/>
  <c r="E8" i="41"/>
  <c r="E20" i="41"/>
  <c r="E17" i="41"/>
  <c r="E14" i="41"/>
  <c r="E7" i="41"/>
  <c r="E73" i="7"/>
  <c r="E76" i="7"/>
  <c r="C87" i="7"/>
  <c r="C82" i="7"/>
  <c r="E72" i="7"/>
  <c r="E74" i="7"/>
  <c r="C67" i="7"/>
  <c r="E83" i="7"/>
  <c r="C79" i="7"/>
  <c r="E80" i="7"/>
  <c r="C85" i="7"/>
  <c r="E70" i="7"/>
  <c r="J28" i="30"/>
  <c r="C71" i="7"/>
  <c r="C6" i="41" l="1"/>
  <c r="C21" i="41"/>
  <c r="C26" i="41"/>
  <c r="C24" i="41"/>
  <c r="C10" i="41"/>
  <c r="C18" i="41"/>
  <c r="E11" i="41"/>
  <c r="E13" i="41"/>
  <c r="E9" i="41"/>
  <c r="E22" i="41"/>
  <c r="E12" i="41"/>
  <c r="E15" i="41"/>
  <c r="E19" i="41"/>
  <c r="E85" i="7"/>
  <c r="E82" i="7"/>
  <c r="E67" i="7"/>
  <c r="E71" i="7"/>
  <c r="E87" i="7"/>
  <c r="J29" i="30"/>
  <c r="C77" i="7"/>
  <c r="E79" i="7"/>
  <c r="C86" i="7"/>
  <c r="C84" i="7"/>
  <c r="J30" i="30"/>
  <c r="J31" i="30" l="1"/>
  <c r="E24" i="41"/>
  <c r="C16" i="41"/>
  <c r="C23" i="41"/>
  <c r="C25" i="41"/>
  <c r="E26" i="41"/>
  <c r="E18" i="41"/>
  <c r="E6" i="41"/>
  <c r="E10" i="41"/>
  <c r="E21" i="41"/>
  <c r="E84" i="7"/>
  <c r="E86" i="7"/>
  <c r="E77" i="7"/>
  <c r="E25" i="41" l="1"/>
  <c r="E16" i="41"/>
  <c r="E23" i="41"/>
</calcChain>
</file>

<file path=xl/sharedStrings.xml><?xml version="1.0" encoding="utf-8"?>
<sst xmlns="http://schemas.openxmlformats.org/spreadsheetml/2006/main" count="1696" uniqueCount="447">
  <si>
    <t>RPM Parameters</t>
  </si>
  <si>
    <t>IRM</t>
  </si>
  <si>
    <t>LDA</t>
  </si>
  <si>
    <t>FPR</t>
  </si>
  <si>
    <t>SWMAAC</t>
  </si>
  <si>
    <t>RTO</t>
  </si>
  <si>
    <t>Zone</t>
  </si>
  <si>
    <t>PS</t>
  </si>
  <si>
    <t>PECO</t>
  </si>
  <si>
    <t>PL</t>
  </si>
  <si>
    <t>BGE</t>
  </si>
  <si>
    <t>JCPL</t>
  </si>
  <si>
    <t>METED</t>
  </si>
  <si>
    <t>PENLC</t>
  </si>
  <si>
    <t>PEPCO</t>
  </si>
  <si>
    <t>AE</t>
  </si>
  <si>
    <t>DPL</t>
  </si>
  <si>
    <t>RECO</t>
  </si>
  <si>
    <t>APS</t>
  </si>
  <si>
    <t>COMED</t>
  </si>
  <si>
    <t>DAYTON</t>
  </si>
  <si>
    <t>Zonal Forecast Peak Load Scaling Factor</t>
  </si>
  <si>
    <t>Obligation Peak Load Scaling Factor</t>
  </si>
  <si>
    <t xml:space="preserve"> </t>
  </si>
  <si>
    <t>Base Zonal RPM Scaling Factor</t>
  </si>
  <si>
    <t>LDA2</t>
  </si>
  <si>
    <t>LDA1</t>
  </si>
  <si>
    <t>MAAC</t>
  </si>
  <si>
    <t>AEP</t>
  </si>
  <si>
    <t>DOM</t>
  </si>
  <si>
    <t>LDA3</t>
  </si>
  <si>
    <t>Preliminary Zonal Capacity Price           [$/MW-day]</t>
  </si>
  <si>
    <t>EMAAC</t>
  </si>
  <si>
    <t>PSNORTH</t>
  </si>
  <si>
    <t>DPLSOUTH</t>
  </si>
  <si>
    <t>Rest of DPL</t>
  </si>
  <si>
    <t>Rest of PS</t>
  </si>
  <si>
    <t>DPL Equivalent</t>
  </si>
  <si>
    <t>Preliminary Zonal Results</t>
  </si>
  <si>
    <t>PS Equivalent</t>
  </si>
  <si>
    <t>Locational Price Adder</t>
  </si>
  <si>
    <t>DLCO</t>
  </si>
  <si>
    <t>ATSI</t>
  </si>
  <si>
    <t>Rest of RTO</t>
  </si>
  <si>
    <t>Rest of SWMAAC</t>
  </si>
  <si>
    <t>Rest of EMAAC</t>
  </si>
  <si>
    <t>Rest of MAAC</t>
  </si>
  <si>
    <t>Total</t>
  </si>
  <si>
    <t>Base Zonal CTR Credit Rate [$/MW UCAP Obligation per Day]</t>
  </si>
  <si>
    <t>DEOK</t>
  </si>
  <si>
    <t>Resource Credits</t>
  </si>
  <si>
    <t>Resource Clearing Prices</t>
  </si>
  <si>
    <t>Cleared &amp; Make-Whole MWs</t>
  </si>
  <si>
    <t>Sub-Zone/Zone</t>
  </si>
  <si>
    <t>LDA Base UCAP Obligation [MW]</t>
  </si>
  <si>
    <t>Incremental Capacity Transfer Rights (ICTRs)</t>
  </si>
  <si>
    <t>ICTR Credits</t>
  </si>
  <si>
    <t>Sink LDA</t>
  </si>
  <si>
    <t>QTU Credits [$/day]</t>
  </si>
  <si>
    <t>LDA CTRs</t>
  </si>
  <si>
    <t>Base UCAP Obligation [MW]</t>
  </si>
  <si>
    <t>Internal  Resources Cleared in LDA</t>
  </si>
  <si>
    <t>QTU Equivalents [MW]</t>
  </si>
  <si>
    <t>Totals</t>
  </si>
  <si>
    <t>Notes:</t>
  </si>
  <si>
    <t>Locational Price Adder is respect to immediate higher level LDA.</t>
  </si>
  <si>
    <t>Economic Value of CTRs = CTRs Allocated * Locational Price Adder</t>
  </si>
  <si>
    <t>CTRs Allocated, Economic Value of CTRs, CTR Credit Rates, and CTR Settlement Rates are not final and may change to due Incremental Auction results.</t>
  </si>
  <si>
    <t>Customer-Funded Upgrades ICTRs [MW]</t>
  </si>
  <si>
    <t>Customer-Funded Upgrades</t>
  </si>
  <si>
    <t>Customer-Funded ICTR Credits [$/day]</t>
  </si>
  <si>
    <t>Cleared Capacity     [MW]</t>
  </si>
  <si>
    <t>Preliminary CTRs Allocated = Max of the LDA CTRs Allocated to LSEs [MW]</t>
  </si>
  <si>
    <t>ICTRs for Customer-Funded Upgrades [MW]</t>
  </si>
  <si>
    <t>Total ICTRs into Sink LDA [MW]</t>
  </si>
  <si>
    <t>Allocation of LSE CTRs, Economic Value of LSE CTRs, Zonal CTR Credit Rates, &amp; Zonal CTR Settlement Rates</t>
  </si>
  <si>
    <t>LDA Capacity Price [$/MW-day]</t>
  </si>
  <si>
    <t>Total CTRs * [MW]</t>
  </si>
  <si>
    <t>* CTRs are reduced to allow for certain grandfathered congestion credits.</t>
  </si>
  <si>
    <t>b0457: Dooms-Lexington circuit wave traps (effective 2012/2013)</t>
  </si>
  <si>
    <t>b0559: Capacitor at Meadow Brook substation (effective 2012/2013</t>
  </si>
  <si>
    <t>b1398: Build two new parallel underground circuits from Gloucester to Camden (effective 2015/2016)</t>
  </si>
  <si>
    <t>b1507: Rebuild Mt Storm - Doubs 500 kV (effective 2015/2016)</t>
  </si>
  <si>
    <t>b0487, b0489: Build new 500 kV transmission facilities from Susquehanna to Roseland (effective 2015/2016)</t>
  </si>
  <si>
    <t>Incremental Rights-Eligible Required Transmission Enhancements</t>
  </si>
  <si>
    <t>ICTRs [MW] for Lower Voltage Facilities</t>
  </si>
  <si>
    <t>Incremental Rights-Eligible Required Transmission Enhancements ICTR Credits [$/day]</t>
  </si>
  <si>
    <t>Certified ICTR * [MW]</t>
  </si>
  <si>
    <t>Remaining CTRs for Incremental Rights-Eligible Required Transmission Enhancements, Customer-Funded Upgrades, &amp; LSEs [MW]</t>
  </si>
  <si>
    <t>Incremental Rights-Eligible Required Transmission Enhancements ICTRs [MW]</t>
  </si>
  <si>
    <t>* Certified ICTRs are adjusted if the Remaining CTRs for Incremental Rights-Eligible Required Transmission Enhancements, Customer Funded-Upgrades, and LSEs into LDA are less than the Total Certified ICTRs into the LDA.</t>
  </si>
  <si>
    <t>Remaining CTRs for LSEs [MW]</t>
  </si>
  <si>
    <t>Base Residual Auction</t>
  </si>
  <si>
    <t>Base Zonal CTR Credit Rate ($/MW-UCAP Obligation-day)</t>
  </si>
  <si>
    <t>Preliminary Zonal Net Load Price         ($/MW-day)</t>
  </si>
  <si>
    <t>b1304.1, b1304.2, b1304.3, b1304.4: Various upgrades in PS (effective 2015/2016)</t>
  </si>
  <si>
    <t>ATSI-CLEVELAND</t>
  </si>
  <si>
    <t>Rest of ATSI</t>
  </si>
  <si>
    <t>ATSI Equivalent</t>
  </si>
  <si>
    <t>EKPC</t>
  </si>
  <si>
    <t>b1694: Rebuild Loudoun - Brambleton 500 kV (effective 2016/2017)</t>
  </si>
  <si>
    <t>Calculation of Zonal Capacity Prices for PS, DPL, and ATSI</t>
  </si>
  <si>
    <t>Additional Locational Price Adder with respect to Reference LDA [$/MW-day]</t>
  </si>
  <si>
    <t>ADJUSTED</t>
  </si>
  <si>
    <t>Adjusted ICTR * [MW]</t>
  </si>
  <si>
    <t>Certified ICTR [MW]</t>
  </si>
  <si>
    <t>Make-Whole MW &amp; Credits</t>
  </si>
  <si>
    <t>Qualifying Transmission Upgrade (QTU) MWs &amp; Credits</t>
  </si>
  <si>
    <t>QTU Import Capability Cleared into Sink LDA  [MW]</t>
  </si>
  <si>
    <t>System Marginal Price*
 [$/MW-day]</t>
  </si>
  <si>
    <t>Additional Make-whole Adjustments due to NEPA [$/day)</t>
  </si>
  <si>
    <t>Preliminary Zonal Capacity Price
[$/MW-day]</t>
  </si>
  <si>
    <t>LDA Capacity Price</t>
  </si>
  <si>
    <t>A Weighted Locational Price Adder is used in the case of PS, DPL, or ATSI Equivalent.</t>
  </si>
  <si>
    <t>Additional Adjustment due to Make-whole with respect to Reference LDA
 [$/MW-day]</t>
  </si>
  <si>
    <t>Lower Voltage Facilities</t>
  </si>
  <si>
    <t>System Marginal Price               [$/MW-day]</t>
  </si>
  <si>
    <t>Adjustment due to Make-Whole         [$/MW-day]</t>
  </si>
  <si>
    <t>Regional Facilities (500 kV and above)</t>
  </si>
  <si>
    <t>b2373: Build 2nd Loudoun - Brambleton 500 kV line (effective 2018/2019)</t>
  </si>
  <si>
    <t>*System Marginal Price is the clearing price for Capacity Performance Resources in unconstrained area of RTO.</t>
  </si>
  <si>
    <t>CTRs Allocated to LSEs                   [MW]</t>
  </si>
  <si>
    <t>Economic Value of LSE CTRs        [$/day]</t>
  </si>
  <si>
    <t>CTRs Allocated to LSEs                           [MW]</t>
  </si>
  <si>
    <t>Economic Value of LSE CTRs         [$/day]</t>
  </si>
  <si>
    <t>Total Preliminary Economic Value of LSE CTRs         [$/day]</t>
  </si>
  <si>
    <t>Preliminary Zonal CTR Settlement Rate                [$/MW CTR per day]</t>
  </si>
  <si>
    <t>b0497: Install Second Conastone-Graceton 230 kV circuit; Replace Conastone 230 kV breaker 2323/2302 (effective 2017/2018)</t>
  </si>
  <si>
    <t>b1251.1, b1251: Re-build the existing and build a second Raphael-Bagley 230 kV (effective 2017/2018)</t>
  </si>
  <si>
    <t>** Locational Price Adder is with respect to the immediate higher level LDA.</t>
  </si>
  <si>
    <t>Locational Price Adder **
  [$/MW-day]</t>
  </si>
  <si>
    <t>Annual Resources  [MW]</t>
  </si>
  <si>
    <t>Annual Resources Make-whole [MW]</t>
  </si>
  <si>
    <t>Make-whole Credits for Annual Resources [$/day]</t>
  </si>
  <si>
    <t>Make-whole Credits for Summer Period Resources [$/day]</t>
  </si>
  <si>
    <t>Make-whole Credits for Winter Period Resources [$/day]</t>
  </si>
  <si>
    <t>Annual Resources Make-whole      [MW]</t>
  </si>
  <si>
    <t>Total Annual Equivalent Resources Cleared               [MW]</t>
  </si>
  <si>
    <t>Equivalent Annual Make-Whole Credits  [$/day]</t>
  </si>
  <si>
    <t>b2729: Optimal Capacitors Configuration: New 175 MVAR 230 kV capacitor bank at Brambleton substation, new 175 MVAR 230 kV capacitor bank at Ashburn substation, new 300 MVAR 230 kV capacitor bank at Shelhorn substation, new 150 MVAR 230 kV capacitor bank at Liber (effective 2020/2021)</t>
  </si>
  <si>
    <t>Resource Clearing Price                 [$/MW-day]</t>
  </si>
  <si>
    <t>Winter Period Resources           [MW]</t>
  </si>
  <si>
    <t>Seasonal Resources Matched to be Annual                 [MW]</t>
  </si>
  <si>
    <t>Resource Credits at Clearing Price [$/day]</t>
  </si>
  <si>
    <t>RTO Reliability Requirement [MW] *</t>
  </si>
  <si>
    <t>* Including EE Addback and PRD reduction.</t>
  </si>
  <si>
    <t>PRD Credit</t>
  </si>
  <si>
    <t>Nominated PRD Value [MW]</t>
  </si>
  <si>
    <t>PRD Credit           [$/day]</t>
  </si>
  <si>
    <t>RTO Total</t>
  </si>
  <si>
    <t>ICTRs [MW] for Regional Facilities</t>
  </si>
  <si>
    <t>Adjusted Preliminary Zonal Capacity Price          ($/MW-day)</t>
  </si>
  <si>
    <t>* RTO resources include resources from External Source Zones.</t>
  </si>
  <si>
    <t>QTU Clearing Price *      [$/MW-Day]</t>
  </si>
  <si>
    <t>* Locational Price Adder with respect to the immediate higher level LDA.</t>
  </si>
  <si>
    <t>Locational Price Adder *            [$/MW-day]</t>
  </si>
  <si>
    <t>*Locational Price Adder with respect to RTO</t>
  </si>
  <si>
    <t>Reference LDA* Capacity Price           [MW]</t>
  </si>
  <si>
    <t>* Reference LDA is EMAAC LDA for PS and DPL zones and RTO for ATSI zone.</t>
  </si>
  <si>
    <t>AEP *</t>
  </si>
  <si>
    <t>DEOK *</t>
  </si>
  <si>
    <t>EKPC *</t>
  </si>
  <si>
    <t>*Obligation affected by FRR quantities</t>
  </si>
  <si>
    <t>**Adjusted Preliminary Zonal Capacity Price includes adjustment to cover funding of PRD Credits.</t>
  </si>
  <si>
    <t>Base Zonal UCAP Obligation               [MW]</t>
  </si>
  <si>
    <t>Adjusted Preliminary Zonal Capacity Price**          [$/MW-day]</t>
  </si>
  <si>
    <t>Base Zonal UCAP Obligation (MW)</t>
  </si>
  <si>
    <t>Resource Clearing Prices [$/MW-day]</t>
  </si>
  <si>
    <t>Participant Buy Bids/Sell Offers Cleared [Equivalent Annual Resources in MW]</t>
  </si>
  <si>
    <t>Participant Sell Offers Cleared</t>
  </si>
  <si>
    <t>* A positive net particpant buy bid/sell offer cleared represents a net purchase of capacity by participants.</t>
  </si>
  <si>
    <t>* A negative net participant buy bid/sell offer cleared represents a net sale of capacity by participants.</t>
  </si>
  <si>
    <t xml:space="preserve">Final Zonal Capacity Prices &amp; Adjusted Zonal CTR Credit Rates are determined based on the results of the Base Residual Auction, 1st, 2nd, and 3rd IncrementalAuctions for the DY. </t>
  </si>
  <si>
    <t>OVEC</t>
  </si>
  <si>
    <t>LDA Economic Value of ICTRs for Required Transmission Enhancements</t>
  </si>
  <si>
    <t>Weighted Locational Price Adder ($/MW-day)</t>
  </si>
  <si>
    <t>UPGRADE</t>
  </si>
  <si>
    <t>Economic Value of ICTRs ($/day)</t>
  </si>
  <si>
    <t>b0457</t>
  </si>
  <si>
    <t>b0559</t>
  </si>
  <si>
    <t>b1507</t>
  </si>
  <si>
    <t>b0487, b0489</t>
  </si>
  <si>
    <t>b1694</t>
  </si>
  <si>
    <t>b2373</t>
  </si>
  <si>
    <t>b0497</t>
  </si>
  <si>
    <t>b1304.1, b1304.2, b1304.3, b1304.4</t>
  </si>
  <si>
    <t>b1398</t>
  </si>
  <si>
    <t>b1251.1, b1251</t>
  </si>
  <si>
    <t>b2729</t>
  </si>
  <si>
    <t>LDA Total [$/day]</t>
  </si>
  <si>
    <t>Weighted Locational Price Adder is with respect to immediate higher level parent LDA.</t>
  </si>
  <si>
    <t>LDA Economic Value of ICTRs for upgrade = LDA ICTRs for upgrade * LDA Weighted Locational Price Adder.</t>
  </si>
  <si>
    <t>LDA Economic Value of ICTRs are not final until after Third Incremental Auction.</t>
  </si>
  <si>
    <t>LDA Economic Value of ICTRs for an upgrade are allocated to Responsible Customers in accordance with cost responsibility assigned to the Responsible Customers for such upgrade as set forth in Schedule
12 of the OATT.</t>
  </si>
  <si>
    <t>b2836.2</t>
  </si>
  <si>
    <t>b.2837.1</t>
  </si>
  <si>
    <t>b.2837.2</t>
  </si>
  <si>
    <t>b.2837.3</t>
  </si>
  <si>
    <t>b.2837.4</t>
  </si>
  <si>
    <t>b.2837.5</t>
  </si>
  <si>
    <t>b.2837.6</t>
  </si>
  <si>
    <t>b.2837.7</t>
  </si>
  <si>
    <t>b.2837.8</t>
  </si>
  <si>
    <t>b.2837.9</t>
  </si>
  <si>
    <t>b.2837.10</t>
  </si>
  <si>
    <t>b.2837.11</t>
  </si>
  <si>
    <t>b2836.2: Convert the N-1340 and T-1372/D-1330 (Brunswick – Trenton) 138 kV circuits to 230 kV circuits (Hunterglen - Trenton) (effective 2022/2023)</t>
  </si>
  <si>
    <t>b.2837.1: Convert the F-1358/Z-1326 and K-1363/Y-1325 (Trenton - Burlington) 138 kV circuits to 230 kV circuits (Trenton - Yardville K) (effective 2022/2023)</t>
  </si>
  <si>
    <t>b.2837.2: Convert the F-1358/Z-1326 and K-1363/Y-1325 (Trenton - Burlington) 138 kV circuits to 230 kV circuits (Yardville - Ward Ave K) (effective 2022/2023)</t>
  </si>
  <si>
    <t>b.2837.3: Convert the F-1358/Z-1326 and K-1363/Y-1325 (Trenton - Burlington) 138 kV circuits to 230 kV circuits (Ward Ave - Crosswicks Y) (effective 2022/2023)</t>
  </si>
  <si>
    <t>b.2837.4: Convert the F-1358/Z-1326 and K-1363/Y-1325 (Trenton - Burlington) 138 kV circuits to 230 kV circuits (Crosswicks - Bustleton Y) (effective 2022/2023)</t>
  </si>
  <si>
    <t>b.2837.5: Convert the F-1358/Z-1326 and K-1363/Y-1325 (Trenton - Burlington) 138 kV circuits to 230 kV circuits (Bustleton - Burlington Y) (effective 2022/2023)</t>
  </si>
  <si>
    <t>b.2837.6: Convert the F-1358/Z-1326 and K-1363/Y-1325 (Trenton - Burlington) 138 kV circuits to 230 kV circuits (Trenton - Yardville F) (effective 2022/2023)</t>
  </si>
  <si>
    <t>b.2837.7: Convert the F-1358/Z-1326 and K-1363/Y-1325 (Trenton - Burlington) 138 kV circuits to 230 kV circuits (Yardville - Ward Ave F) (effective 2022/2023)</t>
  </si>
  <si>
    <t>b.2837.8: Convert the F-1358/Z-1326 and K-1363/Y-1325 (Trenton - Burlington) 138 kV circuits to 230 kV circuits (Ward Ave - Crosswicks Z) (effective 2022/2023)</t>
  </si>
  <si>
    <t>b.2837.9: Convert the F-1358/Z-1326 and K-1363/Y-1325 (Trenton - Burlington) 138 kV circuits to 230 kV circuits (Crosswicks - Williams Z) (effective 2022/2023)</t>
  </si>
  <si>
    <t>b.2837.10: Convert the F-1358/Z-1326 and K-1363/Y-1325 (Trenton - Burlington) 138 kV circuits to 230 kV circuits (Williams - Bustleton Z) (effective 2022/2023)</t>
  </si>
  <si>
    <t>b.2837.11: Convert the F-1358/Z-1326 and K-1363/Y-1325 (Trenton - Burlington) 138 kV circuits to 230 kV circuits (Bustleton - Burlington Z) (effective 2022/2023)</t>
  </si>
  <si>
    <t>AC1-223: (Illinois Municipal Electric Agency) Upgrade on E. Frankfort - University Park 345 kV (effective 2021/2022)</t>
  </si>
  <si>
    <t>M05: (H-P Energy Resources) Replace Wave Traps at Bedington and Black Oak 500 KV (effective 2009/2010)</t>
  </si>
  <si>
    <t>Y1-082: (H-P Energy Resources) Uprate bus equipment at Wye Mills 69 kV substation (effective 2016/2017)</t>
  </si>
  <si>
    <t>Y3-082: (H-P Energy Resources) Upgrade Easton-Trappe Tap 69 kV circuit to 136/174 MVA SN/SE (effective 2017/2018)</t>
  </si>
  <si>
    <t>Y3-064: (H-P Energy Resources) Pierce 18 - Beckjord 138 kV circuit '1887' to an SE of 603 MVA (effective 2017/2018)</t>
  </si>
  <si>
    <t>Z2-017: (H-P Energy Resources) Bristers Ox 500 kV (effective 2018/2019)</t>
  </si>
  <si>
    <t>AA2-054: (Boston Energy Trading and Marketing) Pamphrey 230 kV Upgrade (effective 2019/2020)</t>
  </si>
  <si>
    <t>AB2-020: (Chesapeake Transmission) 40 MW Uprate to Roseland - Williams (effective 2020/2021)</t>
  </si>
  <si>
    <t>AB2-021: (H-P Energy Resources) 100 MW Uprate to Keeny - Rocksprings 500 kV (effective 2020/2021)</t>
  </si>
  <si>
    <t>W4-005: (Radford's Run Wind Farm) Radford's Run Wind Farm (effective 2019/2020)</t>
  </si>
  <si>
    <t>AD2-018: (Calpine Mid-Atlantic Development) Roseland-Cedar Grove 230 kV Line (effective 2022/2023)</t>
  </si>
  <si>
    <t>AD2-019: (Calpine Mid-Atlantic Development) Williams-Cedar Grove 230 kV Line (effective 2022/2023)</t>
  </si>
  <si>
    <t>Summer Period Resources           [MW]</t>
  </si>
  <si>
    <t>2025/2026 BRA Summary of Auction Results</t>
  </si>
  <si>
    <t>2025/2026 BRA Resource Clearing Results</t>
  </si>
  <si>
    <t>2025/2026 BRA Load Pricing Results</t>
  </si>
  <si>
    <t>2025/2026 DY BRA CTRs</t>
  </si>
  <si>
    <t>2025/2026 Prelim. Zonal Peak Load Forecast                     [MW]</t>
  </si>
  <si>
    <t>2023 W/N Coincident Peak Load                     [MW]</t>
  </si>
  <si>
    <t xml:space="preserve">2025/2026 BRA ICTRs </t>
  </si>
  <si>
    <t>Total Cost to Load</t>
  </si>
  <si>
    <t>LDA*</t>
  </si>
  <si>
    <t>b3726: Install 2 new 500kV breakers, upgrade relay Black Oak (effective 2025/2026)</t>
  </si>
  <si>
    <t>Pricing Point Definitions may be found on the PJM.com website under Markets/ Reliability Pricing Model/ Auction User Info.</t>
  </si>
  <si>
    <t>Pricing Point</t>
  </si>
  <si>
    <t>AECO_LDA_CP</t>
  </si>
  <si>
    <t>AEP_LDA_CP</t>
  </si>
  <si>
    <t>APS_LDA_CP</t>
  </si>
  <si>
    <t>ATSI_LDA_CP</t>
  </si>
  <si>
    <t>ATSI_CLEV_LDA_CP</t>
  </si>
  <si>
    <t>BGE_LDA_CP</t>
  </si>
  <si>
    <t>COMED_LDA_CP</t>
  </si>
  <si>
    <t>DAY_LDA_CP</t>
  </si>
  <si>
    <t>DEOK_LDA_CP</t>
  </si>
  <si>
    <t>DOM_LDA_CP</t>
  </si>
  <si>
    <t>DPL_LDA_CP</t>
  </si>
  <si>
    <t>DPLS_LDA_CP</t>
  </si>
  <si>
    <t>DUQ_LDA_CP</t>
  </si>
  <si>
    <t>EKPC_LDA_CP</t>
  </si>
  <si>
    <t>EMAAC_LDA_CP</t>
  </si>
  <si>
    <t>JCPL_LDA_CP</t>
  </si>
  <si>
    <t>MAAC_LDA_CP</t>
  </si>
  <si>
    <t>METED_LDA_CP</t>
  </si>
  <si>
    <t>PECO_LDA_CP</t>
  </si>
  <si>
    <t>PENELEC_LDA_CP</t>
  </si>
  <si>
    <t>PEPCO_LDA_CP</t>
  </si>
  <si>
    <t>PPL_LDA_CP</t>
  </si>
  <si>
    <t>PSEG_LDA_CP</t>
  </si>
  <si>
    <t>PSEGN_LDA_CP</t>
  </si>
  <si>
    <t>SWMAAC_LDA_CP</t>
  </si>
  <si>
    <t>WMAAC_LDA_CP</t>
  </si>
  <si>
    <t>WPJM_LDA_CP</t>
  </si>
  <si>
    <t>AE_Net Load</t>
  </si>
  <si>
    <t>AEP_Net Load</t>
  </si>
  <si>
    <t>APS_Net Load</t>
  </si>
  <si>
    <t>ATSI_Net Load</t>
  </si>
  <si>
    <t>BGE_Net Load</t>
  </si>
  <si>
    <t>COMED_Net Load</t>
  </si>
  <si>
    <t>DAY_Net Load</t>
  </si>
  <si>
    <t>DEOK_Net Load</t>
  </si>
  <si>
    <t>DOM_Net Load</t>
  </si>
  <si>
    <t>DPL_Net Load</t>
  </si>
  <si>
    <t>DUQ_Net Load</t>
  </si>
  <si>
    <t>EKPC_Net Load</t>
  </si>
  <si>
    <t>EMAAC_Net Load</t>
  </si>
  <si>
    <t>JCPL_Net Load</t>
  </si>
  <si>
    <t>METED_Net Load</t>
  </si>
  <si>
    <t>OVEC_Net Load</t>
  </si>
  <si>
    <t>PECO_Net Load</t>
  </si>
  <si>
    <t>PENELEC_Net Load</t>
  </si>
  <si>
    <t>PEPCO_Net Load</t>
  </si>
  <si>
    <t>PPL_Net Load</t>
  </si>
  <si>
    <t>PSEG_Net Load</t>
  </si>
  <si>
    <t>RECO_Net Load</t>
  </si>
  <si>
    <t>SWMAAC_Net Load</t>
  </si>
  <si>
    <t>AECO_PZonal</t>
  </si>
  <si>
    <t>AEP_PZonal</t>
  </si>
  <si>
    <t>APS_PZonal</t>
  </si>
  <si>
    <t>ATSI_Pzonal</t>
  </si>
  <si>
    <t>BGE_PZonal</t>
  </si>
  <si>
    <t>COMED_PZonal</t>
  </si>
  <si>
    <t>DAY_PZonal</t>
  </si>
  <si>
    <t>DEOK_PZonal</t>
  </si>
  <si>
    <t>DOM_PZonal</t>
  </si>
  <si>
    <t>DPL_PZonal</t>
  </si>
  <si>
    <t>DUQ_PZonal</t>
  </si>
  <si>
    <t>EKPC_Pzonal</t>
  </si>
  <si>
    <t>JCPL_PZonal</t>
  </si>
  <si>
    <t>METED_PZonal</t>
  </si>
  <si>
    <t>OVEC_Pzonal</t>
  </si>
  <si>
    <t>PECO_PZonal</t>
  </si>
  <si>
    <t>PENELEC_PZonal</t>
  </si>
  <si>
    <t>PEPCO_PZonal</t>
  </si>
  <si>
    <t>PPL_PZonal</t>
  </si>
  <si>
    <t>PSEG_PZonal</t>
  </si>
  <si>
    <t>RECO_PZonal</t>
  </si>
  <si>
    <t>AECO_FZonal</t>
  </si>
  <si>
    <t>AEP_FZonal</t>
  </si>
  <si>
    <t>APS_FZonal</t>
  </si>
  <si>
    <t>ATSI_FZonal</t>
  </si>
  <si>
    <t>BGE_FZonal</t>
  </si>
  <si>
    <t>COMED_FZonal</t>
  </si>
  <si>
    <t>DAY_FZonal</t>
  </si>
  <si>
    <t>DEOK_FZonal</t>
  </si>
  <si>
    <t>DOM_FZonal</t>
  </si>
  <si>
    <t>DPL_FZonal</t>
  </si>
  <si>
    <t>DUQ_FZonal</t>
  </si>
  <si>
    <t>JCPL_FZonal</t>
  </si>
  <si>
    <t>METED_FZonal</t>
  </si>
  <si>
    <t>OVEC_FZonal</t>
  </si>
  <si>
    <t>PECO_FZonal</t>
  </si>
  <si>
    <t>PENELEC_FZonal</t>
  </si>
  <si>
    <t>PEPCO_FZonal</t>
  </si>
  <si>
    <t>PPL_FZonal</t>
  </si>
  <si>
    <t>PSEG_FZonal</t>
  </si>
  <si>
    <t>RECO_FZonal</t>
  </si>
  <si>
    <t>AECO_3IA_LDA_CP</t>
  </si>
  <si>
    <t>AEP_3IA_LDA_CP</t>
  </si>
  <si>
    <t>APS_3IA_LDA_CP</t>
  </si>
  <si>
    <t>ATSI_3IA_LDA_CP</t>
  </si>
  <si>
    <t>ATSI_CLEV_3IA_LDA_CP</t>
  </si>
  <si>
    <t>BGE_3IA_LDA_CP</t>
  </si>
  <si>
    <t>COMED_3IA_LDA_CP</t>
  </si>
  <si>
    <t>DAY_3IA_LDA_CP</t>
  </si>
  <si>
    <t>DEOK_3IA_LDA_CP</t>
  </si>
  <si>
    <t>DOM_3IA_LDA_CP</t>
  </si>
  <si>
    <t>DPL_3IA_LDA_CP</t>
  </si>
  <si>
    <t>DPLS_3IA_LDA_CP</t>
  </si>
  <si>
    <t>DUQ_3IA_LDA_CP</t>
  </si>
  <si>
    <t>EKPC_3IA_LDA_CP</t>
  </si>
  <si>
    <t>EMAAC_3IA_LDA_CP</t>
  </si>
  <si>
    <t>JCPL_3IA_LDA_CP</t>
  </si>
  <si>
    <t>MAAC_3IA_LDA_CP</t>
  </si>
  <si>
    <t>METED_3IA_LDA_CP</t>
  </si>
  <si>
    <t>PECO_3IA_LDA_CP</t>
  </si>
  <si>
    <t>PENELEC_3IA_LDA_CP</t>
  </si>
  <si>
    <t>PEPCO_3IA_LDA_CP</t>
  </si>
  <si>
    <t>PPL_3IA_LDA_CP</t>
  </si>
  <si>
    <t>PSEG_3IA_LDA_CP</t>
  </si>
  <si>
    <t>PSEGN_3IA_LDA_CP</t>
  </si>
  <si>
    <t>SWMAAC_3IA_LDA_CP</t>
  </si>
  <si>
    <t>WMAAC_3IA_LDA_CP</t>
  </si>
  <si>
    <t>WPJM_3IA_LDA_CP</t>
  </si>
  <si>
    <t>Pool-Wide Accredited UCAP Factor</t>
  </si>
  <si>
    <t>The pricing point values are effective from June 1, 2025 thru May 31, 2026.</t>
  </si>
  <si>
    <t>Final Forecast Pool Requirement =</t>
  </si>
  <si>
    <t>Final Zonal RPM Scaling Factor</t>
  </si>
  <si>
    <t>Final Zonal UCAP Obligation,          MW</t>
  </si>
  <si>
    <t>Final Zonal Capacity Price               ($/MW-day)</t>
  </si>
  <si>
    <t>Final Zonal CTR Credit Rate    ($/MW-UCAP Obligation-day)</t>
  </si>
  <si>
    <t>Final Zonal Net Load Price               ($/MW-day)</t>
  </si>
  <si>
    <t>3rd Incremental Auction</t>
  </si>
  <si>
    <t>Adjusted Preliminary Zonal Capacity Price ($/MW-day)</t>
  </si>
  <si>
    <t>Preliminary Zonal Net Load Price       ($/MW-day)</t>
  </si>
  <si>
    <t>Final Zonal UCAP Obligation        (MW)</t>
  </si>
  <si>
    <t>Final Zonal Capacity Price              ($/MW-day)</t>
  </si>
  <si>
    <t>Final Zonal CTR Credit Rate ($/MW-UCAP Obligation-day)</t>
  </si>
  <si>
    <t>Final Zonal Net Load Price         ($/MW-day)</t>
  </si>
  <si>
    <t>Weighted System Marginal Price               [$/MW-day]</t>
  </si>
  <si>
    <t>Weighted Locational Price Adder *            [$/MW-day]</t>
  </si>
  <si>
    <t>Updated Zonal Results</t>
  </si>
  <si>
    <t>Adjusted Zonal Capacity Price           [$/MW-day]</t>
  </si>
  <si>
    <t>Updated LDA UCAP Obligation [MW]</t>
  </si>
  <si>
    <t>Net Participant Buy Bid/Sell Offers Cleared</t>
  </si>
  <si>
    <t>Total Updated CTRs [MW] *</t>
  </si>
  <si>
    <t>Remaining CTRs for Required Transmission Enhancements, Customer-Funded Upgrades, &amp; LSEs [MW]</t>
  </si>
  <si>
    <t xml:space="preserve"> Required Transmission Enhancements ICTRs  [MW]</t>
  </si>
  <si>
    <t>Remaining CTRs for LSEs                      [MW]</t>
  </si>
  <si>
    <t>Weighted Locational Price Adder</t>
  </si>
  <si>
    <t>CTRs Allocated to LSEs                      [MW]</t>
  </si>
  <si>
    <t>Economic Value of LSE CTRs           [$/day]</t>
  </si>
  <si>
    <t>Updated CTRs Allocated = Max of the absolute value of LDA CTRs Allocated to LSEs [MW]</t>
  </si>
  <si>
    <t>Total Updated Economic Value of LSE CTRs [$/day]</t>
  </si>
  <si>
    <t>Updated Zonal CTR Credit Rate [$/MW UCAP Obligation per Day]</t>
  </si>
  <si>
    <t>Updated Zonal CTR Settlement Rate [$/MW CTR per day]</t>
  </si>
  <si>
    <t>Weighted Locational Price Adder is with respect to immediate higher level LDA.</t>
  </si>
  <si>
    <t>Economic Value of LSE CTRs = CTRs Allocated to LSEs * Weighted Locational Price Adder</t>
  </si>
  <si>
    <t>CTRs Allocated, Economic Value of CTRs, CTR Credit Rates, and CTR Settlement Rates are not final and may change due to future Incremental Auction results.</t>
  </si>
  <si>
    <t>6/1/22 – PS CTR MW amount and PS CTR Settlement Rate updated due to the ICTRs for AD2-018 and AD2-019.  No change to the PS CTR Credit Rate or Economic Value of LSE CTRs to the PS zone.</t>
  </si>
  <si>
    <t>LDA/External Source Zone</t>
  </si>
  <si>
    <t>** Locational Price Adder (positive number) is with respect to the immediate higher level LDA.</t>
  </si>
  <si>
    <t>Participant Buy Bids/Sell Offers Cleared &amp; Make-Whole MWs [Equivalent Annual Resources]</t>
  </si>
  <si>
    <t>Buy Bids Cleared                     [MW]</t>
  </si>
  <si>
    <t>Sell Offers Cleared [MW]</t>
  </si>
  <si>
    <t>Net Buy Bid/Sell Offers Cleared [MW]</t>
  </si>
  <si>
    <t>Make-Whole                [MW]</t>
  </si>
  <si>
    <t>PJM Buy Bids/Sell Offers Cleared</t>
  </si>
  <si>
    <t>PJM Buy Bids Cleared [MW]</t>
  </si>
  <si>
    <t>PJM Sell Offers Cleared                [MW]</t>
  </si>
  <si>
    <t>Net PJM Buy Bid/Sell Offers Cleared    [MW]</t>
  </si>
  <si>
    <t>Auction Credits/Charges</t>
  </si>
  <si>
    <t>Sell Offers Cleared                     [MW]</t>
  </si>
  <si>
    <t>Net Buy Bids/Sell Offers Cleared                     [MW]</t>
  </si>
  <si>
    <t>Auction Charge for Participant Buy Bids [$/MW-Day]</t>
  </si>
  <si>
    <t>Auction Credit for Participant Sell Offer [$/MW-Day]</t>
  </si>
  <si>
    <t>Net Auction Charge/Credit for Participant Buy Bid/Sell Offer [$/MW-Day]</t>
  </si>
  <si>
    <t>Make-Whole Credits</t>
  </si>
  <si>
    <t>Make-whole Costs assessed to LSEs through Zonal Capacity Price [$/day]</t>
  </si>
  <si>
    <t>Make-whole Costs to Participant Buy Bids [$/day]</t>
  </si>
  <si>
    <t>b3726</t>
  </si>
  <si>
    <t>Net Participant Buy Bids/Sell Offers Cleared *</t>
  </si>
  <si>
    <t>Net PJM Buy Bids/Sell Offers Cleared [MW]</t>
  </si>
  <si>
    <t>3rd Incremental Auction **</t>
  </si>
  <si>
    <t>**A positive net PJM buy bid/sell offer cleared represents a net purchase of capacity by PJM.</t>
  </si>
  <si>
    <t>** A negative net PJM buy bid/sell offer cleared represents a net release of committed capacity by PJM.</t>
  </si>
  <si>
    <t>Adjusted Zonal UCAP Obligation      (MW)</t>
  </si>
  <si>
    <t>Adjusted Zonal Capacity Price          ($/MW-day)</t>
  </si>
  <si>
    <t>Updated Zonal CTR Credit Rate ($/MW-UCAP Obligation-day)</t>
  </si>
  <si>
    <t>Adjusted Zonal Net Load Price         ($/MW-day)</t>
  </si>
  <si>
    <t>AEP, DEOK, and EKPC Obligation affected by FRR quantities.</t>
  </si>
  <si>
    <t>AEP, DEOK, and EKPC Obligation affected by FRR quantities</t>
  </si>
  <si>
    <t>EKPC_Fzonal</t>
  </si>
  <si>
    <t>2024 W/N Coincident Peak Load                     [MW]</t>
  </si>
  <si>
    <t>3rd IA 2025/2026  Zonal Peak Load Forecast                     [MW]</t>
  </si>
  <si>
    <t>Pool-Wide AUCAP Factor</t>
  </si>
  <si>
    <t>2025/2026 3rd IA CTRs</t>
  </si>
  <si>
    <t>2025/2026 3rd IA Load Pricing Results</t>
  </si>
  <si>
    <t>2025/2026 DY 3rd IA Resource Clearing Results</t>
  </si>
  <si>
    <t xml:space="preserve">2025/2026 3rd IA ICTRs </t>
  </si>
  <si>
    <t xml:space="preserve">2025/2026 Final Zonal Scaling Factors, UCAP Obligations, Zonal Capacity Prices, &amp; Zonal CTR Credit Rates </t>
  </si>
  <si>
    <t>2025/2026 BRA and Incremental Auctions:  Zonal UCAP Obligations, Zonal Capacity Prices, Zonal CTR Credit Rate, and Zonal Net Load Prices</t>
  </si>
  <si>
    <t>2025/2026 Value ($/MW-day)</t>
  </si>
  <si>
    <t>MAKE SURE THESE POINT TO CORRECT PRORATED OR NOT COLUMNS</t>
  </si>
  <si>
    <t>Final Zonal UCAP Obligation               [MW]</t>
  </si>
  <si>
    <t>Adjusted Final Zonal Capacity Price**          [$/MW-day]</t>
  </si>
  <si>
    <t>2025 RPM Load Adjustments</t>
  </si>
  <si>
    <t>Additional Make-Whole Costs with respect to Reference LDA [$/day]</t>
  </si>
  <si>
    <t>* CTR MWs may be adjusted slightly to accommodate certain grandfathered arrangements.</t>
  </si>
  <si>
    <t>Adjustment due to Make Whole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</si>
</sst>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0.0%"/>
    <numFmt numFmtId="167" formatCode="0.00000"/>
    <numFmt numFmtId="168" formatCode="0.0000"/>
    <numFmt numFmtId="169" formatCode="#,##0.0"/>
    <numFmt numFmtId="170" formatCode="&quot;$&quot;#,##0.00000"/>
    <numFmt numFmtId="171" formatCode="0.000000"/>
    <numFmt numFmtId="172" formatCode="_(* #,##0.0_);_(* \(#,##0.0\);_(* &quot;-&quot;??_);_(@_)"/>
    <numFmt numFmtId="173" formatCode="_(* #,##0.00000_);_(* \(#,##0.00000\);_(* &quot;-&quot;?????_);_(@_)"/>
    <numFmt numFmtId="174" formatCode="&quot;$&quot;#,##0.000000"/>
    <numFmt numFmtId="175" formatCode="&quot;$&quot;#,##0.0000"/>
    <numFmt numFmtId="176" formatCode="&quot;$&quot;#,##0.00000000"/>
    <numFmt numFmtId="177" formatCode="_(* #,##0.0000000_);_(* \(#,##0.0000000\);_(* &quot;-&quot;??_);_(@_)"/>
    <numFmt numFmtId="178" formatCode="&quot;$&quot;#,##0.0000000"/>
    <numFmt numFmtId="179" formatCode="&quot;$&quot;#,##0.0"/>
    <numFmt numFmtId="180" formatCode="&quot;$&quot;#,##0.000"/>
    <numFmt numFmtId="181" formatCode="_(* #,##0.00000000000_);_(* \(#,##0.00000000000\);_(* &quot;-&quot;??_);_(@_)"/>
    <numFmt numFmtId="182" formatCode="_(* #,##0.00000_);_(* \(#,##0.00000\);_(* &quot;-&quot;??_);_(@_)"/>
    <numFmt numFmtId="183" formatCode="_(* #,##0.000_);_(* \(#,##0.000\);_(* &quot;-&quot;??_);_(@_)"/>
    <numFmt numFmtId="184" formatCode="_(* #,##0.0_);_(* \(#,##0.0\);_(* &quot;-&quot;?_);_(@_)"/>
  </numFmts>
  <fonts count="46" x14ac:knownFonts="1">
    <font>
      <sz val="10"/>
      <name val="Arial"/>
    </font>
    <font>
      <sz val="10"/>
      <name val="Arial"/>
      <family val="2"/>
    </font>
    <font>
      <b/>
      <i/>
      <sz val="14"/>
      <name val="Arial"/>
      <family val="2"/>
    </font>
    <font>
      <sz val="14"/>
      <name val="Arial"/>
      <family val="2"/>
    </font>
    <font>
      <sz val="10"/>
      <name val="Arial"/>
      <family val="2"/>
    </font>
    <font>
      <b/>
      <sz val="10"/>
      <name val="Arial"/>
      <family val="2"/>
    </font>
    <font>
      <sz val="11"/>
      <name val="Arial"/>
      <family val="2"/>
    </font>
    <font>
      <i/>
      <sz val="10"/>
      <name val="Arial"/>
      <family val="2"/>
    </font>
    <font>
      <sz val="10"/>
      <color rgb="FFFF0000"/>
      <name val="Arial"/>
      <family val="2"/>
    </font>
    <font>
      <b/>
      <sz val="10"/>
      <color rgb="FFFF0000"/>
      <name val="Arial"/>
      <family val="2"/>
    </font>
    <font>
      <b/>
      <sz val="11"/>
      <color rgb="FFFF0000"/>
      <name val="Arial"/>
      <family val="2"/>
    </font>
    <font>
      <b/>
      <sz val="10"/>
      <name val="Calibri"/>
      <family val="2"/>
      <scheme val="minor"/>
    </font>
    <font>
      <sz val="10"/>
      <name val="Calibri"/>
      <family val="2"/>
      <scheme val="minor"/>
    </font>
    <font>
      <b/>
      <i/>
      <sz val="14"/>
      <name val="Calibri"/>
      <family val="2"/>
      <scheme val="minor"/>
    </font>
    <font>
      <b/>
      <sz val="14"/>
      <name val="Calibri"/>
      <family val="2"/>
      <scheme val="minor"/>
    </font>
    <font>
      <b/>
      <sz val="10"/>
      <color rgb="FFFF0000"/>
      <name val="Calibri"/>
      <family val="2"/>
      <scheme val="minor"/>
    </font>
    <font>
      <b/>
      <i/>
      <sz val="12"/>
      <name val="Calibri"/>
      <family val="2"/>
      <scheme val="minor"/>
    </font>
    <font>
      <sz val="10"/>
      <color rgb="FFFF0000"/>
      <name val="Calibri"/>
      <family val="2"/>
      <scheme val="minor"/>
    </font>
    <font>
      <i/>
      <sz val="10"/>
      <name val="Calibri"/>
      <family val="2"/>
      <scheme val="minor"/>
    </font>
    <font>
      <b/>
      <sz val="10"/>
      <color indexed="10"/>
      <name val="Calibri"/>
      <family val="2"/>
      <scheme val="minor"/>
    </font>
    <font>
      <b/>
      <i/>
      <sz val="10"/>
      <name val="Calibri"/>
      <family val="2"/>
      <scheme val="minor"/>
    </font>
    <font>
      <b/>
      <sz val="12"/>
      <name val="Calibri"/>
      <family val="2"/>
      <scheme val="minor"/>
    </font>
    <font>
      <i/>
      <sz val="10"/>
      <color rgb="FFFF0000"/>
      <name val="Calibri"/>
      <family val="2"/>
      <scheme val="minor"/>
    </font>
    <font>
      <i/>
      <sz val="12"/>
      <name val="Calibri"/>
      <family val="2"/>
      <scheme val="minor"/>
    </font>
    <font>
      <b/>
      <i/>
      <sz val="12"/>
      <color rgb="FFFF0000"/>
      <name val="Calibri"/>
      <family val="2"/>
      <scheme val="minor"/>
    </font>
    <font>
      <b/>
      <sz val="12"/>
      <color rgb="FFFF0000"/>
      <name val="Calibri"/>
      <family val="2"/>
      <scheme val="minor"/>
    </font>
    <font>
      <sz val="8"/>
      <name val="Arial"/>
      <family val="2"/>
    </font>
    <font>
      <sz val="8"/>
      <color rgb="FFFF0000"/>
      <name val="Arial"/>
      <family val="2"/>
    </font>
    <font>
      <b/>
      <i/>
      <sz val="10"/>
      <name val="Arial"/>
      <family val="2"/>
    </font>
    <font>
      <b/>
      <sz val="12"/>
      <name val="Arial"/>
      <family val="2"/>
    </font>
    <font>
      <sz val="11"/>
      <color rgb="FF000000"/>
      <name val="Arial"/>
      <family val="2"/>
    </font>
    <font>
      <sz val="12"/>
      <name val="Arial"/>
      <family val="2"/>
    </font>
    <font>
      <sz val="11"/>
      <color rgb="FFFF0000"/>
      <name val="Calibri"/>
      <family val="2"/>
      <scheme val="minor"/>
    </font>
    <font>
      <sz val="12"/>
      <name val="Calibri"/>
      <family val="2"/>
      <scheme val="minor"/>
    </font>
    <font>
      <sz val="11"/>
      <color indexed="56"/>
      <name val="Calibri"/>
      <family val="2"/>
    </font>
    <font>
      <sz val="10"/>
      <color indexed="10"/>
      <name val="Arial"/>
      <family val="2"/>
    </font>
    <font>
      <b/>
      <i/>
      <sz val="14"/>
      <color indexed="10"/>
      <name val="Arial"/>
      <family val="2"/>
    </font>
    <font>
      <b/>
      <sz val="10"/>
      <color indexed="10"/>
      <name val="Arial"/>
      <family val="2"/>
    </font>
    <font>
      <sz val="11"/>
      <color rgb="FFFF0000"/>
      <name val="Arial"/>
      <family val="2"/>
    </font>
    <font>
      <b/>
      <sz val="11"/>
      <name val="Calibri"/>
      <family val="2"/>
      <scheme val="minor"/>
    </font>
    <font>
      <sz val="11"/>
      <name val="Calibri"/>
      <family val="2"/>
      <scheme val="minor"/>
    </font>
    <font>
      <b/>
      <sz val="16"/>
      <name val="Calibri"/>
      <family val="2"/>
      <scheme val="minor"/>
    </font>
    <font>
      <sz val="10"/>
      <color theme="1"/>
      <name val="Calibri"/>
      <family val="2"/>
      <scheme val="minor"/>
    </font>
    <font>
      <b/>
      <i/>
      <sz val="12"/>
      <name val="Arial"/>
      <family val="2"/>
    </font>
    <font>
      <b/>
      <sz val="12"/>
      <color rgb="FFFF0000"/>
      <name val="Arial"/>
      <family val="2"/>
    </font>
    <font>
      <sz val="14"/>
      <name val="Calibri"/>
      <family val="2"/>
      <scheme val="minor"/>
    </font>
  </fonts>
  <fills count="20">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3" tint="0.599993896298104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s>
  <cellStyleXfs count="14">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604">
    <xf numFmtId="0" fontId="0" fillId="0" borderId="0" xfId="0"/>
    <xf numFmtId="0" fontId="2" fillId="0" borderId="0" xfId="0" applyFont="1"/>
    <xf numFmtId="0" fontId="3" fillId="0" borderId="0" xfId="0" applyFont="1"/>
    <xf numFmtId="0" fontId="2" fillId="0" borderId="0" xfId="0" applyFont="1" applyFill="1" applyBorder="1"/>
    <xf numFmtId="0" fontId="4" fillId="0" borderId="0" xfId="0" applyFont="1"/>
    <xf numFmtId="164" fontId="4" fillId="0" borderId="0" xfId="0" applyNumberFormat="1" applyFont="1"/>
    <xf numFmtId="0" fontId="5" fillId="0" borderId="0" xfId="0" applyNumberFormat="1" applyFont="1" applyFill="1" applyBorder="1" applyAlignment="1">
      <alignment horizontal="center" wrapText="1"/>
    </xf>
    <xf numFmtId="0" fontId="9" fillId="0" borderId="0" xfId="0" applyFont="1"/>
    <xf numFmtId="44" fontId="5" fillId="0" borderId="0" xfId="3" applyFont="1" applyBorder="1" applyAlignment="1">
      <alignment horizontal="center"/>
    </xf>
    <xf numFmtId="0" fontId="0" fillId="0" borderId="0" xfId="0" applyBorder="1"/>
    <xf numFmtId="0" fontId="10" fillId="0" borderId="0" xfId="0" applyFont="1" applyFill="1" applyBorder="1" applyAlignment="1">
      <alignment horizontal="left"/>
    </xf>
    <xf numFmtId="0" fontId="8" fillId="0" borderId="0" xfId="0" applyFont="1"/>
    <xf numFmtId="0" fontId="5" fillId="0" borderId="0" xfId="0" applyFont="1" applyBorder="1" applyAlignment="1">
      <alignment horizontal="center"/>
    </xf>
    <xf numFmtId="0" fontId="8" fillId="0" borderId="0" xfId="0" applyFont="1" applyFill="1"/>
    <xf numFmtId="0" fontId="12" fillId="0" borderId="0" xfId="0" applyFont="1"/>
    <xf numFmtId="0" fontId="12" fillId="0" borderId="1" xfId="0" applyFont="1" applyFill="1" applyBorder="1"/>
    <xf numFmtId="0" fontId="12" fillId="0" borderId="0" xfId="0" applyFont="1" applyFill="1" applyBorder="1"/>
    <xf numFmtId="0" fontId="12" fillId="0" borderId="0" xfId="0" applyFont="1" applyAlignment="1">
      <alignment vertical="center"/>
    </xf>
    <xf numFmtId="0" fontId="12" fillId="0" borderId="0" xfId="0" applyFont="1" applyFill="1" applyBorder="1" applyAlignment="1">
      <alignment vertical="center"/>
    </xf>
    <xf numFmtId="0" fontId="11" fillId="0" borderId="1" xfId="0" applyFont="1" applyFill="1" applyBorder="1" applyAlignment="1">
      <alignment horizontal="center" wrapText="1"/>
    </xf>
    <xf numFmtId="0" fontId="12" fillId="0" borderId="0" xfId="0" applyFont="1" applyBorder="1" applyAlignment="1">
      <alignment wrapText="1"/>
    </xf>
    <xf numFmtId="0" fontId="11" fillId="0" borderId="0" xfId="0" applyFont="1" applyBorder="1" applyAlignment="1">
      <alignment horizontal="center" wrapText="1"/>
    </xf>
    <xf numFmtId="0" fontId="12" fillId="0" borderId="0" xfId="0" applyFont="1" applyAlignment="1">
      <alignment wrapText="1"/>
    </xf>
    <xf numFmtId="165" fontId="12" fillId="0" borderId="1" xfId="0" applyNumberFormat="1" applyFont="1" applyBorder="1" applyAlignment="1">
      <alignment horizontal="right"/>
    </xf>
    <xf numFmtId="0" fontId="12" fillId="0" borderId="0" xfId="0" applyFont="1" applyBorder="1"/>
    <xf numFmtId="165" fontId="12" fillId="0" borderId="0" xfId="0" applyNumberFormat="1" applyFont="1" applyFill="1" applyBorder="1" applyAlignment="1">
      <alignment horizontal="right"/>
    </xf>
    <xf numFmtId="165" fontId="12" fillId="0" borderId="0" xfId="0" applyNumberFormat="1" applyFont="1" applyBorder="1" applyAlignment="1">
      <alignment horizontal="right"/>
    </xf>
    <xf numFmtId="165" fontId="12" fillId="0" borderId="1" xfId="0" applyNumberFormat="1" applyFont="1" applyFill="1" applyBorder="1" applyAlignment="1">
      <alignment horizontal="right"/>
    </xf>
    <xf numFmtId="165" fontId="12" fillId="0" borderId="0" xfId="0" applyNumberFormat="1" applyFont="1" applyBorder="1"/>
    <xf numFmtId="165" fontId="15" fillId="0" borderId="0" xfId="0" applyNumberFormat="1" applyFont="1" applyBorder="1" applyAlignment="1">
      <alignment horizontal="left"/>
    </xf>
    <xf numFmtId="0" fontId="12" fillId="0" borderId="0" xfId="0" applyFont="1" applyBorder="1" applyAlignment="1">
      <alignment horizontal="right"/>
    </xf>
    <xf numFmtId="164" fontId="12" fillId="0" borderId="0" xfId="0" applyNumberFormat="1" applyFont="1" applyBorder="1" applyAlignment="1">
      <alignment horizontal="right"/>
    </xf>
    <xf numFmtId="165" fontId="11" fillId="0" borderId="0" xfId="0" applyNumberFormat="1" applyFont="1" applyBorder="1" applyAlignment="1">
      <alignment horizontal="right"/>
    </xf>
    <xf numFmtId="165" fontId="11" fillId="0" borderId="0" xfId="0" applyNumberFormat="1" applyFont="1" applyBorder="1" applyAlignment="1">
      <alignment horizontal="center"/>
    </xf>
    <xf numFmtId="165" fontId="11" fillId="0" borderId="1" xfId="0" applyNumberFormat="1" applyFont="1" applyBorder="1" applyAlignment="1">
      <alignment horizontal="right"/>
    </xf>
    <xf numFmtId="169" fontId="12" fillId="0" borderId="1" xfId="0" applyNumberFormat="1" applyFont="1" applyFill="1" applyBorder="1" applyAlignment="1">
      <alignment horizontal="right"/>
    </xf>
    <xf numFmtId="172" fontId="12" fillId="0" borderId="1" xfId="1" applyNumberFormat="1" applyFont="1" applyFill="1" applyBorder="1" applyAlignment="1">
      <alignment horizontal="right"/>
    </xf>
    <xf numFmtId="172" fontId="12" fillId="0" borderId="0" xfId="0" applyNumberFormat="1" applyFont="1" applyBorder="1"/>
    <xf numFmtId="0" fontId="12" fillId="0" borderId="2" xfId="0" applyFont="1" applyBorder="1"/>
    <xf numFmtId="169" fontId="12" fillId="0" borderId="1" xfId="0" applyNumberFormat="1" applyFont="1" applyBorder="1" applyAlignment="1">
      <alignment horizontal="right"/>
    </xf>
    <xf numFmtId="169" fontId="12" fillId="0" borderId="1" xfId="0" applyNumberFormat="1" applyFont="1" applyBorder="1"/>
    <xf numFmtId="165" fontId="12" fillId="0" borderId="1" xfId="0" applyNumberFormat="1" applyFont="1" applyBorder="1"/>
    <xf numFmtId="165" fontId="12" fillId="0" borderId="3" xfId="0" applyNumberFormat="1" applyFont="1" applyBorder="1"/>
    <xf numFmtId="165" fontId="12" fillId="0" borderId="0" xfId="0" applyNumberFormat="1" applyFont="1"/>
    <xf numFmtId="0" fontId="12" fillId="0" borderId="2" xfId="0" applyFont="1" applyFill="1" applyBorder="1"/>
    <xf numFmtId="169" fontId="11" fillId="0" borderId="1" xfId="0" applyNumberFormat="1" applyFont="1" applyBorder="1" applyAlignment="1">
      <alignment horizontal="right"/>
    </xf>
    <xf numFmtId="169" fontId="12" fillId="0" borderId="0" xfId="0" applyNumberFormat="1" applyFont="1" applyBorder="1" applyAlignment="1">
      <alignment horizontal="right"/>
    </xf>
    <xf numFmtId="169" fontId="12" fillId="0" borderId="0" xfId="0" applyNumberFormat="1" applyFont="1" applyBorder="1" applyAlignment="1">
      <alignment horizontal="left"/>
    </xf>
    <xf numFmtId="169" fontId="12" fillId="0" borderId="0" xfId="0" applyNumberFormat="1" applyFont="1" applyBorder="1"/>
    <xf numFmtId="0" fontId="13" fillId="0" borderId="0" xfId="0" applyFont="1" applyFill="1" applyBorder="1"/>
    <xf numFmtId="0" fontId="11" fillId="0" borderId="0" xfId="0" applyFont="1"/>
    <xf numFmtId="0" fontId="14" fillId="0" borderId="0" xfId="0" applyFont="1"/>
    <xf numFmtId="164" fontId="12" fillId="0" borderId="0" xfId="0" applyNumberFormat="1" applyFont="1" applyFill="1" applyBorder="1" applyAlignment="1">
      <alignment horizontal="right"/>
    </xf>
    <xf numFmtId="165" fontId="11" fillId="0" borderId="0" xfId="0" applyNumberFormat="1" applyFont="1" applyFill="1" applyBorder="1" applyAlignment="1">
      <alignment horizontal="right"/>
    </xf>
    <xf numFmtId="0" fontId="12" fillId="0" borderId="0" xfId="0" applyNumberFormat="1" applyFont="1" applyFill="1" applyBorder="1" applyAlignment="1">
      <alignment horizontal="right"/>
    </xf>
    <xf numFmtId="0" fontId="16" fillId="0" borderId="0" xfId="0" applyFont="1" applyFill="1" applyBorder="1" applyAlignment="1">
      <alignment horizontal="left" vertical="center"/>
    </xf>
    <xf numFmtId="165" fontId="12" fillId="0" borderId="0" xfId="0" applyNumberFormat="1" applyFont="1" applyBorder="1" applyAlignment="1">
      <alignment horizontal="center"/>
    </xf>
    <xf numFmtId="0" fontId="11" fillId="0" borderId="1" xfId="0" applyFont="1" applyBorder="1"/>
    <xf numFmtId="165" fontId="11" fillId="0" borderId="1" xfId="0" applyNumberFormat="1" applyFont="1" applyBorder="1"/>
    <xf numFmtId="169" fontId="12" fillId="0" borderId="0" xfId="0" applyNumberFormat="1" applyFont="1" applyBorder="1" applyAlignment="1">
      <alignment horizontal="center"/>
    </xf>
    <xf numFmtId="0" fontId="11" fillId="0" borderId="0" xfId="0" applyFont="1" applyBorder="1"/>
    <xf numFmtId="165" fontId="12" fillId="0" borderId="0" xfId="0" applyNumberFormat="1" applyFont="1" applyBorder="1" applyAlignment="1">
      <alignment horizontal="center" wrapText="1"/>
    </xf>
    <xf numFmtId="164" fontId="17" fillId="0" borderId="0" xfId="0" applyNumberFormat="1" applyFont="1" applyBorder="1" applyAlignment="1">
      <alignment horizontal="center"/>
    </xf>
    <xf numFmtId="165" fontId="12" fillId="0" borderId="0" xfId="1" applyNumberFormat="1" applyFont="1" applyBorder="1" applyAlignment="1">
      <alignment horizontal="center"/>
    </xf>
    <xf numFmtId="172" fontId="12" fillId="0" borderId="0" xfId="1" applyNumberFormat="1" applyFont="1" applyBorder="1" applyAlignment="1">
      <alignment horizontal="center"/>
    </xf>
    <xf numFmtId="172" fontId="15" fillId="0" borderId="0" xfId="1" applyNumberFormat="1" applyFont="1" applyBorder="1" applyAlignment="1">
      <alignment horizontal="left"/>
    </xf>
    <xf numFmtId="164" fontId="12" fillId="0" borderId="0" xfId="0" applyNumberFormat="1" applyFont="1" applyBorder="1" applyAlignment="1">
      <alignment horizontal="center"/>
    </xf>
    <xf numFmtId="165" fontId="12" fillId="0" borderId="0" xfId="3" applyNumberFormat="1" applyFont="1" applyBorder="1" applyAlignment="1">
      <alignment horizontal="center"/>
    </xf>
    <xf numFmtId="164" fontId="12" fillId="0" borderId="0" xfId="0" applyNumberFormat="1" applyFont="1" applyBorder="1"/>
    <xf numFmtId="164" fontId="12" fillId="0" borderId="0" xfId="0" applyNumberFormat="1" applyFont="1"/>
    <xf numFmtId="169" fontId="12" fillId="0" borderId="0" xfId="0" applyNumberFormat="1" applyFont="1"/>
    <xf numFmtId="4" fontId="12" fillId="0" borderId="0" xfId="0" applyNumberFormat="1" applyFont="1" applyBorder="1" applyAlignment="1">
      <alignment horizontal="right"/>
    </xf>
    <xf numFmtId="173" fontId="12" fillId="0" borderId="0" xfId="0" applyNumberFormat="1" applyFont="1"/>
    <xf numFmtId="165" fontId="12" fillId="0" borderId="1" xfId="0" applyNumberFormat="1" applyFont="1" applyBorder="1" applyAlignment="1">
      <alignment horizontal="right" wrapText="1"/>
    </xf>
    <xf numFmtId="0" fontId="12" fillId="0" borderId="0" xfId="0" applyFont="1" applyFill="1" applyBorder="1" applyAlignment="1">
      <alignment horizontal="left" wrapText="1"/>
    </xf>
    <xf numFmtId="171" fontId="18" fillId="0" borderId="0" xfId="0" applyNumberFormat="1" applyFont="1" applyBorder="1"/>
    <xf numFmtId="165" fontId="19" fillId="0" borderId="0" xfId="0" applyNumberFormat="1" applyFont="1" applyBorder="1"/>
    <xf numFmtId="0" fontId="17" fillId="0" borderId="0" xfId="0" applyNumberFormat="1" applyFont="1" applyBorder="1" applyAlignment="1">
      <alignment horizontal="center" wrapText="1"/>
    </xf>
    <xf numFmtId="0" fontId="11" fillId="0" borderId="5" xfId="0" applyNumberFormat="1" applyFont="1" applyFill="1" applyBorder="1" applyAlignment="1">
      <alignment horizontal="center" wrapText="1"/>
    </xf>
    <xf numFmtId="0" fontId="11" fillId="0" borderId="6" xfId="0" applyNumberFormat="1" applyFont="1" applyFill="1" applyBorder="1" applyAlignment="1">
      <alignment horizontal="center" wrapText="1"/>
    </xf>
    <xf numFmtId="0" fontId="11" fillId="0" borderId="7" xfId="0" applyNumberFormat="1" applyFont="1" applyFill="1" applyBorder="1" applyAlignment="1">
      <alignment horizontal="center" wrapText="1"/>
    </xf>
    <xf numFmtId="0" fontId="12" fillId="0" borderId="1" xfId="0" applyFont="1" applyFill="1" applyBorder="1" applyAlignment="1">
      <alignment horizontal="center"/>
    </xf>
    <xf numFmtId="0" fontId="12" fillId="0" borderId="3" xfId="0" applyFont="1" applyFill="1" applyBorder="1" applyAlignment="1">
      <alignment horizontal="center"/>
    </xf>
    <xf numFmtId="0" fontId="12" fillId="0" borderId="8" xfId="0" applyFont="1" applyFill="1" applyBorder="1" applyAlignment="1">
      <alignment horizontal="center"/>
    </xf>
    <xf numFmtId="0" fontId="12" fillId="0" borderId="4" xfId="0" applyFont="1" applyFill="1" applyBorder="1" applyAlignment="1">
      <alignment horizontal="center"/>
    </xf>
    <xf numFmtId="0" fontId="18" fillId="0" borderId="0" xfId="0" applyFont="1" applyFill="1" applyBorder="1"/>
    <xf numFmtId="0" fontId="20" fillId="0" borderId="0" xfId="0" applyFont="1"/>
    <xf numFmtId="0" fontId="20" fillId="0" borderId="0" xfId="0" applyFont="1" applyFill="1" applyBorder="1"/>
    <xf numFmtId="0" fontId="12" fillId="0" borderId="0" xfId="0" applyFont="1" applyBorder="1" applyAlignment="1"/>
    <xf numFmtId="0" fontId="14" fillId="0" borderId="0" xfId="0" applyFont="1" applyFill="1" applyBorder="1"/>
    <xf numFmtId="7" fontId="12" fillId="0" borderId="0" xfId="0" applyNumberFormat="1" applyFont="1" applyBorder="1"/>
    <xf numFmtId="7" fontId="12" fillId="0" borderId="0" xfId="0" applyNumberFormat="1" applyFont="1" applyFill="1" applyBorder="1" applyAlignment="1">
      <alignment horizontal="left" wrapText="1"/>
    </xf>
    <xf numFmtId="43" fontId="12" fillId="0" borderId="0" xfId="0" applyNumberFormat="1" applyFont="1" applyBorder="1"/>
    <xf numFmtId="0" fontId="12" fillId="0" borderId="0" xfId="0" applyFont="1" applyFill="1" applyBorder="1" applyAlignment="1"/>
    <xf numFmtId="0" fontId="14" fillId="0" borderId="0" xfId="0" applyFont="1" applyFill="1"/>
    <xf numFmtId="0" fontId="15" fillId="0" borderId="0" xfId="0" applyFont="1"/>
    <xf numFmtId="0" fontId="15" fillId="0" borderId="0" xfId="0" applyFont="1" applyAlignment="1">
      <alignment horizontal="right"/>
    </xf>
    <xf numFmtId="0" fontId="11" fillId="0" borderId="6" xfId="0" applyFont="1" applyBorder="1" applyAlignment="1">
      <alignment horizontal="center" vertical="center" wrapText="1"/>
    </xf>
    <xf numFmtId="0" fontId="12" fillId="0" borderId="2" xfId="0" applyFont="1" applyBorder="1" applyAlignment="1">
      <alignment horizontal="left"/>
    </xf>
    <xf numFmtId="3" fontId="12" fillId="0" borderId="1" xfId="0" applyNumberFormat="1" applyFont="1" applyBorder="1" applyAlignment="1">
      <alignment horizontal="right"/>
    </xf>
    <xf numFmtId="0" fontId="12" fillId="0" borderId="2" xfId="0" applyFont="1" applyFill="1" applyBorder="1" applyAlignment="1">
      <alignment horizontal="left"/>
    </xf>
    <xf numFmtId="164" fontId="12" fillId="0" borderId="1" xfId="1" applyNumberFormat="1" applyFont="1" applyBorder="1"/>
    <xf numFmtId="0" fontId="12" fillId="0" borderId="0" xfId="0" applyFont="1" applyFill="1" applyBorder="1" applyAlignment="1">
      <alignment horizontal="left"/>
    </xf>
    <xf numFmtId="165" fontId="11" fillId="0" borderId="0" xfId="0" applyNumberFormat="1" applyFont="1" applyBorder="1"/>
    <xf numFmtId="0" fontId="17" fillId="0" borderId="0" xfId="0" applyFont="1" applyBorder="1"/>
    <xf numFmtId="164" fontId="12" fillId="0" borderId="0" xfId="0" applyNumberFormat="1" applyFont="1" applyAlignment="1">
      <alignment horizontal="left"/>
    </xf>
    <xf numFmtId="165" fontId="12" fillId="0" borderId="4" xfId="0" applyNumberFormat="1" applyFont="1" applyBorder="1" applyAlignment="1">
      <alignment horizontal="center" vertical="center"/>
    </xf>
    <xf numFmtId="164" fontId="12" fillId="0" borderId="2" xfId="0" applyNumberFormat="1" applyFont="1" applyBorder="1" applyAlignment="1">
      <alignment horizontal="right"/>
    </xf>
    <xf numFmtId="165" fontId="12" fillId="0" borderId="3" xfId="3" applyNumberFormat="1" applyFont="1" applyBorder="1" applyAlignment="1">
      <alignment horizontal="right"/>
    </xf>
    <xf numFmtId="169" fontId="12" fillId="0" borderId="2" xfId="0" applyNumberFormat="1" applyFont="1" applyBorder="1" applyAlignment="1">
      <alignment horizontal="right"/>
    </xf>
    <xf numFmtId="172" fontId="12" fillId="0" borderId="2" xfId="1" applyNumberFormat="1" applyFont="1" applyBorder="1" applyAlignment="1">
      <alignment horizontal="right"/>
    </xf>
    <xf numFmtId="0" fontId="12" fillId="0" borderId="9" xfId="0" applyFont="1" applyFill="1" applyBorder="1"/>
    <xf numFmtId="164" fontId="12" fillId="0" borderId="10" xfId="0" applyNumberFormat="1" applyFont="1" applyBorder="1" applyAlignment="1">
      <alignment horizontal="right"/>
    </xf>
    <xf numFmtId="165" fontId="12" fillId="0" borderId="11" xfId="3" applyNumberFormat="1" applyFont="1" applyBorder="1" applyAlignment="1">
      <alignment horizontal="right"/>
    </xf>
    <xf numFmtId="164" fontId="11" fillId="0" borderId="12" xfId="0" applyNumberFormat="1" applyFont="1" applyBorder="1" applyAlignment="1">
      <alignment horizontal="right"/>
    </xf>
    <xf numFmtId="165" fontId="11" fillId="0" borderId="13" xfId="3" applyNumberFormat="1" applyFont="1" applyBorder="1" applyAlignment="1">
      <alignment horizontal="right"/>
    </xf>
    <xf numFmtId="169" fontId="12" fillId="0" borderId="12" xfId="0" applyNumberFormat="1" applyFont="1" applyBorder="1" applyAlignment="1">
      <alignment horizontal="right"/>
    </xf>
    <xf numFmtId="165" fontId="11" fillId="0" borderId="14" xfId="3" applyNumberFormat="1" applyFont="1" applyBorder="1" applyAlignment="1">
      <alignment horizontal="right"/>
    </xf>
    <xf numFmtId="44" fontId="11" fillId="0" borderId="14" xfId="3" applyFont="1" applyBorder="1" applyAlignment="1">
      <alignment horizontal="right"/>
    </xf>
    <xf numFmtId="44" fontId="11" fillId="0" borderId="13" xfId="3" applyFont="1" applyBorder="1" applyAlignment="1">
      <alignment horizontal="right"/>
    </xf>
    <xf numFmtId="165" fontId="12" fillId="0" borderId="9" xfId="0" applyNumberFormat="1" applyFont="1" applyBorder="1" applyAlignment="1">
      <alignment horizontal="center" wrapText="1"/>
    </xf>
    <xf numFmtId="165" fontId="12" fillId="0" borderId="4" xfId="3" applyNumberFormat="1" applyFont="1" applyBorder="1" applyAlignment="1">
      <alignment horizontal="center" vertical="center"/>
    </xf>
    <xf numFmtId="0" fontId="11" fillId="0" borderId="15" xfId="0" applyFont="1" applyBorder="1" applyAlignment="1">
      <alignment horizontal="center"/>
    </xf>
    <xf numFmtId="10" fontId="12" fillId="0" borderId="1" xfId="6" applyNumberFormat="1" applyFont="1" applyFill="1" applyBorder="1" applyAlignment="1">
      <alignment horizontal="right"/>
    </xf>
    <xf numFmtId="0" fontId="12" fillId="0" borderId="0" xfId="0" applyFont="1" applyBorder="1" applyAlignment="1">
      <alignment horizontal="left"/>
    </xf>
    <xf numFmtId="0" fontId="12" fillId="0" borderId="10" xfId="0" applyFont="1" applyBorder="1"/>
    <xf numFmtId="165" fontId="12" fillId="0" borderId="11" xfId="0" applyNumberFormat="1" applyFont="1" applyBorder="1"/>
    <xf numFmtId="0" fontId="11" fillId="0" borderId="0" xfId="0" applyFont="1" applyFill="1" applyBorder="1" applyAlignment="1">
      <alignment horizontal="center"/>
    </xf>
    <xf numFmtId="164" fontId="11" fillId="0" borderId="0" xfId="0" applyNumberFormat="1" applyFont="1" applyFill="1" applyBorder="1" applyAlignment="1">
      <alignment horizontal="right"/>
    </xf>
    <xf numFmtId="164" fontId="11" fillId="0" borderId="0" xfId="0" applyNumberFormat="1" applyFont="1" applyBorder="1" applyAlignment="1">
      <alignment horizontal="right"/>
    </xf>
    <xf numFmtId="164" fontId="12" fillId="0" borderId="0" xfId="0" applyNumberFormat="1" applyFont="1" applyBorder="1" applyAlignment="1">
      <alignment horizontal="right" wrapText="1"/>
    </xf>
    <xf numFmtId="165" fontId="12" fillId="0" borderId="0" xfId="0" applyNumberFormat="1" applyFont="1" applyBorder="1" applyAlignment="1">
      <alignment horizontal="right" wrapText="1"/>
    </xf>
    <xf numFmtId="0" fontId="11" fillId="0" borderId="0" xfId="0" applyFont="1" applyBorder="1" applyAlignment="1">
      <alignment horizontal="center"/>
    </xf>
    <xf numFmtId="165" fontId="12" fillId="3" borderId="1" xfId="0" applyNumberFormat="1" applyFont="1" applyFill="1" applyBorder="1"/>
    <xf numFmtId="165" fontId="12" fillId="3" borderId="1" xfId="0" applyNumberFormat="1" applyFont="1" applyFill="1" applyBorder="1" applyAlignment="1">
      <alignment horizontal="right"/>
    </xf>
    <xf numFmtId="165" fontId="11" fillId="3" borderId="1" xfId="0" applyNumberFormat="1" applyFont="1" applyFill="1" applyBorder="1" applyAlignment="1">
      <alignment horizontal="right"/>
    </xf>
    <xf numFmtId="165" fontId="12" fillId="3" borderId="1" xfId="3" applyNumberFormat="1" applyFont="1" applyFill="1" applyBorder="1" applyAlignment="1">
      <alignment horizontal="right"/>
    </xf>
    <xf numFmtId="165" fontId="12" fillId="3" borderId="1" xfId="1" applyNumberFormat="1" applyFont="1" applyFill="1" applyBorder="1" applyAlignment="1">
      <alignment horizontal="right"/>
    </xf>
    <xf numFmtId="165" fontId="11" fillId="3" borderId="1" xfId="3" applyNumberFormat="1" applyFont="1" applyFill="1" applyBorder="1"/>
    <xf numFmtId="0" fontId="16" fillId="4" borderId="15" xfId="0" applyFont="1" applyFill="1" applyBorder="1" applyAlignment="1">
      <alignment horizontal="center"/>
    </xf>
    <xf numFmtId="0" fontId="16" fillId="5" borderId="19" xfId="0" applyFont="1" applyFill="1" applyBorder="1" applyAlignment="1">
      <alignment horizontal="center"/>
    </xf>
    <xf numFmtId="0" fontId="16" fillId="6" borderId="20" xfId="0" applyFont="1" applyFill="1" applyBorder="1" applyAlignment="1">
      <alignment horizontal="center"/>
    </xf>
    <xf numFmtId="0" fontId="11" fillId="0" borderId="1" xfId="0" applyNumberFormat="1" applyFont="1" applyFill="1" applyBorder="1" applyAlignment="1">
      <alignment horizontal="center" wrapText="1"/>
    </xf>
    <xf numFmtId="0" fontId="21" fillId="0" borderId="0" xfId="0" applyFont="1"/>
    <xf numFmtId="0" fontId="11" fillId="0" borderId="1" xfId="0" applyFont="1" applyBorder="1" applyAlignment="1">
      <alignment horizontal="center" vertical="center" wrapText="1"/>
    </xf>
    <xf numFmtId="164" fontId="12" fillId="0" borderId="1" xfId="0" applyNumberFormat="1" applyFont="1" applyBorder="1"/>
    <xf numFmtId="0" fontId="11" fillId="0" borderId="1" xfId="0" applyFont="1" applyFill="1" applyBorder="1" applyAlignment="1">
      <alignment horizontal="right"/>
    </xf>
    <xf numFmtId="0" fontId="16" fillId="6" borderId="1" xfId="0" applyFont="1" applyFill="1" applyBorder="1" applyAlignment="1">
      <alignment horizontal="center"/>
    </xf>
    <xf numFmtId="0" fontId="12" fillId="0" borderId="1" xfId="0" applyFont="1" applyBorder="1" applyAlignment="1">
      <alignment wrapText="1"/>
    </xf>
    <xf numFmtId="166" fontId="12" fillId="0" borderId="1" xfId="6" applyNumberFormat="1" applyFont="1" applyFill="1" applyBorder="1" applyAlignment="1">
      <alignment horizontal="right"/>
    </xf>
    <xf numFmtId="168" fontId="12" fillId="0" borderId="1" xfId="6" applyNumberFormat="1" applyFont="1" applyFill="1" applyBorder="1" applyAlignment="1">
      <alignment horizontal="right"/>
    </xf>
    <xf numFmtId="167" fontId="12" fillId="0" borderId="1" xfId="6" applyNumberFormat="1" applyFont="1" applyBorder="1" applyAlignment="1">
      <alignment horizontal="right"/>
    </xf>
    <xf numFmtId="0" fontId="16" fillId="5" borderId="19" xfId="0" applyFont="1" applyFill="1" applyBorder="1" applyAlignment="1">
      <alignment horizontal="center" wrapText="1"/>
    </xf>
    <xf numFmtId="0" fontId="11" fillId="0" borderId="1" xfId="0" applyNumberFormat="1" applyFont="1" applyBorder="1" applyAlignment="1">
      <alignment horizontal="center" wrapText="1"/>
    </xf>
    <xf numFmtId="172" fontId="11" fillId="0" borderId="1" xfId="1" applyNumberFormat="1" applyFont="1" applyFill="1" applyBorder="1" applyAlignment="1"/>
    <xf numFmtId="0" fontId="11" fillId="0" borderId="1" xfId="0" applyFont="1" applyFill="1" applyBorder="1"/>
    <xf numFmtId="172" fontId="11" fillId="0" borderId="1" xfId="1" applyNumberFormat="1" applyFont="1" applyFill="1" applyBorder="1"/>
    <xf numFmtId="172" fontId="11" fillId="0" borderId="1" xfId="1" applyNumberFormat="1" applyFont="1" applyBorder="1" applyAlignment="1">
      <alignment horizontal="left" indent="2"/>
    </xf>
    <xf numFmtId="0" fontId="16" fillId="8" borderId="1" xfId="0" applyFont="1" applyFill="1" applyBorder="1" applyAlignment="1">
      <alignment horizontal="center"/>
    </xf>
    <xf numFmtId="0" fontId="12" fillId="0" borderId="1" xfId="0" applyFont="1" applyBorder="1"/>
    <xf numFmtId="0" fontId="11" fillId="0" borderId="1" xfId="0" applyFont="1" applyFill="1" applyBorder="1" applyAlignment="1">
      <alignment horizontal="center" vertical="center" wrapText="1"/>
    </xf>
    <xf numFmtId="44" fontId="11" fillId="0" borderId="1" xfId="3" applyFont="1" applyBorder="1" applyAlignment="1">
      <alignment horizontal="center" vertical="center" wrapText="1"/>
    </xf>
    <xf numFmtId="44" fontId="11" fillId="0" borderId="1" xfId="3" applyFont="1" applyFill="1" applyBorder="1" applyAlignment="1">
      <alignment horizontal="center" vertical="center" wrapText="1"/>
    </xf>
    <xf numFmtId="0" fontId="11" fillId="0" borderId="1" xfId="0" applyFont="1" applyBorder="1" applyAlignment="1">
      <alignment horizontal="center" vertical="center"/>
    </xf>
    <xf numFmtId="164" fontId="12" fillId="0" borderId="2" xfId="0" applyNumberFormat="1" applyFont="1" applyFill="1" applyBorder="1" applyAlignment="1">
      <alignment horizontal="right" vertical="center"/>
    </xf>
    <xf numFmtId="164" fontId="12" fillId="0" borderId="24" xfId="0" applyNumberFormat="1" applyFont="1" applyFill="1" applyBorder="1" applyAlignment="1">
      <alignment horizontal="right" vertical="center"/>
    </xf>
    <xf numFmtId="164" fontId="12" fillId="0" borderId="18" xfId="0" applyNumberFormat="1" applyFont="1" applyFill="1" applyBorder="1" applyAlignment="1">
      <alignment horizontal="right" vertical="center"/>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6" xfId="0" applyFont="1" applyFill="1" applyBorder="1" applyAlignment="1">
      <alignment horizontal="center" vertical="center" wrapText="1"/>
    </xf>
    <xf numFmtId="0" fontId="18" fillId="0" borderId="0" xfId="0" applyFont="1" applyFill="1" applyBorder="1" applyAlignment="1">
      <alignment horizontal="left" vertical="center" wrapText="1"/>
    </xf>
    <xf numFmtId="43" fontId="15" fillId="0" borderId="0" xfId="0" applyNumberFormat="1" applyFont="1"/>
    <xf numFmtId="0" fontId="12" fillId="0" borderId="0" xfId="0" applyNumberFormat="1" applyFont="1" applyFill="1" applyBorder="1" applyAlignment="1">
      <alignment horizontal="left" wrapText="1"/>
    </xf>
    <xf numFmtId="0" fontId="17" fillId="0" borderId="0" xfId="0" applyFont="1" applyFill="1" applyAlignment="1">
      <alignment wrapText="1"/>
    </xf>
    <xf numFmtId="0" fontId="17" fillId="0" borderId="0" xfId="0" applyFont="1" applyFill="1"/>
    <xf numFmtId="0" fontId="12" fillId="0" borderId="0" xfId="0" applyFont="1" applyFill="1"/>
    <xf numFmtId="0" fontId="11" fillId="0" borderId="30"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7" xfId="0" applyFont="1" applyFill="1" applyBorder="1" applyAlignment="1">
      <alignment horizontal="center" vertical="center" wrapText="1"/>
    </xf>
    <xf numFmtId="0" fontId="12" fillId="0" borderId="18" xfId="0" applyFont="1" applyFill="1" applyBorder="1" applyAlignment="1">
      <alignment horizontal="left" vertical="center" wrapText="1"/>
    </xf>
    <xf numFmtId="165" fontId="6" fillId="0" borderId="0" xfId="0" applyNumberFormat="1" applyFont="1" applyBorder="1" applyAlignment="1">
      <alignment horizontal="center"/>
    </xf>
    <xf numFmtId="0" fontId="12" fillId="0" borderId="0" xfId="0" applyNumberFormat="1" applyFont="1" applyFill="1" applyBorder="1" applyAlignment="1">
      <alignment horizontal="left"/>
    </xf>
    <xf numFmtId="0" fontId="12" fillId="0" borderId="0" xfId="0" applyNumberFormat="1" applyFont="1" applyFill="1" applyBorder="1" applyAlignment="1">
      <alignment horizontal="left" vertical="center" wrapText="1"/>
    </xf>
    <xf numFmtId="0" fontId="12" fillId="0" borderId="22" xfId="0" applyFont="1" applyFill="1" applyBorder="1" applyAlignment="1">
      <alignment horizontal="left"/>
    </xf>
    <xf numFmtId="164" fontId="12" fillId="0" borderId="1" xfId="1" applyNumberFormat="1" applyFont="1" applyFill="1" applyBorder="1" applyAlignment="1">
      <alignment horizontal="right"/>
    </xf>
    <xf numFmtId="0" fontId="12" fillId="0" borderId="23" xfId="0" applyFont="1" applyFill="1" applyBorder="1"/>
    <xf numFmtId="0" fontId="24" fillId="0" borderId="0" xfId="0" applyFont="1" applyFill="1" applyBorder="1" applyAlignment="1">
      <alignment horizontal="center" vertical="center"/>
    </xf>
    <xf numFmtId="0" fontId="12" fillId="0" borderId="0" xfId="0" applyNumberFormat="1" applyFont="1" applyFill="1" applyBorder="1" applyAlignment="1">
      <alignment horizontal="left" vertical="center"/>
    </xf>
    <xf numFmtId="0" fontId="11" fillId="0" borderId="1" xfId="0" applyFont="1" applyBorder="1" applyAlignment="1">
      <alignment horizontal="right"/>
    </xf>
    <xf numFmtId="164" fontId="25" fillId="0" borderId="0" xfId="0" applyNumberFormat="1" applyFont="1" applyBorder="1" applyAlignment="1">
      <alignment horizontal="center"/>
    </xf>
    <xf numFmtId="0" fontId="11" fillId="0" borderId="0" xfId="0" applyFont="1" applyBorder="1" applyAlignment="1">
      <alignment horizontal="right"/>
    </xf>
    <xf numFmtId="169" fontId="11" fillId="0" borderId="0" xfId="0" applyNumberFormat="1" applyFont="1" applyBorder="1" applyAlignment="1">
      <alignment horizontal="right"/>
    </xf>
    <xf numFmtId="0" fontId="22" fillId="0" borderId="0" xfId="0" applyFont="1" applyFill="1" applyBorder="1" applyAlignment="1">
      <alignment horizontal="left" vertical="center" wrapText="1"/>
    </xf>
    <xf numFmtId="0" fontId="12" fillId="0" borderId="10" xfId="0" applyFont="1" applyFill="1" applyBorder="1" applyAlignment="1">
      <alignment horizontal="left"/>
    </xf>
    <xf numFmtId="164" fontId="12" fillId="0" borderId="19" xfId="1" applyNumberFormat="1" applyFont="1" applyBorder="1"/>
    <xf numFmtId="0" fontId="12" fillId="0" borderId="45" xfId="0" applyFont="1" applyFill="1" applyBorder="1" applyAlignment="1">
      <alignment horizontal="left"/>
    </xf>
    <xf numFmtId="164" fontId="12" fillId="0" borderId="46" xfId="1" applyNumberFormat="1" applyFont="1" applyBorder="1"/>
    <xf numFmtId="169" fontId="12" fillId="0" borderId="46" xfId="0" applyNumberFormat="1" applyFont="1" applyBorder="1" applyAlignment="1">
      <alignment horizontal="right"/>
    </xf>
    <xf numFmtId="0" fontId="11" fillId="0" borderId="0" xfId="0" applyFont="1" applyFill="1" applyBorder="1" applyAlignment="1">
      <alignment horizontal="center" vertical="center" wrapText="1"/>
    </xf>
    <xf numFmtId="164" fontId="11" fillId="0" borderId="0" xfId="0" applyNumberFormat="1" applyFont="1" applyBorder="1" applyAlignment="1">
      <alignment horizontal="center" vertical="center" wrapText="1"/>
    </xf>
    <xf numFmtId="0" fontId="17" fillId="0" borderId="0" xfId="0" applyFont="1"/>
    <xf numFmtId="0" fontId="17" fillId="0" borderId="0" xfId="0" applyFont="1" applyBorder="1" applyAlignment="1">
      <alignment horizontal="center" vertical="center"/>
    </xf>
    <xf numFmtId="164" fontId="12" fillId="0" borderId="0" xfId="0" applyNumberFormat="1" applyFont="1" applyFill="1" applyBorder="1"/>
    <xf numFmtId="43" fontId="0" fillId="0" borderId="0" xfId="0" applyNumberFormat="1"/>
    <xf numFmtId="164" fontId="25" fillId="0" borderId="0" xfId="0" applyNumberFormat="1" applyFont="1" applyFill="1" applyBorder="1" applyAlignment="1">
      <alignment horizontal="left"/>
    </xf>
    <xf numFmtId="165" fontId="12" fillId="0" borderId="1" xfId="0" applyNumberFormat="1" applyFont="1" applyFill="1" applyBorder="1"/>
    <xf numFmtId="165" fontId="11" fillId="0" borderId="1" xfId="0" applyNumberFormat="1" applyFont="1" applyFill="1" applyBorder="1" applyAlignment="1">
      <alignment horizontal="right"/>
    </xf>
    <xf numFmtId="165" fontId="12" fillId="0" borderId="0" xfId="0" applyNumberFormat="1" applyFont="1" applyFill="1" applyBorder="1"/>
    <xf numFmtId="165" fontId="15" fillId="0" borderId="0" xfId="0" applyNumberFormat="1" applyFont="1" applyBorder="1" applyAlignment="1">
      <alignment horizontal="right"/>
    </xf>
    <xf numFmtId="2" fontId="17" fillId="0" borderId="0" xfId="0" applyNumberFormat="1" applyFont="1" applyBorder="1" applyAlignment="1"/>
    <xf numFmtId="0" fontId="9" fillId="0" borderId="0" xfId="0" applyFont="1" applyBorder="1"/>
    <xf numFmtId="165" fontId="12" fillId="10" borderId="1" xfId="0" applyNumberFormat="1" applyFont="1" applyFill="1" applyBorder="1" applyAlignment="1">
      <alignment horizontal="right"/>
    </xf>
    <xf numFmtId="0" fontId="11" fillId="11" borderId="1" xfId="0" applyNumberFormat="1" applyFont="1" applyFill="1" applyBorder="1" applyAlignment="1">
      <alignment horizontal="center" wrapText="1"/>
    </xf>
    <xf numFmtId="165" fontId="12" fillId="11" borderId="1" xfId="0" applyNumberFormat="1" applyFont="1" applyFill="1" applyBorder="1" applyAlignment="1">
      <alignment horizontal="right"/>
    </xf>
    <xf numFmtId="44" fontId="15" fillId="0" borderId="42" xfId="3" applyFont="1" applyFill="1" applyBorder="1" applyAlignment="1">
      <alignment horizontal="center" vertical="center" wrapText="1"/>
    </xf>
    <xf numFmtId="0" fontId="11" fillId="0" borderId="23" xfId="0" applyFont="1" applyBorder="1" applyAlignment="1">
      <alignment horizontal="center" vertical="center" wrapText="1"/>
    </xf>
    <xf numFmtId="169" fontId="12" fillId="0" borderId="23" xfId="0" applyNumberFormat="1" applyFont="1" applyBorder="1" applyAlignment="1">
      <alignment horizontal="right"/>
    </xf>
    <xf numFmtId="169" fontId="11" fillId="0" borderId="23" xfId="0" applyNumberFormat="1" applyFont="1" applyBorder="1" applyAlignment="1">
      <alignment horizontal="right"/>
    </xf>
    <xf numFmtId="10" fontId="27" fillId="0" borderId="0" xfId="0" applyNumberFormat="1" applyFont="1" applyFill="1" applyBorder="1" applyAlignment="1">
      <alignment horizontal="center" vertical="center"/>
    </xf>
    <xf numFmtId="44" fontId="26" fillId="0" borderId="0" xfId="5" applyNumberFormat="1" applyFont="1" applyFill="1" applyBorder="1" applyAlignment="1">
      <alignment horizontal="center"/>
    </xf>
    <xf numFmtId="10" fontId="26" fillId="0" borderId="0" xfId="7" applyNumberFormat="1" applyFont="1" applyFill="1" applyBorder="1" applyAlignment="1">
      <alignment horizontal="center"/>
    </xf>
    <xf numFmtId="10" fontId="27" fillId="0" borderId="0" xfId="7" applyNumberFormat="1" applyFont="1" applyFill="1" applyBorder="1" applyAlignment="1">
      <alignment horizontal="center"/>
    </xf>
    <xf numFmtId="0" fontId="12" fillId="0" borderId="0" xfId="0" applyFont="1" applyFill="1" applyBorder="1" applyAlignment="1">
      <alignment horizontal="center"/>
    </xf>
    <xf numFmtId="165" fontId="12" fillId="0" borderId="0" xfId="3" applyNumberFormat="1" applyFont="1" applyFill="1" applyBorder="1" applyAlignment="1">
      <alignment horizontal="right"/>
    </xf>
    <xf numFmtId="165" fontId="12" fillId="0" borderId="0" xfId="1" applyNumberFormat="1" applyFont="1" applyFill="1" applyBorder="1" applyAlignment="1">
      <alignment horizontal="right"/>
    </xf>
    <xf numFmtId="164" fontId="11" fillId="0" borderId="0" xfId="0" applyNumberFormat="1" applyFont="1" applyBorder="1" applyAlignment="1">
      <alignment horizontal="center"/>
    </xf>
    <xf numFmtId="164" fontId="12" fillId="0" borderId="1" xfId="0" applyNumberFormat="1" applyFont="1" applyFill="1" applyBorder="1"/>
    <xf numFmtId="164" fontId="11" fillId="0" borderId="1" xfId="0" applyNumberFormat="1" applyFont="1" applyFill="1" applyBorder="1"/>
    <xf numFmtId="0" fontId="16" fillId="7" borderId="19" xfId="0" applyFont="1" applyFill="1" applyBorder="1" applyAlignment="1">
      <alignment horizontal="center" vertical="center" wrapText="1"/>
    </xf>
    <xf numFmtId="0" fontId="11" fillId="0" borderId="33" xfId="0" applyFont="1" applyFill="1" applyBorder="1" applyAlignment="1">
      <alignment horizontal="center" vertical="center" wrapText="1"/>
    </xf>
    <xf numFmtId="165" fontId="12" fillId="0" borderId="7" xfId="0" applyNumberFormat="1" applyFont="1" applyBorder="1"/>
    <xf numFmtId="165" fontId="12" fillId="0" borderId="4" xfId="0" applyNumberFormat="1" applyFont="1" applyBorder="1"/>
    <xf numFmtId="165" fontId="0" fillId="0" borderId="0" xfId="0" applyNumberFormat="1"/>
    <xf numFmtId="178" fontId="0" fillId="0" borderId="0" xfId="0" applyNumberFormat="1"/>
    <xf numFmtId="2" fontId="12" fillId="0" borderId="0" xfId="0" applyNumberFormat="1" applyFont="1" applyBorder="1"/>
    <xf numFmtId="0" fontId="11" fillId="10" borderId="6" xfId="0" applyNumberFormat="1" applyFont="1" applyFill="1" applyBorder="1" applyAlignment="1">
      <alignment horizontal="center" wrapText="1"/>
    </xf>
    <xf numFmtId="0" fontId="11" fillId="10" borderId="7" xfId="0" applyNumberFormat="1" applyFont="1" applyFill="1" applyBorder="1" applyAlignment="1">
      <alignment horizontal="center" wrapText="1"/>
    </xf>
    <xf numFmtId="165" fontId="12" fillId="10" borderId="3" xfId="0" applyNumberFormat="1" applyFont="1" applyFill="1" applyBorder="1" applyAlignment="1">
      <alignment horizontal="right"/>
    </xf>
    <xf numFmtId="165" fontId="12" fillId="10" borderId="19" xfId="0" applyNumberFormat="1" applyFont="1" applyFill="1" applyBorder="1" applyAlignment="1">
      <alignment horizontal="right"/>
    </xf>
    <xf numFmtId="165" fontId="12" fillId="10" borderId="11" xfId="0" applyNumberFormat="1" applyFont="1" applyFill="1" applyBorder="1" applyAlignment="1">
      <alignment horizontal="right"/>
    </xf>
    <xf numFmtId="0" fontId="11" fillId="12" borderId="7" xfId="0" applyFont="1" applyFill="1" applyBorder="1" applyAlignment="1">
      <alignment horizontal="center" vertical="center" wrapText="1"/>
    </xf>
    <xf numFmtId="164" fontId="12" fillId="12" borderId="3" xfId="1" applyNumberFormat="1" applyFont="1" applyFill="1" applyBorder="1" applyAlignment="1">
      <alignment horizontal="right"/>
    </xf>
    <xf numFmtId="164" fontId="12" fillId="12" borderId="11" xfId="1" applyNumberFormat="1" applyFont="1" applyFill="1" applyBorder="1" applyAlignment="1">
      <alignment horizontal="right"/>
    </xf>
    <xf numFmtId="164" fontId="12" fillId="12" borderId="47" xfId="1" applyNumberFormat="1" applyFont="1" applyFill="1" applyBorder="1" applyAlignment="1">
      <alignment horizontal="right"/>
    </xf>
    <xf numFmtId="0" fontId="11" fillId="12" borderId="32" xfId="0" applyFont="1" applyFill="1" applyBorder="1" applyAlignment="1">
      <alignment horizontal="right" vertical="center" wrapText="1"/>
    </xf>
    <xf numFmtId="164" fontId="11" fillId="12" borderId="9" xfId="0" applyNumberFormat="1" applyFont="1" applyFill="1" applyBorder="1" applyAlignment="1">
      <alignment horizontal="right" vertical="center"/>
    </xf>
    <xf numFmtId="164" fontId="11" fillId="12" borderId="25" xfId="0" applyNumberFormat="1" applyFont="1" applyFill="1" applyBorder="1" applyAlignment="1">
      <alignment horizontal="right" vertical="center"/>
    </xf>
    <xf numFmtId="0" fontId="11" fillId="0" borderId="30" xfId="0" applyFont="1" applyBorder="1" applyAlignment="1">
      <alignment horizontal="center" vertical="center"/>
    </xf>
    <xf numFmtId="0" fontId="11" fillId="0" borderId="48" xfId="0" applyFont="1" applyBorder="1" applyAlignment="1">
      <alignment horizontal="center" wrapText="1"/>
    </xf>
    <xf numFmtId="0" fontId="11" fillId="0" borderId="49" xfId="0" applyFont="1" applyBorder="1" applyAlignment="1">
      <alignment horizontal="center" wrapText="1"/>
    </xf>
    <xf numFmtId="0" fontId="12" fillId="0" borderId="45" xfId="0" applyFont="1" applyFill="1" applyBorder="1"/>
    <xf numFmtId="165" fontId="11" fillId="0" borderId="47" xfId="0" applyNumberFormat="1" applyFont="1" applyBorder="1"/>
    <xf numFmtId="0" fontId="12" fillId="0" borderId="5" xfId="0" applyFont="1" applyBorder="1"/>
    <xf numFmtId="0" fontId="12" fillId="0" borderId="9" xfId="0" applyFont="1" applyBorder="1"/>
    <xf numFmtId="0" fontId="18" fillId="0" borderId="0" xfId="0" applyFont="1" applyFill="1" applyBorder="1" applyAlignment="1">
      <alignment horizontal="left" vertical="center"/>
    </xf>
    <xf numFmtId="0" fontId="18" fillId="0" borderId="42" xfId="0" applyFont="1" applyFill="1" applyBorder="1" applyAlignment="1">
      <alignment horizontal="left" vertical="center"/>
    </xf>
    <xf numFmtId="0" fontId="11" fillId="0" borderId="30" xfId="0" applyFont="1" applyFill="1" applyBorder="1" applyAlignment="1">
      <alignment horizontal="center" wrapText="1"/>
    </xf>
    <xf numFmtId="0" fontId="11" fillId="0" borderId="20" xfId="0" applyFont="1" applyFill="1" applyBorder="1" applyAlignment="1">
      <alignment horizontal="center" wrapText="1"/>
    </xf>
    <xf numFmtId="164" fontId="12" fillId="0" borderId="53" xfId="0" applyNumberFormat="1" applyFont="1" applyFill="1" applyBorder="1" applyAlignment="1">
      <alignment horizontal="right" vertical="center"/>
    </xf>
    <xf numFmtId="0" fontId="12" fillId="0" borderId="5" xfId="0" applyFont="1" applyBorder="1" applyAlignment="1">
      <alignment vertical="center"/>
    </xf>
    <xf numFmtId="0" fontId="12" fillId="0" borderId="31" xfId="0" applyFont="1" applyBorder="1" applyAlignment="1">
      <alignment vertical="center"/>
    </xf>
    <xf numFmtId="164" fontId="11" fillId="12" borderId="25" xfId="0" applyNumberFormat="1" applyFont="1" applyFill="1" applyBorder="1" applyAlignment="1">
      <alignment vertical="center"/>
    </xf>
    <xf numFmtId="164" fontId="12" fillId="0" borderId="5" xfId="0" applyNumberFormat="1" applyFont="1" applyFill="1" applyBorder="1" applyAlignment="1">
      <alignment horizontal="right" vertical="center"/>
    </xf>
    <xf numFmtId="164" fontId="12" fillId="0" borderId="31" xfId="0" applyNumberFormat="1" applyFont="1" applyFill="1" applyBorder="1" applyAlignment="1">
      <alignment horizontal="right" vertical="center"/>
    </xf>
    <xf numFmtId="0" fontId="12" fillId="0" borderId="29" xfId="0" applyFont="1" applyBorder="1" applyAlignment="1">
      <alignment vertical="top" wrapText="1"/>
    </xf>
    <xf numFmtId="0" fontId="11" fillId="0" borderId="52" xfId="0" applyFont="1" applyBorder="1" applyAlignment="1">
      <alignment horizontal="left" vertical="center" wrapText="1"/>
    </xf>
    <xf numFmtId="0" fontId="12" fillId="0" borderId="54" xfId="0" applyFont="1" applyBorder="1" applyAlignment="1">
      <alignment vertical="center"/>
    </xf>
    <xf numFmtId="164" fontId="11" fillId="0" borderId="5" xfId="0" applyNumberFormat="1" applyFont="1" applyFill="1" applyBorder="1" applyAlignment="1">
      <alignment horizontal="right" vertical="center"/>
    </xf>
    <xf numFmtId="0" fontId="11" fillId="0" borderId="31" xfId="0" applyFont="1" applyFill="1" applyBorder="1" applyAlignment="1">
      <alignment vertical="center"/>
    </xf>
    <xf numFmtId="43" fontId="12" fillId="0" borderId="0" xfId="1" applyFont="1" applyFill="1" applyBorder="1" applyAlignment="1">
      <alignment horizontal="right"/>
    </xf>
    <xf numFmtId="44" fontId="12" fillId="0" borderId="0" xfId="3" applyFont="1"/>
    <xf numFmtId="44" fontId="12" fillId="0" borderId="0" xfId="0" applyNumberFormat="1" applyFont="1"/>
    <xf numFmtId="174" fontId="12" fillId="3" borderId="1" xfId="0" applyNumberFormat="1" applyFont="1" applyFill="1" applyBorder="1" applyAlignment="1">
      <alignment horizontal="right"/>
    </xf>
    <xf numFmtId="0" fontId="12" fillId="0" borderId="1" xfId="0" applyFont="1" applyBorder="1" applyAlignment="1">
      <alignment horizontal="left"/>
    </xf>
    <xf numFmtId="43" fontId="12" fillId="0" borderId="0" xfId="1" applyFont="1" applyBorder="1"/>
    <xf numFmtId="43" fontId="17" fillId="0" borderId="0" xfId="0" applyNumberFormat="1" applyFont="1"/>
    <xf numFmtId="0" fontId="1" fillId="0" borderId="0" xfId="0" applyFont="1"/>
    <xf numFmtId="0" fontId="12" fillId="0" borderId="50" xfId="0" applyFont="1" applyFill="1" applyBorder="1" applyAlignment="1">
      <alignment horizontal="left" vertical="center" wrapText="1"/>
    </xf>
    <xf numFmtId="164" fontId="12" fillId="0" borderId="10" xfId="0" applyNumberFormat="1" applyFont="1" applyFill="1" applyBorder="1" applyAlignment="1">
      <alignment horizontal="right" vertical="center"/>
    </xf>
    <xf numFmtId="164" fontId="12" fillId="0" borderId="50" xfId="0" applyNumberFormat="1" applyFont="1" applyFill="1" applyBorder="1" applyAlignment="1">
      <alignment horizontal="right" vertical="center"/>
    </xf>
    <xf numFmtId="164" fontId="12" fillId="0" borderId="55" xfId="0" applyNumberFormat="1" applyFont="1" applyFill="1" applyBorder="1" applyAlignment="1">
      <alignment horizontal="right" vertical="center"/>
    </xf>
    <xf numFmtId="0" fontId="18" fillId="0" borderId="0" xfId="0" applyFont="1" applyFill="1" applyBorder="1" applyAlignment="1">
      <alignment horizontal="left" vertical="center" wrapText="1"/>
    </xf>
    <xf numFmtId="10" fontId="12" fillId="0" borderId="0" xfId="0" applyNumberFormat="1" applyFont="1" applyFill="1" applyBorder="1" applyAlignment="1">
      <alignment horizontal="right" vertical="center"/>
    </xf>
    <xf numFmtId="10" fontId="12" fillId="0" borderId="0" xfId="8" applyNumberFormat="1" applyFont="1" applyFill="1" applyBorder="1" applyAlignment="1">
      <alignment horizontal="right"/>
    </xf>
    <xf numFmtId="10" fontId="12" fillId="0" borderId="0" xfId="7" applyNumberFormat="1" applyFont="1" applyFill="1" applyBorder="1" applyAlignment="1">
      <alignment horizontal="right"/>
    </xf>
    <xf numFmtId="179" fontId="12" fillId="0" borderId="6" xfId="0" applyNumberFormat="1" applyFont="1" applyBorder="1"/>
    <xf numFmtId="179" fontId="12" fillId="0" borderId="1" xfId="0" applyNumberFormat="1" applyFont="1" applyBorder="1"/>
    <xf numFmtId="179" fontId="12" fillId="0" borderId="19" xfId="0" applyNumberFormat="1" applyFont="1" applyBorder="1"/>
    <xf numFmtId="179" fontId="12" fillId="0" borderId="8" xfId="0" applyNumberFormat="1" applyFont="1" applyBorder="1"/>
    <xf numFmtId="179" fontId="11" fillId="0" borderId="46" xfId="0" applyNumberFormat="1" applyFont="1" applyBorder="1"/>
    <xf numFmtId="43" fontId="12" fillId="0" borderId="0" xfId="1" applyFont="1"/>
    <xf numFmtId="164" fontId="1" fillId="0" borderId="0" xfId="0" applyNumberFormat="1" applyFont="1"/>
    <xf numFmtId="165" fontId="12" fillId="11" borderId="1" xfId="1" applyNumberFormat="1" applyFont="1" applyFill="1" applyBorder="1" applyAlignment="1">
      <alignment horizontal="right"/>
    </xf>
    <xf numFmtId="164" fontId="12" fillId="0" borderId="1" xfId="1" applyNumberFormat="1" applyFont="1" applyFill="1" applyBorder="1" applyAlignment="1">
      <alignment vertical="center"/>
    </xf>
    <xf numFmtId="164" fontId="12" fillId="0" borderId="46" xfId="1" applyNumberFormat="1" applyFont="1" applyFill="1" applyBorder="1" applyAlignment="1">
      <alignment vertical="center"/>
    </xf>
    <xf numFmtId="0" fontId="1" fillId="0" borderId="0" xfId="0" applyFont="1" applyFill="1" applyBorder="1" applyAlignment="1">
      <alignment horizontal="center"/>
    </xf>
    <xf numFmtId="170" fontId="12" fillId="0" borderId="0" xfId="0" applyNumberFormat="1" applyFont="1" applyBorder="1" applyAlignment="1">
      <alignment horizontal="center"/>
    </xf>
    <xf numFmtId="165" fontId="12" fillId="0" borderId="22" xfId="1" applyNumberFormat="1" applyFont="1" applyBorder="1" applyAlignment="1">
      <alignment horizontal="left"/>
    </xf>
    <xf numFmtId="165" fontId="12" fillId="0" borderId="0" xfId="1" applyNumberFormat="1" applyFont="1" applyBorder="1" applyAlignment="1">
      <alignment horizontal="left"/>
    </xf>
    <xf numFmtId="0" fontId="11" fillId="0" borderId="0" xfId="0" applyFont="1" applyBorder="1" applyAlignment="1">
      <alignment horizontal="center" vertical="center"/>
    </xf>
    <xf numFmtId="0" fontId="12" fillId="12" borderId="1" xfId="0" applyFont="1" applyFill="1" applyBorder="1" applyAlignment="1">
      <alignment horizontal="center" vertical="center"/>
    </xf>
    <xf numFmtId="172" fontId="12" fillId="10" borderId="1" xfId="2" applyNumberFormat="1" applyFont="1" applyFill="1" applyBorder="1" applyAlignment="1">
      <alignment vertical="center"/>
    </xf>
    <xf numFmtId="165" fontId="12" fillId="10" borderId="1" xfId="2" applyNumberFormat="1" applyFont="1" applyFill="1" applyBorder="1" applyAlignment="1">
      <alignment vertical="center"/>
    </xf>
    <xf numFmtId="171" fontId="12" fillId="0" borderId="0" xfId="0" applyNumberFormat="1" applyFont="1" applyBorder="1"/>
    <xf numFmtId="0" fontId="14" fillId="0" borderId="0" xfId="0" applyFont="1" applyBorder="1"/>
    <xf numFmtId="0" fontId="16" fillId="0" borderId="0" xfId="0" applyFont="1" applyBorder="1" applyAlignment="1">
      <alignment horizontal="left" vertical="center"/>
    </xf>
    <xf numFmtId="0" fontId="11" fillId="12" borderId="19" xfId="0" applyFont="1" applyFill="1" applyBorder="1" applyAlignment="1">
      <alignment horizontal="center" vertical="center" wrapText="1"/>
    </xf>
    <xf numFmtId="0" fontId="12" fillId="12" borderId="1" xfId="0" applyFont="1" applyFill="1" applyBorder="1" applyAlignment="1">
      <alignment horizontal="center"/>
    </xf>
    <xf numFmtId="169" fontId="12" fillId="0" borderId="0" xfId="2" applyNumberFormat="1" applyFont="1" applyFill="1" applyBorder="1"/>
    <xf numFmtId="172" fontId="11" fillId="10" borderId="1" xfId="2" applyNumberFormat="1" applyFont="1" applyFill="1" applyBorder="1" applyAlignment="1">
      <alignment horizontal="center" vertical="center" wrapText="1"/>
    </xf>
    <xf numFmtId="165" fontId="12" fillId="10" borderId="1" xfId="0" applyNumberFormat="1" applyFont="1" applyFill="1" applyBorder="1" applyAlignment="1">
      <alignment vertical="center"/>
    </xf>
    <xf numFmtId="0" fontId="11" fillId="0" borderId="19" xfId="0" applyFont="1" applyBorder="1" applyAlignment="1">
      <alignment horizontal="right" vertical="center"/>
    </xf>
    <xf numFmtId="172" fontId="11" fillId="10" borderId="1" xfId="0" applyNumberFormat="1" applyFont="1" applyFill="1" applyBorder="1" applyAlignment="1">
      <alignment vertical="center"/>
    </xf>
    <xf numFmtId="0" fontId="18" fillId="0" borderId="0" xfId="0" applyFont="1" applyFill="1" applyBorder="1" applyAlignment="1">
      <alignment horizontal="left" vertical="top"/>
    </xf>
    <xf numFmtId="0" fontId="0" fillId="0" borderId="0" xfId="0" applyFill="1" applyBorder="1" applyAlignment="1"/>
    <xf numFmtId="0" fontId="0" fillId="0" borderId="0" xfId="0" applyFill="1" applyBorder="1"/>
    <xf numFmtId="0" fontId="18" fillId="0" borderId="0" xfId="0" applyFont="1" applyFill="1" applyBorder="1" applyAlignment="1">
      <alignment horizontal="left"/>
    </xf>
    <xf numFmtId="0" fontId="12" fillId="0" borderId="3" xfId="3" applyNumberFormat="1" applyFont="1" applyBorder="1" applyAlignment="1">
      <alignment horizontal="right"/>
    </xf>
    <xf numFmtId="0" fontId="7" fillId="0" borderId="0" xfId="0" applyFont="1" applyFill="1" applyBorder="1" applyAlignment="1">
      <alignment horizontal="center" vertical="center" wrapText="1"/>
    </xf>
    <xf numFmtId="10" fontId="11" fillId="0" borderId="15" xfId="0" applyNumberFormat="1" applyFont="1" applyBorder="1" applyAlignment="1">
      <alignment horizontal="center" vertical="center"/>
    </xf>
    <xf numFmtId="0" fontId="20" fillId="0" borderId="41" xfId="0" applyFont="1" applyFill="1" applyBorder="1" applyAlignment="1">
      <alignment horizontal="right" vertical="center"/>
    </xf>
    <xf numFmtId="165" fontId="12" fillId="0" borderId="12" xfId="0" applyNumberFormat="1" applyFont="1" applyBorder="1" applyAlignment="1">
      <alignment horizontal="right" vertical="center"/>
    </xf>
    <xf numFmtId="7" fontId="12" fillId="0" borderId="14" xfId="0" applyNumberFormat="1" applyFont="1" applyBorder="1" applyAlignment="1">
      <alignment horizontal="right" vertical="center"/>
    </xf>
    <xf numFmtId="165" fontId="12" fillId="0" borderId="14" xfId="0" applyNumberFormat="1" applyFont="1" applyBorder="1" applyAlignment="1">
      <alignment horizontal="right" vertical="center"/>
    </xf>
    <xf numFmtId="7" fontId="12" fillId="0" borderId="13" xfId="0" applyNumberFormat="1" applyFont="1" applyBorder="1" applyAlignment="1">
      <alignment horizontal="right" vertical="center"/>
    </xf>
    <xf numFmtId="0" fontId="11" fillId="0" borderId="20" xfId="0" applyFont="1" applyFill="1" applyBorder="1" applyAlignment="1">
      <alignment horizontal="left" vertical="center"/>
    </xf>
    <xf numFmtId="0" fontId="12" fillId="0" borderId="31" xfId="0" applyFont="1" applyFill="1" applyBorder="1" applyAlignment="1">
      <alignment horizontal="left" vertical="center" wrapText="1"/>
    </xf>
    <xf numFmtId="165" fontId="12" fillId="0" borderId="51" xfId="0" applyNumberFormat="1" applyFont="1" applyBorder="1" applyAlignment="1">
      <alignment horizontal="right" vertical="center"/>
    </xf>
    <xf numFmtId="0" fontId="12" fillId="0" borderId="24" xfId="0" applyFont="1" applyFill="1" applyBorder="1" applyAlignment="1">
      <alignment horizontal="left" vertical="center" wrapText="1"/>
    </xf>
    <xf numFmtId="165" fontId="12" fillId="0" borderId="26" xfId="0" applyNumberFormat="1" applyFont="1" applyBorder="1" applyAlignment="1">
      <alignment horizontal="right" vertical="center"/>
    </xf>
    <xf numFmtId="165" fontId="12" fillId="0" borderId="1" xfId="0" applyNumberFormat="1" applyFont="1" applyBorder="1" applyAlignment="1">
      <alignment horizontal="right" vertical="center"/>
    </xf>
    <xf numFmtId="165" fontId="12" fillId="0" borderId="23" xfId="0" applyNumberFormat="1" applyFont="1" applyBorder="1" applyAlignment="1">
      <alignment horizontal="right" vertical="center"/>
    </xf>
    <xf numFmtId="165" fontId="12" fillId="0" borderId="3" xfId="0" applyNumberFormat="1" applyFont="1" applyBorder="1" applyAlignment="1">
      <alignment horizontal="right" vertical="center"/>
    </xf>
    <xf numFmtId="0" fontId="12" fillId="0" borderId="25" xfId="0" applyFont="1" applyBorder="1" applyAlignment="1">
      <alignment vertical="top" wrapText="1"/>
    </xf>
    <xf numFmtId="0" fontId="11" fillId="0" borderId="12" xfId="0" applyFont="1" applyFill="1" applyBorder="1" applyAlignment="1">
      <alignment horizontal="right"/>
    </xf>
    <xf numFmtId="0" fontId="11" fillId="10" borderId="1" xfId="0" applyFont="1" applyFill="1" applyBorder="1" applyAlignment="1">
      <alignment horizontal="center" vertical="center" wrapText="1"/>
    </xf>
    <xf numFmtId="0" fontId="0" fillId="0" borderId="0" xfId="0" applyFill="1"/>
    <xf numFmtId="169" fontId="12" fillId="0" borderId="19" xfId="0" applyNumberFormat="1" applyFont="1" applyBorder="1" applyAlignment="1">
      <alignment horizontal="right"/>
    </xf>
    <xf numFmtId="165" fontId="12" fillId="0" borderId="7" xfId="0" applyNumberFormat="1" applyFont="1" applyBorder="1" applyAlignment="1">
      <alignment horizontal="right" vertical="center"/>
    </xf>
    <xf numFmtId="165" fontId="12" fillId="0" borderId="4" xfId="0" applyNumberFormat="1" applyFont="1" applyBorder="1" applyAlignment="1">
      <alignment horizontal="right" vertical="center"/>
    </xf>
    <xf numFmtId="0" fontId="1" fillId="0" borderId="0" xfId="0" applyFont="1" applyBorder="1"/>
    <xf numFmtId="0" fontId="1" fillId="0" borderId="0" xfId="0" applyFont="1" applyFill="1"/>
    <xf numFmtId="0" fontId="1" fillId="0" borderId="0" xfId="0" applyFont="1" applyFill="1" applyBorder="1"/>
    <xf numFmtId="165" fontId="1" fillId="0" borderId="0" xfId="0" applyNumberFormat="1" applyFont="1"/>
    <xf numFmtId="0" fontId="1" fillId="0" borderId="0" xfId="0" applyFont="1" applyBorder="1" applyAlignment="1">
      <alignment horizontal="center"/>
    </xf>
    <xf numFmtId="0" fontId="1" fillId="0" borderId="0" xfId="0" applyFont="1" applyBorder="1" applyAlignment="1">
      <alignment horizontal="center" vertical="center" wrapText="1"/>
    </xf>
    <xf numFmtId="0" fontId="1" fillId="0" borderId="0" xfId="0" applyFont="1" applyAlignment="1">
      <alignment wrapText="1"/>
    </xf>
    <xf numFmtId="44" fontId="1" fillId="0" borderId="0" xfId="3" applyFont="1" applyBorder="1"/>
    <xf numFmtId="44" fontId="1" fillId="0" borderId="0" xfId="0" applyNumberFormat="1" applyFont="1" applyBorder="1"/>
    <xf numFmtId="44" fontId="1" fillId="0" borderId="0" xfId="3" applyFont="1"/>
    <xf numFmtId="44" fontId="1" fillId="0" borderId="0" xfId="0" applyNumberFormat="1" applyFont="1"/>
    <xf numFmtId="167" fontId="1" fillId="0" borderId="0" xfId="0" applyNumberFormat="1" applyFont="1"/>
    <xf numFmtId="178" fontId="1" fillId="0" borderId="0" xfId="0" applyNumberFormat="1" applyFont="1"/>
    <xf numFmtId="169" fontId="1" fillId="0" borderId="0" xfId="0" applyNumberFormat="1" applyFont="1"/>
    <xf numFmtId="172" fontId="1" fillId="0" borderId="0" xfId="0" applyNumberFormat="1" applyFont="1"/>
    <xf numFmtId="177" fontId="1" fillId="0" borderId="0" xfId="0" applyNumberFormat="1" applyFont="1"/>
    <xf numFmtId="176" fontId="1" fillId="0" borderId="0" xfId="0" applyNumberFormat="1" applyFont="1"/>
    <xf numFmtId="165" fontId="12" fillId="10" borderId="1" xfId="9" applyNumberFormat="1" applyFont="1" applyFill="1" applyBorder="1"/>
    <xf numFmtId="169" fontId="12" fillId="10" borderId="1" xfId="9" applyNumberFormat="1" applyFont="1" applyFill="1" applyBorder="1"/>
    <xf numFmtId="0" fontId="0" fillId="0" borderId="0" xfId="0"/>
    <xf numFmtId="165" fontId="12" fillId="0" borderId="1" xfId="0" applyNumberFormat="1" applyFont="1" applyFill="1" applyBorder="1" applyAlignment="1">
      <alignment horizontal="right"/>
    </xf>
    <xf numFmtId="167" fontId="12" fillId="0" borderId="1" xfId="6" applyNumberFormat="1" applyFont="1" applyBorder="1" applyAlignment="1">
      <alignment horizontal="right"/>
    </xf>
    <xf numFmtId="172" fontId="12" fillId="0" borderId="1" xfId="1" applyNumberFormat="1" applyFont="1" applyFill="1" applyBorder="1" applyAlignment="1"/>
    <xf numFmtId="164" fontId="12" fillId="0" borderId="1" xfId="1" applyNumberFormat="1" applyFont="1" applyFill="1" applyBorder="1" applyAlignment="1">
      <alignment horizontal="right"/>
    </xf>
    <xf numFmtId="164" fontId="12" fillId="0" borderId="1" xfId="0" applyNumberFormat="1" applyFont="1" applyFill="1" applyBorder="1"/>
    <xf numFmtId="164" fontId="0" fillId="0" borderId="0" xfId="0" applyNumberFormat="1"/>
    <xf numFmtId="167" fontId="12" fillId="0" borderId="1" xfId="0" applyNumberFormat="1" applyFont="1" applyBorder="1" applyAlignment="1"/>
    <xf numFmtId="0" fontId="15" fillId="0" borderId="0" xfId="0" applyFont="1" applyBorder="1" applyAlignment="1">
      <alignment horizontal="center" wrapText="1"/>
    </xf>
    <xf numFmtId="44" fontId="1" fillId="0" borderId="1" xfId="3" applyFont="1" applyBorder="1" applyAlignment="1">
      <alignment horizontal="center" vertical="center" wrapText="1"/>
    </xf>
    <xf numFmtId="0" fontId="28" fillId="13" borderId="1" xfId="0" applyFont="1" applyFill="1" applyBorder="1"/>
    <xf numFmtId="0" fontId="12" fillId="0" borderId="22" xfId="0" applyFont="1" applyFill="1" applyBorder="1"/>
    <xf numFmtId="0" fontId="12" fillId="12" borderId="22" xfId="0" applyFont="1" applyFill="1" applyBorder="1" applyAlignment="1">
      <alignment horizontal="center"/>
    </xf>
    <xf numFmtId="0" fontId="1" fillId="0" borderId="0" xfId="13"/>
    <xf numFmtId="0" fontId="29" fillId="0" borderId="12" xfId="13" applyFont="1" applyBorder="1" applyAlignment="1">
      <alignment vertical="top"/>
    </xf>
    <xf numFmtId="0" fontId="29" fillId="0" borderId="49" xfId="13" applyFont="1" applyBorder="1" applyAlignment="1">
      <alignment horizontal="center" vertical="top"/>
    </xf>
    <xf numFmtId="0" fontId="30" fillId="0" borderId="56" xfId="13" applyFont="1" applyBorder="1" applyAlignment="1">
      <alignment vertical="top" wrapText="1"/>
    </xf>
    <xf numFmtId="165" fontId="0" fillId="0" borderId="1" xfId="3" applyNumberFormat="1" applyFont="1" applyBorder="1" applyAlignment="1">
      <alignment horizontal="center"/>
    </xf>
    <xf numFmtId="0" fontId="30" fillId="0" borderId="1" xfId="13" applyFont="1" applyBorder="1" applyAlignment="1">
      <alignment vertical="top" wrapText="1"/>
    </xf>
    <xf numFmtId="0" fontId="30" fillId="0" borderId="1" xfId="13" applyFont="1" applyBorder="1"/>
    <xf numFmtId="0" fontId="31" fillId="0" borderId="1" xfId="13" applyFont="1" applyFill="1" applyBorder="1" applyAlignment="1">
      <alignment vertical="top"/>
    </xf>
    <xf numFmtId="0" fontId="31" fillId="0" borderId="1" xfId="13" applyFont="1" applyBorder="1" applyAlignment="1">
      <alignment vertical="top"/>
    </xf>
    <xf numFmtId="165" fontId="1" fillId="0" borderId="1" xfId="3" applyNumberFormat="1" applyFont="1" applyBorder="1" applyAlignment="1">
      <alignment horizontal="center"/>
    </xf>
    <xf numFmtId="167" fontId="12" fillId="0" borderId="1" xfId="0" applyNumberFormat="1" applyFont="1" applyFill="1" applyBorder="1" applyAlignment="1"/>
    <xf numFmtId="3" fontId="12" fillId="0" borderId="46" xfId="0" applyNumberFormat="1" applyFont="1" applyBorder="1" applyAlignment="1">
      <alignment horizontal="right"/>
    </xf>
    <xf numFmtId="43" fontId="8" fillId="0" borderId="0" xfId="0" applyNumberFormat="1" applyFont="1"/>
    <xf numFmtId="0" fontId="13" fillId="0" borderId="0" xfId="0" applyFont="1" applyBorder="1" applyAlignment="1">
      <alignment vertical="center"/>
    </xf>
    <xf numFmtId="0" fontId="21" fillId="0" borderId="1" xfId="0" applyFont="1" applyBorder="1" applyAlignment="1">
      <alignment horizontal="left" vertical="center" wrapText="1"/>
    </xf>
    <xf numFmtId="0" fontId="21" fillId="0" borderId="1" xfId="0" applyFont="1" applyBorder="1" applyAlignment="1">
      <alignment horizontal="center" vertical="top" wrapText="1"/>
    </xf>
    <xf numFmtId="0" fontId="21" fillId="14" borderId="1" xfId="0" applyNumberFormat="1" applyFont="1" applyFill="1" applyBorder="1" applyAlignment="1">
      <alignment horizontal="center" vertical="center" wrapText="1"/>
    </xf>
    <xf numFmtId="0" fontId="21" fillId="15" borderId="1" xfId="0" applyNumberFormat="1" applyFont="1" applyFill="1" applyBorder="1" applyAlignment="1">
      <alignment horizontal="center" vertical="center" wrapText="1"/>
    </xf>
    <xf numFmtId="0" fontId="21" fillId="12" borderId="1" xfId="0" applyFont="1" applyFill="1" applyBorder="1" applyAlignment="1">
      <alignment horizontal="center" vertical="center" wrapText="1"/>
    </xf>
    <xf numFmtId="0" fontId="21" fillId="16" borderId="1" xfId="0" applyFont="1" applyFill="1" applyBorder="1" applyAlignment="1">
      <alignment horizontal="center" vertical="center" wrapText="1"/>
    </xf>
    <xf numFmtId="0" fontId="21" fillId="11"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33" fillId="14" borderId="1" xfId="0" applyFont="1" applyFill="1" applyBorder="1" applyAlignment="1">
      <alignment vertical="center"/>
    </xf>
    <xf numFmtId="167" fontId="33" fillId="15" borderId="1" xfId="0" applyNumberFormat="1" applyFont="1" applyFill="1" applyBorder="1" applyAlignment="1">
      <alignment vertical="center"/>
    </xf>
    <xf numFmtId="172" fontId="33" fillId="12" borderId="1" xfId="9" applyNumberFormat="1" applyFont="1" applyFill="1" applyBorder="1" applyAlignment="1">
      <alignment vertical="center"/>
    </xf>
    <xf numFmtId="165" fontId="33" fillId="17" borderId="1" xfId="10" applyNumberFormat="1" applyFont="1" applyFill="1" applyBorder="1" applyAlignment="1">
      <alignment vertical="center"/>
    </xf>
    <xf numFmtId="178" fontId="33" fillId="11" borderId="1" xfId="10" applyNumberFormat="1" applyFont="1" applyFill="1" applyBorder="1" applyAlignment="1">
      <alignment vertical="center"/>
    </xf>
    <xf numFmtId="178" fontId="33" fillId="10" borderId="1" xfId="10" applyNumberFormat="1" applyFont="1" applyFill="1" applyBorder="1" applyAlignment="1">
      <alignment vertical="center"/>
    </xf>
    <xf numFmtId="0" fontId="16" fillId="0" borderId="0" xfId="0" applyFont="1" applyBorder="1" applyAlignment="1">
      <alignment vertical="center"/>
    </xf>
    <xf numFmtId="0" fontId="33" fillId="0" borderId="0" xfId="0" applyFont="1" applyAlignment="1">
      <alignment vertical="center"/>
    </xf>
    <xf numFmtId="172" fontId="21" fillId="0" borderId="1" xfId="9" applyNumberFormat="1" applyFont="1" applyBorder="1" applyAlignment="1">
      <alignment vertical="center"/>
    </xf>
    <xf numFmtId="181" fontId="33" fillId="0" borderId="0" xfId="0" applyNumberFormat="1" applyFont="1" applyAlignment="1">
      <alignment vertical="center"/>
    </xf>
    <xf numFmtId="0" fontId="14" fillId="0" borderId="0" xfId="0" applyFont="1" applyBorder="1" applyAlignment="1">
      <alignment vertical="center"/>
    </xf>
    <xf numFmtId="0" fontId="11" fillId="2" borderId="1" xfId="0" applyFont="1" applyFill="1" applyBorder="1" applyAlignment="1">
      <alignment horizontal="center" vertical="center" wrapText="1"/>
    </xf>
    <xf numFmtId="172" fontId="11" fillId="10" borderId="56" xfId="0" applyNumberFormat="1" applyFont="1" applyFill="1" applyBorder="1" applyAlignment="1">
      <alignment vertical="center"/>
    </xf>
    <xf numFmtId="0" fontId="12" fillId="0" borderId="0" xfId="0" applyFont="1" applyBorder="1" applyAlignment="1">
      <alignment vertical="center"/>
    </xf>
    <xf numFmtId="172" fontId="11" fillId="2" borderId="1" xfId="1" applyNumberFormat="1" applyFont="1" applyFill="1" applyBorder="1" applyAlignment="1">
      <alignment vertical="center"/>
    </xf>
    <xf numFmtId="182" fontId="12" fillId="0" borderId="0" xfId="0" applyNumberFormat="1" applyFont="1" applyBorder="1"/>
    <xf numFmtId="170" fontId="12" fillId="3" borderId="1" xfId="0" applyNumberFormat="1" applyFont="1" applyFill="1" applyBorder="1" applyAlignment="1">
      <alignment horizontal="right"/>
    </xf>
    <xf numFmtId="165" fontId="12" fillId="0" borderId="0" xfId="0" quotePrefix="1" applyNumberFormat="1" applyFont="1" applyFill="1" applyBorder="1"/>
    <xf numFmtId="165" fontId="12" fillId="3" borderId="1" xfId="10" applyNumberFormat="1" applyFont="1" applyFill="1" applyBorder="1" applyAlignment="1">
      <alignment horizontal="right"/>
    </xf>
    <xf numFmtId="165" fontId="12" fillId="0" borderId="1" xfId="9" applyNumberFormat="1" applyFont="1" applyBorder="1" applyAlignment="1">
      <alignment horizontal="right"/>
    </xf>
    <xf numFmtId="165" fontId="12" fillId="3" borderId="1" xfId="9" applyNumberFormat="1" applyFont="1" applyFill="1" applyBorder="1" applyAlignment="1">
      <alignment horizontal="right"/>
    </xf>
    <xf numFmtId="167" fontId="12" fillId="0" borderId="1" xfId="0" applyNumberFormat="1" applyFont="1" applyBorder="1"/>
    <xf numFmtId="172" fontId="12" fillId="0" borderId="1" xfId="1" applyNumberFormat="1" applyFont="1" applyFill="1" applyBorder="1"/>
    <xf numFmtId="0" fontId="34" fillId="0" borderId="0" xfId="0" applyFont="1"/>
    <xf numFmtId="43" fontId="1" fillId="0" borderId="0" xfId="0" applyNumberFormat="1" applyFont="1"/>
    <xf numFmtId="172" fontId="35" fillId="0" borderId="0" xfId="0" applyNumberFormat="1" applyFont="1" applyAlignment="1">
      <alignment horizontal="left"/>
    </xf>
    <xf numFmtId="0" fontId="16" fillId="6" borderId="19" xfId="0" applyFont="1" applyFill="1" applyBorder="1"/>
    <xf numFmtId="0" fontId="36" fillId="0" borderId="0" xfId="0" applyFont="1"/>
    <xf numFmtId="0" fontId="35" fillId="0" borderId="0" xfId="0" applyFont="1" applyFill="1"/>
    <xf numFmtId="0" fontId="37" fillId="0" borderId="0" xfId="0" applyFont="1"/>
    <xf numFmtId="0" fontId="11" fillId="18" borderId="1" xfId="0" applyFont="1" applyFill="1" applyBorder="1" applyAlignment="1">
      <alignment horizontal="center" vertical="center" wrapText="1"/>
    </xf>
    <xf numFmtId="0" fontId="5" fillId="0" borderId="0" xfId="0" applyFont="1" applyBorder="1" applyAlignment="1">
      <alignment horizontal="center" wrapText="1"/>
    </xf>
    <xf numFmtId="172" fontId="12" fillId="0" borderId="1" xfId="9" applyNumberFormat="1" applyFont="1" applyBorder="1"/>
    <xf numFmtId="164" fontId="12" fillId="0" borderId="1" xfId="9" applyNumberFormat="1" applyFont="1" applyFill="1" applyBorder="1"/>
    <xf numFmtId="164" fontId="12" fillId="18" borderId="1" xfId="1" applyNumberFormat="1" applyFont="1" applyFill="1" applyBorder="1" applyAlignment="1">
      <alignment horizontal="right"/>
    </xf>
    <xf numFmtId="165" fontId="1" fillId="0" borderId="0" xfId="0" applyNumberFormat="1" applyFont="1" applyBorder="1"/>
    <xf numFmtId="172" fontId="12" fillId="0" borderId="1" xfId="9" applyNumberFormat="1" applyFont="1" applyBorder="1" applyAlignment="1">
      <alignment horizontal="right"/>
    </xf>
    <xf numFmtId="179" fontId="9" fillId="0" borderId="0" xfId="0" applyNumberFormat="1" applyFont="1" applyBorder="1" applyAlignment="1"/>
    <xf numFmtId="164" fontId="12" fillId="0" borderId="1" xfId="9" applyNumberFormat="1" applyFont="1" applyBorder="1" applyAlignment="1">
      <alignment horizontal="right"/>
    </xf>
    <xf numFmtId="0" fontId="12" fillId="0" borderId="1" xfId="0" applyFont="1" applyFill="1" applyBorder="1" applyAlignment="1">
      <alignment horizontal="left"/>
    </xf>
    <xf numFmtId="172" fontId="12" fillId="0" borderId="0" xfId="9" applyNumberFormat="1" applyFont="1" applyBorder="1" applyAlignment="1">
      <alignment horizontal="center"/>
    </xf>
    <xf numFmtId="164" fontId="1" fillId="0" borderId="0" xfId="0" applyNumberFormat="1" applyFont="1" applyBorder="1" applyAlignment="1">
      <alignment horizontal="right"/>
    </xf>
    <xf numFmtId="165" fontId="5" fillId="0" borderId="0" xfId="0" applyNumberFormat="1" applyFont="1" applyBorder="1"/>
    <xf numFmtId="0" fontId="1" fillId="0" borderId="0" xfId="0" applyFont="1" applyFill="1" applyBorder="1" applyAlignment="1">
      <alignment horizontal="left"/>
    </xf>
    <xf numFmtId="169" fontId="1" fillId="0" borderId="0" xfId="0" applyNumberFormat="1" applyFont="1" applyBorder="1" applyAlignment="1">
      <alignment horizontal="right"/>
    </xf>
    <xf numFmtId="169" fontId="1" fillId="0" borderId="0" xfId="0" applyNumberFormat="1" applyFont="1" applyBorder="1" applyAlignment="1">
      <alignment horizontal="left"/>
    </xf>
    <xf numFmtId="172" fontId="1" fillId="0" borderId="0" xfId="9" applyNumberFormat="1" applyFont="1" applyBorder="1" applyAlignment="1">
      <alignment horizontal="center"/>
    </xf>
    <xf numFmtId="164" fontId="1" fillId="0" borderId="0" xfId="0" applyNumberFormat="1" applyFont="1" applyAlignment="1">
      <alignment horizontal="left"/>
    </xf>
    <xf numFmtId="0" fontId="6" fillId="0" borderId="0" xfId="0" applyFont="1"/>
    <xf numFmtId="0" fontId="38" fillId="0" borderId="0" xfId="0" applyFont="1"/>
    <xf numFmtId="0" fontId="40" fillId="0" borderId="0" xfId="0" applyFont="1"/>
    <xf numFmtId="165" fontId="40" fillId="0" borderId="19" xfId="0" applyNumberFormat="1" applyFont="1" applyBorder="1" applyAlignment="1">
      <alignment horizontal="center" vertical="center" wrapText="1"/>
    </xf>
    <xf numFmtId="165" fontId="40" fillId="0" borderId="19" xfId="0" applyNumberFormat="1" applyFont="1" applyBorder="1" applyAlignment="1">
      <alignment horizontal="center" vertical="center"/>
    </xf>
    <xf numFmtId="165" fontId="12" fillId="0" borderId="19" xfId="0" applyNumberFormat="1" applyFont="1" applyBorder="1" applyAlignment="1">
      <alignment horizontal="center" vertical="center"/>
    </xf>
    <xf numFmtId="165" fontId="12" fillId="0" borderId="41" xfId="0" applyNumberFormat="1" applyFont="1" applyBorder="1" applyAlignment="1">
      <alignment horizontal="center" vertical="center"/>
    </xf>
    <xf numFmtId="0" fontId="32" fillId="0" borderId="0" xfId="0" applyFont="1" applyAlignment="1">
      <alignment vertical="top"/>
    </xf>
    <xf numFmtId="0" fontId="41" fillId="0" borderId="1" xfId="0" applyNumberFormat="1" applyFont="1" applyFill="1" applyBorder="1" applyAlignment="1">
      <alignment horizontal="center" vertical="center" wrapText="1"/>
    </xf>
    <xf numFmtId="0" fontId="11" fillId="0" borderId="23"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164" fontId="12" fillId="0" borderId="1" xfId="0" applyNumberFormat="1" applyFont="1" applyBorder="1" applyAlignment="1">
      <alignment horizontal="right"/>
    </xf>
    <xf numFmtId="165" fontId="12" fillId="0" borderId="1" xfId="10" applyNumberFormat="1" applyFont="1" applyBorder="1" applyAlignment="1">
      <alignment horizontal="right"/>
    </xf>
    <xf numFmtId="165" fontId="12" fillId="0" borderId="23" xfId="10" applyNumberFormat="1" applyFont="1" applyBorder="1" applyAlignment="1">
      <alignment horizontal="right"/>
    </xf>
    <xf numFmtId="165" fontId="12" fillId="0" borderId="1" xfId="3" applyNumberFormat="1" applyFont="1" applyBorder="1" applyAlignment="1">
      <alignment horizontal="right"/>
    </xf>
    <xf numFmtId="169" fontId="12" fillId="0" borderId="26" xfId="0" applyNumberFormat="1" applyFont="1" applyBorder="1" applyAlignment="1">
      <alignment horizontal="right"/>
    </xf>
    <xf numFmtId="165" fontId="42" fillId="3" borderId="1" xfId="0" applyNumberFormat="1" applyFont="1" applyFill="1" applyBorder="1" applyAlignment="1">
      <alignment horizontal="right"/>
    </xf>
    <xf numFmtId="164" fontId="11" fillId="0" borderId="1" xfId="0" applyNumberFormat="1" applyFont="1" applyBorder="1" applyAlignment="1">
      <alignment horizontal="right"/>
    </xf>
    <xf numFmtId="165" fontId="11" fillId="0" borderId="1" xfId="10" applyNumberFormat="1" applyFont="1" applyBorder="1" applyAlignment="1">
      <alignment horizontal="right"/>
    </xf>
    <xf numFmtId="44" fontId="11" fillId="0" borderId="1" xfId="10" applyFont="1" applyBorder="1" applyAlignment="1">
      <alignment horizontal="right"/>
    </xf>
    <xf numFmtId="10" fontId="12" fillId="0" borderId="0" xfId="12" applyNumberFormat="1" applyFont="1" applyFill="1" applyBorder="1" applyAlignment="1">
      <alignment horizontal="right"/>
    </xf>
    <xf numFmtId="165" fontId="12" fillId="0" borderId="13" xfId="0" applyNumberFormat="1" applyFont="1" applyBorder="1" applyAlignment="1">
      <alignment horizontal="right" vertical="center"/>
    </xf>
    <xf numFmtId="44" fontId="0" fillId="0" borderId="0" xfId="3" applyFont="1"/>
    <xf numFmtId="165" fontId="35" fillId="0" borderId="0" xfId="0" applyNumberFormat="1" applyFont="1" applyFill="1"/>
    <xf numFmtId="0" fontId="43" fillId="0" borderId="0" xfId="0" applyFont="1" applyFill="1" applyBorder="1" applyAlignment="1">
      <alignment horizontal="left" vertical="center"/>
    </xf>
    <xf numFmtId="169" fontId="12" fillId="0" borderId="0" xfId="9" applyNumberFormat="1" applyFont="1" applyBorder="1" applyAlignment="1">
      <alignment horizontal="right"/>
    </xf>
    <xf numFmtId="7" fontId="12" fillId="0" borderId="0" xfId="0" applyNumberFormat="1" applyFont="1" applyFill="1" applyBorder="1" applyAlignment="1">
      <alignment horizontal="right"/>
    </xf>
    <xf numFmtId="164" fontId="1" fillId="0" borderId="0" xfId="0" applyNumberFormat="1" applyFont="1" applyFill="1" applyBorder="1" applyAlignment="1">
      <alignment horizontal="right"/>
    </xf>
    <xf numFmtId="165"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wrapText="1"/>
    </xf>
    <xf numFmtId="169" fontId="12" fillId="0" borderId="0" xfId="9" applyNumberFormat="1" applyFont="1" applyBorder="1" applyAlignment="1">
      <alignment horizontal="right" wrapText="1"/>
    </xf>
    <xf numFmtId="169" fontId="12" fillId="0" borderId="1" xfId="9" applyNumberFormat="1" applyFont="1" applyFill="1" applyBorder="1" applyAlignment="1">
      <alignment horizontal="right"/>
    </xf>
    <xf numFmtId="169" fontId="11" fillId="0" borderId="1" xfId="9" applyNumberFormat="1" applyFont="1" applyBorder="1" applyAlignment="1">
      <alignment horizontal="right"/>
    </xf>
    <xf numFmtId="169" fontId="11" fillId="0" borderId="0" xfId="0" applyNumberFormat="1" applyFont="1" applyFill="1" applyBorder="1" applyAlignment="1">
      <alignment horizontal="right"/>
    </xf>
    <xf numFmtId="169" fontId="12" fillId="0" borderId="1" xfId="9" applyNumberFormat="1" applyFont="1" applyBorder="1" applyAlignment="1">
      <alignment horizontal="right"/>
    </xf>
    <xf numFmtId="169" fontId="12" fillId="0" borderId="0" xfId="0" applyNumberFormat="1" applyFont="1" applyFill="1" applyBorder="1" applyAlignment="1">
      <alignment horizontal="right"/>
    </xf>
    <xf numFmtId="172" fontId="1" fillId="0" borderId="0" xfId="9" applyNumberFormat="1" applyFont="1" applyFill="1" applyBorder="1" applyAlignment="1">
      <alignment horizontal="right"/>
    </xf>
    <xf numFmtId="172" fontId="1" fillId="0" borderId="0" xfId="9" applyNumberFormat="1" applyFont="1" applyBorder="1"/>
    <xf numFmtId="169" fontId="1" fillId="0" borderId="0" xfId="0" applyNumberFormat="1" applyFont="1" applyFill="1" applyBorder="1" applyAlignment="1">
      <alignment horizontal="right"/>
    </xf>
    <xf numFmtId="169" fontId="9" fillId="0" borderId="0" xfId="0" applyNumberFormat="1" applyFont="1" applyFill="1" applyBorder="1" applyAlignment="1">
      <alignment horizontal="right"/>
    </xf>
    <xf numFmtId="165" fontId="15" fillId="0" borderId="0" xfId="0" applyNumberFormat="1" applyFont="1" applyBorder="1" applyAlignment="1">
      <alignment horizontal="center" vertical="top" wrapText="1"/>
    </xf>
    <xf numFmtId="169" fontId="17" fillId="0" borderId="0" xfId="9" applyNumberFormat="1" applyFont="1" applyBorder="1" applyAlignment="1"/>
    <xf numFmtId="169" fontId="12" fillId="0" borderId="42" xfId="9" applyNumberFormat="1" applyFont="1" applyBorder="1" applyAlignment="1">
      <alignment horizontal="right"/>
    </xf>
    <xf numFmtId="169" fontId="12" fillId="0" borderId="42" xfId="0" applyNumberFormat="1" applyFont="1" applyFill="1" applyBorder="1" applyAlignment="1">
      <alignment horizontal="right"/>
    </xf>
    <xf numFmtId="165" fontId="1" fillId="0" borderId="0" xfId="0" applyNumberFormat="1" applyFont="1" applyBorder="1" applyAlignment="1">
      <alignment horizontal="right"/>
    </xf>
    <xf numFmtId="0" fontId="1" fillId="0" borderId="0" xfId="0" applyFont="1" applyBorder="1" applyAlignment="1">
      <alignment horizontal="right"/>
    </xf>
    <xf numFmtId="164" fontId="11" fillId="0" borderId="1" xfId="0" applyNumberFormat="1" applyFont="1" applyBorder="1" applyAlignment="1">
      <alignment horizontal="center" wrapText="1"/>
    </xf>
    <xf numFmtId="164" fontId="11" fillId="0" borderId="23" xfId="0" applyNumberFormat="1" applyFont="1" applyBorder="1" applyAlignment="1">
      <alignment horizontal="center" wrapText="1"/>
    </xf>
    <xf numFmtId="164" fontId="11" fillId="0" borderId="0" xfId="0" applyNumberFormat="1" applyFont="1" applyBorder="1" applyAlignment="1">
      <alignment wrapText="1"/>
    </xf>
    <xf numFmtId="7" fontId="12" fillId="0" borderId="1" xfId="0" applyNumberFormat="1" applyFont="1" applyBorder="1"/>
    <xf numFmtId="7" fontId="11" fillId="0" borderId="0" xfId="0" applyNumberFormat="1" applyFont="1" applyBorder="1"/>
    <xf numFmtId="169" fontId="5" fillId="0" borderId="0" xfId="0" applyNumberFormat="1" applyFont="1" applyBorder="1" applyAlignment="1">
      <alignment horizontal="right"/>
    </xf>
    <xf numFmtId="169" fontId="5" fillId="0" borderId="0" xfId="0" applyNumberFormat="1" applyFont="1" applyBorder="1"/>
    <xf numFmtId="169" fontId="1" fillId="0" borderId="0" xfId="0" applyNumberFormat="1" applyFont="1" applyBorder="1"/>
    <xf numFmtId="0" fontId="11" fillId="0" borderId="56" xfId="0" applyFont="1" applyFill="1" applyBorder="1" applyAlignment="1">
      <alignment horizontal="center" vertical="center" wrapText="1"/>
    </xf>
    <xf numFmtId="165" fontId="12" fillId="0" borderId="21" xfId="0" applyNumberFormat="1" applyFont="1" applyFill="1" applyBorder="1" applyAlignment="1">
      <alignment horizontal="right"/>
    </xf>
    <xf numFmtId="0" fontId="11" fillId="12" borderId="1" xfId="0" applyFont="1" applyFill="1" applyBorder="1" applyAlignment="1">
      <alignment horizontal="center" vertical="center" wrapText="1"/>
    </xf>
    <xf numFmtId="169" fontId="12" fillId="2" borderId="1" xfId="9" applyNumberFormat="1" applyFont="1" applyFill="1" applyBorder="1"/>
    <xf numFmtId="172" fontId="12" fillId="0" borderId="0" xfId="9" applyNumberFormat="1" applyFont="1" applyFill="1" applyBorder="1"/>
    <xf numFmtId="172" fontId="11" fillId="10" borderId="23" xfId="9" applyNumberFormat="1" applyFont="1" applyFill="1" applyBorder="1" applyAlignment="1">
      <alignment horizontal="center" wrapText="1"/>
    </xf>
    <xf numFmtId="172" fontId="11" fillId="2" borderId="1" xfId="9" applyNumberFormat="1" applyFont="1" applyFill="1" applyBorder="1" applyAlignment="1">
      <alignment horizontal="center" wrapText="1"/>
    </xf>
    <xf numFmtId="0" fontId="12" fillId="12" borderId="23" xfId="0" applyFont="1" applyFill="1" applyBorder="1" applyAlignment="1">
      <alignment horizontal="center"/>
    </xf>
    <xf numFmtId="169" fontId="12" fillId="0" borderId="0" xfId="9" applyNumberFormat="1" applyFont="1" applyFill="1" applyBorder="1"/>
    <xf numFmtId="0" fontId="11" fillId="2" borderId="23" xfId="0" applyFont="1" applyFill="1" applyBorder="1" applyAlignment="1">
      <alignment horizontal="center" vertical="center" wrapText="1"/>
    </xf>
    <xf numFmtId="172" fontId="12" fillId="2" borderId="23" xfId="1" applyNumberFormat="1" applyFont="1" applyFill="1" applyBorder="1" applyAlignment="1">
      <alignment vertical="center"/>
    </xf>
    <xf numFmtId="165" fontId="12" fillId="2" borderId="23" xfId="0" applyNumberFormat="1" applyFont="1" applyFill="1" applyBorder="1" applyAlignment="1">
      <alignment vertical="center"/>
    </xf>
    <xf numFmtId="165" fontId="15" fillId="0" borderId="0" xfId="0" applyNumberFormat="1" applyFont="1" applyBorder="1" applyAlignment="1">
      <alignment horizontal="center" wrapText="1"/>
    </xf>
    <xf numFmtId="0" fontId="44" fillId="0" borderId="0" xfId="0" applyFont="1"/>
    <xf numFmtId="43" fontId="11" fillId="0" borderId="0" xfId="0" applyNumberFormat="1" applyFont="1" applyBorder="1" applyAlignment="1">
      <alignment horizontal="center" vertical="center"/>
    </xf>
    <xf numFmtId="44" fontId="0" fillId="0" borderId="0" xfId="0" applyNumberFormat="1"/>
    <xf numFmtId="0" fontId="22" fillId="0" borderId="0" xfId="0" applyFont="1" applyFill="1" applyBorder="1" applyAlignment="1">
      <alignment horizontal="left" vertical="center"/>
    </xf>
    <xf numFmtId="168" fontId="21" fillId="0" borderId="1" xfId="0" applyNumberFormat="1" applyFont="1" applyFill="1" applyBorder="1" applyAlignment="1">
      <alignment horizontal="center" vertical="top" wrapText="1"/>
    </xf>
    <xf numFmtId="43" fontId="22" fillId="0" borderId="0" xfId="0" applyNumberFormat="1" applyFont="1" applyFill="1" applyBorder="1" applyAlignment="1">
      <alignment horizontal="left" vertical="center" wrapText="1"/>
    </xf>
    <xf numFmtId="183" fontId="1" fillId="0" borderId="0" xfId="0" applyNumberFormat="1" applyFont="1"/>
    <xf numFmtId="0" fontId="12" fillId="0" borderId="54" xfId="0" applyFont="1" applyFill="1" applyBorder="1" applyAlignment="1">
      <alignment horizontal="left" vertical="center" wrapText="1"/>
    </xf>
    <xf numFmtId="165" fontId="12" fillId="0" borderId="57" xfId="0" applyNumberFormat="1" applyFont="1" applyBorder="1" applyAlignment="1">
      <alignment horizontal="right" vertical="center"/>
    </xf>
    <xf numFmtId="0" fontId="12" fillId="0" borderId="25" xfId="0" applyFont="1" applyFill="1" applyBorder="1" applyAlignment="1">
      <alignment horizontal="left" vertical="center" wrapText="1"/>
    </xf>
    <xf numFmtId="165" fontId="12" fillId="0" borderId="58" xfId="0" applyNumberFormat="1" applyFont="1" applyBorder="1" applyAlignment="1">
      <alignment horizontal="right" vertical="center"/>
    </xf>
    <xf numFmtId="165" fontId="12" fillId="0" borderId="8" xfId="0" applyNumberFormat="1" applyFont="1" applyBorder="1" applyAlignment="1">
      <alignment horizontal="right" vertical="center"/>
    </xf>
    <xf numFmtId="0" fontId="31" fillId="0" borderId="56" xfId="13" applyFont="1" applyFill="1" applyBorder="1" applyAlignment="1">
      <alignment vertical="top"/>
    </xf>
    <xf numFmtId="165" fontId="0" fillId="0" borderId="56" xfId="3" applyNumberFormat="1" applyFont="1" applyBorder="1" applyAlignment="1">
      <alignment horizontal="center"/>
    </xf>
    <xf numFmtId="0" fontId="30" fillId="0" borderId="59" xfId="13" applyFont="1" applyBorder="1" applyAlignment="1">
      <alignment vertical="top" wrapText="1"/>
    </xf>
    <xf numFmtId="165" fontId="0" fillId="0" borderId="59" xfId="3" applyNumberFormat="1" applyFont="1" applyBorder="1" applyAlignment="1">
      <alignment horizontal="center"/>
    </xf>
    <xf numFmtId="0" fontId="31" fillId="0" borderId="59" xfId="13" applyFont="1" applyBorder="1" applyAlignment="1">
      <alignment vertical="top"/>
    </xf>
    <xf numFmtId="0" fontId="31" fillId="0" borderId="56" xfId="13" applyFont="1" applyBorder="1" applyAlignment="1">
      <alignment vertical="top"/>
    </xf>
    <xf numFmtId="0" fontId="31" fillId="0" borderId="59" xfId="13" applyFont="1" applyFill="1" applyBorder="1" applyAlignment="1">
      <alignment vertical="top"/>
    </xf>
    <xf numFmtId="0" fontId="1" fillId="0" borderId="0" xfId="13" applyFill="1"/>
    <xf numFmtId="0" fontId="1" fillId="0" borderId="0" xfId="13" applyFill="1" applyAlignment="1"/>
    <xf numFmtId="0" fontId="45" fillId="0" borderId="0" xfId="0" applyFont="1" applyFill="1" applyBorder="1"/>
    <xf numFmtId="184" fontId="0" fillId="0" borderId="0" xfId="0" applyNumberFormat="1"/>
    <xf numFmtId="0" fontId="11" fillId="0" borderId="0" xfId="0" applyFont="1" applyFill="1" applyBorder="1" applyAlignment="1">
      <alignment horizontal="center" vertical="center"/>
    </xf>
    <xf numFmtId="0" fontId="11" fillId="0" borderId="0" xfId="0" applyFont="1" applyFill="1" applyBorder="1" applyAlignment="1">
      <alignment vertical="center"/>
    </xf>
    <xf numFmtId="180" fontId="0" fillId="0" borderId="0" xfId="0" applyNumberFormat="1" applyFill="1" applyBorder="1" applyAlignment="1"/>
    <xf numFmtId="175" fontId="0" fillId="0" borderId="0" xfId="0" applyNumberFormat="1" applyFill="1" applyBorder="1" applyAlignment="1"/>
    <xf numFmtId="171" fontId="0" fillId="0" borderId="0" xfId="0" applyNumberFormat="1" applyFill="1" applyBorder="1" applyAlignment="1"/>
    <xf numFmtId="168" fontId="0" fillId="0" borderId="0" xfId="0" applyNumberFormat="1" applyFill="1" applyBorder="1" applyAlignment="1"/>
    <xf numFmtId="0" fontId="21" fillId="0" borderId="1" xfId="0" applyFont="1" applyBorder="1" applyAlignment="1">
      <alignment horizontal="left" vertical="center" wrapText="1"/>
    </xf>
    <xf numFmtId="0" fontId="11" fillId="12" borderId="1" xfId="0" applyNumberFormat="1" applyFont="1" applyFill="1" applyBorder="1" applyAlignment="1">
      <alignment horizontal="center" vertical="center" wrapText="1"/>
    </xf>
    <xf numFmtId="0" fontId="11" fillId="10" borderId="23" xfId="0" applyFont="1" applyFill="1" applyBorder="1" applyAlignment="1">
      <alignment horizontal="center" vertical="center"/>
    </xf>
    <xf numFmtId="0" fontId="11" fillId="10" borderId="27" xfId="0" applyFont="1" applyFill="1" applyBorder="1" applyAlignment="1">
      <alignment horizontal="center" vertical="center"/>
    </xf>
    <xf numFmtId="0" fontId="11" fillId="10" borderId="26"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6" xfId="0" applyFont="1" applyFill="1" applyBorder="1" applyAlignment="1">
      <alignment horizontal="center" vertical="center"/>
    </xf>
    <xf numFmtId="0" fontId="11" fillId="12" borderId="1" xfId="0" applyFont="1" applyFill="1" applyBorder="1" applyAlignment="1">
      <alignment horizontal="center" vertical="center" wrapText="1"/>
    </xf>
    <xf numFmtId="172" fontId="11" fillId="10" borderId="19" xfId="9" applyNumberFormat="1" applyFont="1" applyFill="1" applyBorder="1" applyAlignment="1">
      <alignment horizontal="center" vertical="center" wrapText="1"/>
    </xf>
    <xf numFmtId="172" fontId="11" fillId="10" borderId="21" xfId="9" applyNumberFormat="1" applyFont="1" applyFill="1" applyBorder="1" applyAlignment="1">
      <alignment horizontal="center" vertical="center" wrapText="1"/>
    </xf>
    <xf numFmtId="0" fontId="1" fillId="0" borderId="0" xfId="13" applyFont="1" applyAlignment="1">
      <alignment horizontal="left"/>
    </xf>
    <xf numFmtId="0" fontId="1" fillId="0" borderId="0" xfId="13" applyAlignment="1">
      <alignment horizontal="left" wrapText="1"/>
    </xf>
    <xf numFmtId="0" fontId="16" fillId="9" borderId="1" xfId="0" applyFont="1" applyFill="1" applyBorder="1" applyAlignment="1">
      <alignment horizontal="center"/>
    </xf>
    <xf numFmtId="0" fontId="16" fillId="6" borderId="19" xfId="0" applyFont="1" applyFill="1" applyBorder="1" applyAlignment="1">
      <alignment horizontal="center" vertical="center"/>
    </xf>
    <xf numFmtId="0" fontId="16" fillId="5" borderId="1" xfId="0" applyFont="1" applyFill="1" applyBorder="1" applyAlignment="1">
      <alignment horizontal="center"/>
    </xf>
    <xf numFmtId="0" fontId="16" fillId="5" borderId="23" xfId="0" applyFont="1" applyFill="1" applyBorder="1" applyAlignment="1">
      <alignment horizontal="center"/>
    </xf>
    <xf numFmtId="0" fontId="0" fillId="0" borderId="0" xfId="0" applyFill="1" applyBorder="1" applyAlignment="1">
      <alignment horizontal="center"/>
    </xf>
    <xf numFmtId="0" fontId="16" fillId="8" borderId="23" xfId="0" applyFont="1" applyFill="1" applyBorder="1" applyAlignment="1">
      <alignment horizontal="center"/>
    </xf>
    <xf numFmtId="0" fontId="16" fillId="8" borderId="27" xfId="0" applyFont="1" applyFill="1" applyBorder="1" applyAlignment="1">
      <alignment horizontal="center"/>
    </xf>
    <xf numFmtId="0" fontId="0" fillId="0" borderId="0" xfId="0" applyBorder="1" applyAlignment="1">
      <alignment horizontal="center"/>
    </xf>
    <xf numFmtId="0" fontId="16" fillId="4" borderId="41" xfId="0" applyFont="1" applyFill="1" applyBorder="1" applyAlignment="1">
      <alignment horizontal="center"/>
    </xf>
    <xf numFmtId="0" fontId="16" fillId="4" borderId="44" xfId="0" applyFont="1" applyFill="1" applyBorder="1" applyAlignment="1">
      <alignment horizontal="center"/>
    </xf>
    <xf numFmtId="0" fontId="22" fillId="0" borderId="0" xfId="0" applyFont="1" applyFill="1" applyBorder="1" applyAlignment="1">
      <alignment horizontal="center" vertical="center" wrapText="1"/>
    </xf>
    <xf numFmtId="0" fontId="11" fillId="0" borderId="5" xfId="0" applyFont="1" applyBorder="1" applyAlignment="1">
      <alignment horizontal="center"/>
    </xf>
    <xf numFmtId="0" fontId="11" fillId="0" borderId="7" xfId="0" applyFont="1" applyBorder="1" applyAlignment="1">
      <alignment horizontal="center"/>
    </xf>
    <xf numFmtId="0" fontId="16" fillId="5" borderId="33"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36"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5" borderId="38" xfId="0" applyFont="1" applyFill="1" applyBorder="1" applyAlignment="1">
      <alignment horizontal="center" vertical="center" wrapText="1"/>
    </xf>
    <xf numFmtId="0" fontId="16" fillId="5" borderId="39" xfId="0" applyFont="1" applyFill="1" applyBorder="1" applyAlignment="1">
      <alignment horizontal="center" vertical="center" wrapText="1"/>
    </xf>
    <xf numFmtId="0" fontId="11" fillId="0" borderId="16" xfId="0" applyFont="1" applyFill="1" applyBorder="1" applyAlignment="1">
      <alignment horizontal="right"/>
    </xf>
    <xf numFmtId="0" fontId="11" fillId="0" borderId="40" xfId="0" applyFont="1" applyFill="1" applyBorder="1" applyAlignment="1">
      <alignment horizontal="right"/>
    </xf>
    <xf numFmtId="0" fontId="11" fillId="0" borderId="28" xfId="0" applyFont="1" applyFill="1" applyBorder="1" applyAlignment="1">
      <alignment horizontal="right"/>
    </xf>
    <xf numFmtId="0" fontId="16" fillId="5" borderId="1" xfId="0" applyFont="1" applyFill="1" applyBorder="1" applyAlignment="1">
      <alignment vertical="center" wrapText="1"/>
    </xf>
    <xf numFmtId="165" fontId="11" fillId="0" borderId="33" xfId="0" applyNumberFormat="1" applyFont="1" applyBorder="1" applyAlignment="1">
      <alignment horizontal="center" vertical="center"/>
    </xf>
    <xf numFmtId="165" fontId="11" fillId="0" borderId="34" xfId="0" applyNumberFormat="1" applyFont="1" applyBorder="1" applyAlignment="1">
      <alignment horizontal="center" vertical="center"/>
    </xf>
    <xf numFmtId="165" fontId="11" fillId="0" borderId="35" xfId="0" applyNumberFormat="1" applyFont="1" applyBorder="1" applyAlignment="1">
      <alignment horizontal="center" vertical="center"/>
    </xf>
    <xf numFmtId="0" fontId="16" fillId="6" borderId="20" xfId="0" applyFont="1" applyFill="1" applyBorder="1" applyAlignment="1">
      <alignment horizontal="center" vertical="center" wrapText="1"/>
    </xf>
    <xf numFmtId="0" fontId="23" fillId="6" borderId="43" xfId="0" applyFont="1" applyFill="1" applyBorder="1"/>
    <xf numFmtId="0" fontId="16" fillId="9" borderId="23" xfId="0" applyFont="1" applyFill="1" applyBorder="1" applyAlignment="1">
      <alignment horizontal="center"/>
    </xf>
    <xf numFmtId="0" fontId="16" fillId="9" borderId="27" xfId="0" applyFont="1" applyFill="1" applyBorder="1" applyAlignment="1">
      <alignment horizontal="center"/>
    </xf>
    <xf numFmtId="0" fontId="16" fillId="9" borderId="26" xfId="0" applyFont="1" applyFill="1" applyBorder="1" applyAlignment="1">
      <alignment horizontal="center"/>
    </xf>
    <xf numFmtId="0" fontId="16" fillId="6" borderId="23" xfId="0" applyFont="1" applyFill="1" applyBorder="1" applyAlignment="1">
      <alignment horizontal="center" vertical="center"/>
    </xf>
    <xf numFmtId="0" fontId="16" fillId="6" borderId="26" xfId="0" applyFont="1" applyFill="1" applyBorder="1" applyAlignment="1">
      <alignment horizontal="center" vertical="center"/>
    </xf>
    <xf numFmtId="0" fontId="16" fillId="19" borderId="23" xfId="0" applyFont="1" applyFill="1" applyBorder="1" applyAlignment="1">
      <alignment horizontal="left"/>
    </xf>
    <xf numFmtId="0" fontId="16" fillId="19" borderId="27" xfId="0" applyFont="1" applyFill="1" applyBorder="1" applyAlignment="1">
      <alignment horizontal="left"/>
    </xf>
    <xf numFmtId="0" fontId="16" fillId="19" borderId="26" xfId="0" applyFont="1" applyFill="1" applyBorder="1" applyAlignment="1">
      <alignment horizontal="left"/>
    </xf>
    <xf numFmtId="0" fontId="16" fillId="7" borderId="23" xfId="0" applyFont="1" applyFill="1" applyBorder="1" applyAlignment="1">
      <alignment horizontal="left"/>
    </xf>
    <xf numFmtId="0" fontId="16" fillId="7" borderId="27" xfId="0" applyFont="1" applyFill="1" applyBorder="1" applyAlignment="1">
      <alignment horizontal="left"/>
    </xf>
    <xf numFmtId="0" fontId="16" fillId="7" borderId="26" xfId="0" applyFont="1" applyFill="1" applyBorder="1" applyAlignment="1">
      <alignment horizontal="left"/>
    </xf>
    <xf numFmtId="0" fontId="16" fillId="4" borderId="23" xfId="0" applyFont="1" applyFill="1" applyBorder="1"/>
    <xf numFmtId="0" fontId="16" fillId="4" borderId="26" xfId="0" applyFont="1" applyFill="1" applyBorder="1"/>
    <xf numFmtId="0" fontId="16" fillId="4" borderId="41" xfId="0" applyFont="1" applyFill="1" applyBorder="1"/>
    <xf numFmtId="0" fontId="16" fillId="4" borderId="44" xfId="0" applyFont="1" applyFill="1" applyBorder="1"/>
    <xf numFmtId="43" fontId="17" fillId="0" borderId="42" xfId="1" applyFont="1" applyFill="1" applyBorder="1" applyAlignment="1">
      <alignment horizontal="center" wrapText="1"/>
    </xf>
    <xf numFmtId="0" fontId="11" fillId="0" borderId="1" xfId="0" applyFont="1" applyBorder="1" applyAlignment="1">
      <alignment horizontal="center"/>
    </xf>
    <xf numFmtId="0" fontId="11" fillId="0" borderId="1" xfId="0" applyFont="1" applyFill="1" applyBorder="1" applyAlignment="1">
      <alignment horizontal="right"/>
    </xf>
    <xf numFmtId="0" fontId="39" fillId="0" borderId="1" xfId="0" applyFont="1" applyBorder="1" applyAlignment="1">
      <alignment horizontal="center" vertical="center"/>
    </xf>
    <xf numFmtId="0" fontId="39" fillId="0" borderId="23" xfId="0" applyFont="1" applyBorder="1" applyAlignment="1">
      <alignment horizontal="center" vertical="center"/>
    </xf>
    <xf numFmtId="0" fontId="16" fillId="5" borderId="19" xfId="0" applyFont="1" applyFill="1" applyBorder="1" applyAlignment="1">
      <alignment vertical="center" wrapText="1"/>
    </xf>
  </cellXfs>
  <cellStyles count="14">
    <cellStyle name="Comma" xfId="1" builtinId="3"/>
    <cellStyle name="Comma 2" xfId="2"/>
    <cellStyle name="Comma 2 2" xfId="9"/>
    <cellStyle name="Currency" xfId="3" builtinId="4"/>
    <cellStyle name="Currency 2" xfId="4"/>
    <cellStyle name="Currency 2 2" xfId="10"/>
    <cellStyle name="Normal" xfId="0" builtinId="0"/>
    <cellStyle name="Normal 2" xfId="5"/>
    <cellStyle name="Normal 2 2" xfId="13"/>
    <cellStyle name="Percent" xfId="6" builtinId="5"/>
    <cellStyle name="Percent 2" xfId="7"/>
    <cellStyle name="Percent 2 2" xfId="8"/>
    <cellStyle name="Percent 2 2 2" xfId="12"/>
    <cellStyle name="Percent 2 3" xfId="11"/>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28"/>
  <sheetViews>
    <sheetView tabSelected="1" workbookViewId="0"/>
  </sheetViews>
  <sheetFormatPr defaultRowHeight="12.75" x14ac:dyDescent="0.2"/>
  <cols>
    <col min="2" max="2" width="19.7109375" customWidth="1"/>
    <col min="3" max="3" width="18" customWidth="1"/>
    <col min="4" max="4" width="14.85546875" customWidth="1"/>
    <col min="5" max="5" width="18.42578125" customWidth="1"/>
    <col min="6" max="6" width="18.28515625" customWidth="1"/>
    <col min="9" max="9" width="7.5703125" bestFit="1" customWidth="1"/>
  </cols>
  <sheetData>
    <row r="1" spans="1:10" ht="18.75" x14ac:dyDescent="0.2">
      <c r="A1" s="386" t="s">
        <v>437</v>
      </c>
      <c r="B1" s="386"/>
      <c r="C1" s="386"/>
      <c r="D1" s="386"/>
      <c r="E1" s="386"/>
      <c r="F1" s="386"/>
      <c r="J1" s="337"/>
    </row>
    <row r="2" spans="1:10" x14ac:dyDescent="0.2">
      <c r="A2" s="360"/>
      <c r="B2" s="360"/>
      <c r="C2" s="360"/>
      <c r="D2" s="360"/>
      <c r="E2" s="360"/>
      <c r="F2" s="360"/>
    </row>
    <row r="3" spans="1:10" x14ac:dyDescent="0.2">
      <c r="A3" s="360"/>
      <c r="B3" s="360"/>
      <c r="C3" s="360"/>
      <c r="D3" s="360"/>
      <c r="E3" s="360"/>
      <c r="F3" s="360"/>
    </row>
    <row r="4" spans="1:10" ht="15.75" x14ac:dyDescent="0.2">
      <c r="A4" s="539" t="s">
        <v>363</v>
      </c>
      <c r="B4" s="539"/>
      <c r="C4" s="514">
        <f>FPR</f>
        <v>0.93799999999999994</v>
      </c>
      <c r="D4" s="360"/>
      <c r="E4" s="360"/>
      <c r="F4" s="360"/>
    </row>
    <row r="5" spans="1:10" ht="15.75" x14ac:dyDescent="0.2">
      <c r="A5" s="387"/>
      <c r="B5" s="387"/>
      <c r="C5" s="388"/>
      <c r="D5" s="360"/>
      <c r="E5" s="360"/>
      <c r="F5" s="360"/>
    </row>
    <row r="6" spans="1:10" ht="63" x14ac:dyDescent="0.2">
      <c r="A6" s="389" t="s">
        <v>6</v>
      </c>
      <c r="B6" s="390" t="s">
        <v>364</v>
      </c>
      <c r="C6" s="391" t="s">
        <v>365</v>
      </c>
      <c r="D6" s="392" t="s">
        <v>366</v>
      </c>
      <c r="E6" s="393" t="s">
        <v>367</v>
      </c>
      <c r="F6" s="394" t="s">
        <v>368</v>
      </c>
    </row>
    <row r="7" spans="1:10" ht="15.75" x14ac:dyDescent="0.2">
      <c r="A7" s="395" t="s">
        <v>15</v>
      </c>
      <c r="B7" s="396">
        <f>VLOOKUP(A7,'3rd IA Load Pricing Results'!$A$43:$J$63,10,0)</f>
        <v>1.0119572619921495</v>
      </c>
      <c r="C7" s="397">
        <f>VLOOKUP($A7,'UCAP Oblig.-ZCP'!$A$6:$I$26,6,0)</f>
        <v>2249.6417108442679</v>
      </c>
      <c r="D7" s="398">
        <f>VLOOKUP($A7,'UCAP Oblig.-ZCP'!$A$6:$I$26,7,0)</f>
        <v>270.43293267338072</v>
      </c>
      <c r="E7" s="399">
        <f>VLOOKUP($A7,'UCAP Oblig.-ZCP'!$A$6:$I$26,8,0)</f>
        <v>0</v>
      </c>
      <c r="F7" s="400">
        <f>VLOOKUP($A7,'UCAP Oblig.-ZCP'!$A$6:$I$26,9,0)</f>
        <v>270.43293267338072</v>
      </c>
    </row>
    <row r="8" spans="1:10" ht="15.75" x14ac:dyDescent="0.2">
      <c r="A8" s="395" t="s">
        <v>28</v>
      </c>
      <c r="B8" s="396">
        <f>VLOOKUP(A8,'3rd IA Load Pricing Results'!$A$43:$J$63,10,0)</f>
        <v>0.98055474532833875</v>
      </c>
      <c r="C8" s="397">
        <f>VLOOKUP($A8,'UCAP Oblig.-ZCP'!$A$6:$I$26,6,0)</f>
        <v>11567.28844662662</v>
      </c>
      <c r="D8" s="398">
        <f>VLOOKUP($A8,'UCAP Oblig.-ZCP'!$A$6:$I$26,7,0)</f>
        <v>270.43293267338072</v>
      </c>
      <c r="E8" s="399">
        <f>VLOOKUP($A8,'UCAP Oblig.-ZCP'!$A$6:$I$26,8,0)</f>
        <v>0</v>
      </c>
      <c r="F8" s="400">
        <f>VLOOKUP($A8,'UCAP Oblig.-ZCP'!$A$6:$I$26,9,0)</f>
        <v>270.43293267338072</v>
      </c>
    </row>
    <row r="9" spans="1:10" ht="15.75" x14ac:dyDescent="0.2">
      <c r="A9" s="395" t="s">
        <v>18</v>
      </c>
      <c r="B9" s="396">
        <f>VLOOKUP(A9,'3rd IA Load Pricing Results'!$A$43:$J$63,10,0)</f>
        <v>0.98994161202512465</v>
      </c>
      <c r="C9" s="397">
        <f>VLOOKUP($A9,'UCAP Oblig.-ZCP'!$A$6:$I$26,6,0)</f>
        <v>8169.7013906929096</v>
      </c>
      <c r="D9" s="398">
        <f>VLOOKUP($A9,'UCAP Oblig.-ZCP'!$A$6:$I$26,7,0)</f>
        <v>270.43293267338072</v>
      </c>
      <c r="E9" s="399">
        <f>VLOOKUP($A9,'UCAP Oblig.-ZCP'!$A$6:$I$26,8,0)</f>
        <v>0</v>
      </c>
      <c r="F9" s="400">
        <f>VLOOKUP($A9,'UCAP Oblig.-ZCP'!$A$6:$I$26,9,0)</f>
        <v>270.43293267338072</v>
      </c>
    </row>
    <row r="10" spans="1:10" ht="15.75" x14ac:dyDescent="0.2">
      <c r="A10" s="395" t="s">
        <v>42</v>
      </c>
      <c r="B10" s="396">
        <f>VLOOKUP(A10,'3rd IA Load Pricing Results'!$A$43:$J$63,10,0)</f>
        <v>1.0253959556231249</v>
      </c>
      <c r="C10" s="397">
        <f>VLOOKUP($A10,'UCAP Oblig.-ZCP'!$A$6:$I$26,6,0)</f>
        <v>11792.538105237802</v>
      </c>
      <c r="D10" s="398">
        <f>VLOOKUP($A10,'UCAP Oblig.-ZCP'!$A$6:$I$26,7,0)</f>
        <v>270.43293267338072</v>
      </c>
      <c r="E10" s="399">
        <f>VLOOKUP($A10,'UCAP Oblig.-ZCP'!$A$6:$I$26,8,0)</f>
        <v>0</v>
      </c>
      <c r="F10" s="400">
        <f>VLOOKUP($A10,'UCAP Oblig.-ZCP'!$A$6:$I$26,9,0)</f>
        <v>270.43293267338072</v>
      </c>
      <c r="H10" s="360"/>
    </row>
    <row r="11" spans="1:10" ht="15.75" x14ac:dyDescent="0.2">
      <c r="A11" s="395" t="s">
        <v>10</v>
      </c>
      <c r="B11" s="396">
        <f>VLOOKUP(A11,'3rd IA Load Pricing Results'!$A$43:$J$63,10,0)</f>
        <v>1.0127570946724551</v>
      </c>
      <c r="C11" s="397">
        <f>VLOOKUP($A11,'UCAP Oblig.-ZCP'!$A$6:$I$26,6,0)</f>
        <v>6005.7059378757085</v>
      </c>
      <c r="D11" s="398">
        <f>VLOOKUP($A11,'UCAP Oblig.-ZCP'!$A$6:$I$26,7,0)</f>
        <v>471.32878150920209</v>
      </c>
      <c r="E11" s="399">
        <f>VLOOKUP($A11,'UCAP Oblig.-ZCP'!$A$6:$I$26,8,0)</f>
        <v>164.48424752591345</v>
      </c>
      <c r="F11" s="400">
        <f>VLOOKUP($A11,'UCAP Oblig.-ZCP'!$A$6:$I$26,9,0)</f>
        <v>306.84453398328867</v>
      </c>
    </row>
    <row r="12" spans="1:10" ht="15.75" x14ac:dyDescent="0.2">
      <c r="A12" s="395" t="s">
        <v>19</v>
      </c>
      <c r="B12" s="396">
        <f>VLOOKUP(A12,'3rd IA Load Pricing Results'!$A$43:$J$63,10,0)</f>
        <v>1.0071192176930319</v>
      </c>
      <c r="C12" s="397">
        <f>VLOOKUP($A12,'UCAP Oblig.-ZCP'!$A$6:$I$26,6,0)</f>
        <v>18167.474577719084</v>
      </c>
      <c r="D12" s="398">
        <f>VLOOKUP($A12,'UCAP Oblig.-ZCP'!$A$6:$I$26,7,0)</f>
        <v>270.43293267338072</v>
      </c>
      <c r="E12" s="399">
        <f>VLOOKUP($A12,'UCAP Oblig.-ZCP'!$A$6:$I$26,8,0)</f>
        <v>0</v>
      </c>
      <c r="F12" s="400">
        <f>VLOOKUP($A12,'UCAP Oblig.-ZCP'!$A$6:$I$26,9,0)</f>
        <v>270.43293267338072</v>
      </c>
    </row>
    <row r="13" spans="1:10" ht="15.75" x14ac:dyDescent="0.2">
      <c r="A13" s="395" t="s">
        <v>20</v>
      </c>
      <c r="B13" s="396">
        <f>VLOOKUP(A13,'3rd IA Load Pricing Results'!$A$43:$J$63,10,0)</f>
        <v>1.0056207538274549</v>
      </c>
      <c r="C13" s="397">
        <f>VLOOKUP($A13,'UCAP Oblig.-ZCP'!$A$6:$I$26,6,0)</f>
        <v>3009.0385320175869</v>
      </c>
      <c r="D13" s="398">
        <f>VLOOKUP($A13,'UCAP Oblig.-ZCP'!$A$6:$I$26,7,0)</f>
        <v>270.43293267338072</v>
      </c>
      <c r="E13" s="399">
        <f>VLOOKUP($A13,'UCAP Oblig.-ZCP'!$A$6:$I$26,8,0)</f>
        <v>0</v>
      </c>
      <c r="F13" s="400">
        <f>VLOOKUP($A13,'UCAP Oblig.-ZCP'!$A$6:$I$26,9,0)</f>
        <v>270.43293267338072</v>
      </c>
    </row>
    <row r="14" spans="1:10" ht="15.75" x14ac:dyDescent="0.2">
      <c r="A14" s="395" t="s">
        <v>49</v>
      </c>
      <c r="B14" s="396">
        <f>VLOOKUP(A14,'3rd IA Load Pricing Results'!$A$43:$J$63,10,0)</f>
        <v>1.0221511778309742</v>
      </c>
      <c r="C14" s="397">
        <f>VLOOKUP($A14,'UCAP Oblig.-ZCP'!$A$6:$I$26,6,0)</f>
        <v>4069.1488813748269</v>
      </c>
      <c r="D14" s="398">
        <f>VLOOKUP($A14,'UCAP Oblig.-ZCP'!$A$6:$I$26,7,0)</f>
        <v>270.43293267338072</v>
      </c>
      <c r="E14" s="399">
        <f>VLOOKUP($A14,'UCAP Oblig.-ZCP'!$A$6:$I$26,8,0)</f>
        <v>0</v>
      </c>
      <c r="F14" s="400">
        <f>VLOOKUP($A14,'UCAP Oblig.-ZCP'!$A$6:$I$26,9,0)</f>
        <v>270.43293267338072</v>
      </c>
    </row>
    <row r="15" spans="1:10" ht="15.75" x14ac:dyDescent="0.2">
      <c r="A15" s="395" t="s">
        <v>41</v>
      </c>
      <c r="B15" s="396">
        <f>VLOOKUP(A15,'3rd IA Load Pricing Results'!$A$43:$J$63,10,0)</f>
        <v>1.0091456210069576</v>
      </c>
      <c r="C15" s="397">
        <f>VLOOKUP($A15,'UCAP Oblig.-ZCP'!$A$6:$I$26,6,0)</f>
        <v>2498.9674842119493</v>
      </c>
      <c r="D15" s="398">
        <f>VLOOKUP($A15,'UCAP Oblig.-ZCP'!$A$6:$I$26,7,0)</f>
        <v>270.43293267338072</v>
      </c>
      <c r="E15" s="399">
        <f>VLOOKUP($A15,'UCAP Oblig.-ZCP'!$A$6:$I$26,8,0)</f>
        <v>0</v>
      </c>
      <c r="F15" s="400">
        <f>VLOOKUP($A15,'UCAP Oblig.-ZCP'!$A$6:$I$26,9,0)</f>
        <v>270.43293267338072</v>
      </c>
    </row>
    <row r="16" spans="1:10" ht="15.75" x14ac:dyDescent="0.2">
      <c r="A16" s="395" t="s">
        <v>29</v>
      </c>
      <c r="B16" s="396">
        <f>VLOOKUP(A16,'3rd IA Load Pricing Results'!$A$43:$J$63,10,0)</f>
        <v>0.95239102633234718</v>
      </c>
      <c r="C16" s="397">
        <f>VLOOKUP($A16,'UCAP Oblig.-ZCP'!$A$6:$I$26,6,0)</f>
        <v>21570.485896661179</v>
      </c>
      <c r="D16" s="398">
        <f>VLOOKUP($A16,'UCAP Oblig.-ZCP'!$A$6:$I$26,7,0)</f>
        <v>446.81027231931563</v>
      </c>
      <c r="E16" s="399">
        <f>VLOOKUP($A16,'UCAP Oblig.-ZCP'!$A$6:$I$26,8,0)</f>
        <v>14.330604356538608</v>
      </c>
      <c r="F16" s="400">
        <f>VLOOKUP($A16,'UCAP Oblig.-ZCP'!$A$6:$I$26,9,0)</f>
        <v>432.479667962777</v>
      </c>
      <c r="I16" s="233"/>
    </row>
    <row r="17" spans="1:6" ht="15.75" x14ac:dyDescent="0.2">
      <c r="A17" s="395" t="s">
        <v>16</v>
      </c>
      <c r="B17" s="396">
        <f>VLOOKUP(A17,'3rd IA Load Pricing Results'!$A$43:$J$63,10,0)</f>
        <v>1.0172238880384015</v>
      </c>
      <c r="C17" s="397">
        <f>VLOOKUP($A17,'UCAP Oblig.-ZCP'!$A$6:$I$26,6,0)</f>
        <v>3587.6265862448768</v>
      </c>
      <c r="D17" s="398">
        <f>VLOOKUP($A17,'UCAP Oblig.-ZCP'!$A$6:$I$26,7,0)</f>
        <v>270.43293267338072</v>
      </c>
      <c r="E17" s="399">
        <f>VLOOKUP($A17,'UCAP Oblig.-ZCP'!$A$6:$I$26,8,0)</f>
        <v>0</v>
      </c>
      <c r="F17" s="400">
        <f>VLOOKUP($A17,'UCAP Oblig.-ZCP'!$A$6:$I$26,9,0)</f>
        <v>270.43293267338072</v>
      </c>
    </row>
    <row r="18" spans="1:6" ht="15.75" x14ac:dyDescent="0.2">
      <c r="A18" s="395" t="s">
        <v>99</v>
      </c>
      <c r="B18" s="396">
        <f>VLOOKUP(A18,'3rd IA Load Pricing Results'!$A$43:$J$63,10,0)</f>
        <v>1.0165378647121401</v>
      </c>
      <c r="C18" s="397">
        <f>VLOOKUP($A18,'UCAP Oblig.-ZCP'!$A$6:$I$26,6,0)</f>
        <v>2259.5386117718399</v>
      </c>
      <c r="D18" s="398">
        <f>VLOOKUP($A18,'UCAP Oblig.-ZCP'!$A$6:$I$26,7,0)</f>
        <v>270.43293267338072</v>
      </c>
      <c r="E18" s="399">
        <f>VLOOKUP($A18,'UCAP Oblig.-ZCP'!$A$6:$I$26,8,0)</f>
        <v>0</v>
      </c>
      <c r="F18" s="400">
        <f>VLOOKUP($A18,'UCAP Oblig.-ZCP'!$A$6:$I$26,9,0)</f>
        <v>270.43293267338072</v>
      </c>
    </row>
    <row r="19" spans="1:6" ht="15.75" x14ac:dyDescent="0.2">
      <c r="A19" s="395" t="s">
        <v>11</v>
      </c>
      <c r="B19" s="396">
        <f>VLOOKUP(A19,'3rd IA Load Pricing Results'!$A$43:$J$63,10,0)</f>
        <v>1.0035248005557584</v>
      </c>
      <c r="C19" s="397">
        <f>VLOOKUP($A19,'UCAP Oblig.-ZCP'!$A$6:$I$26,6,0)</f>
        <v>5468.9893875727612</v>
      </c>
      <c r="D19" s="398">
        <f>VLOOKUP($A19,'UCAP Oblig.-ZCP'!$A$6:$I$26,7,0)</f>
        <v>270.43293267338072</v>
      </c>
      <c r="E19" s="399">
        <f>VLOOKUP($A19,'UCAP Oblig.-ZCP'!$A$6:$I$26,8,0)</f>
        <v>0</v>
      </c>
      <c r="F19" s="400">
        <f>VLOOKUP($A19,'UCAP Oblig.-ZCP'!$A$6:$I$26,9,0)</f>
        <v>270.43293267338072</v>
      </c>
    </row>
    <row r="20" spans="1:6" ht="15.75" x14ac:dyDescent="0.2">
      <c r="A20" s="395" t="s">
        <v>12</v>
      </c>
      <c r="B20" s="396">
        <f>VLOOKUP(A20,'3rd IA Load Pricing Results'!$A$43:$J$63,10,0)</f>
        <v>1.025150781480926</v>
      </c>
      <c r="C20" s="397">
        <f>VLOOKUP($A20,'UCAP Oblig.-ZCP'!$A$6:$I$26,6,0)</f>
        <v>2846.3106417661611</v>
      </c>
      <c r="D20" s="398">
        <f>VLOOKUP($A20,'UCAP Oblig.-ZCP'!$A$6:$I$26,7,0)</f>
        <v>270.43293267338072</v>
      </c>
      <c r="E20" s="399">
        <f>VLOOKUP($A20,'UCAP Oblig.-ZCP'!$A$6:$I$26,8,0)</f>
        <v>0</v>
      </c>
      <c r="F20" s="400">
        <f>VLOOKUP($A20,'UCAP Oblig.-ZCP'!$A$6:$I$26,9,0)</f>
        <v>270.43293267338072</v>
      </c>
    </row>
    <row r="21" spans="1:6" ht="15.75" x14ac:dyDescent="0.2">
      <c r="A21" s="395" t="s">
        <v>173</v>
      </c>
      <c r="B21" s="396">
        <f>VLOOKUP(A21,'3rd IA Load Pricing Results'!$A$43:$J$63,10,0)</f>
        <v>1.0145256814388302</v>
      </c>
      <c r="C21" s="397">
        <f>VLOOKUP($A21,'UCAP Oblig.-ZCP'!$A$6:$I$26,6,0)</f>
        <v>57.097505351377357</v>
      </c>
      <c r="D21" s="398">
        <f>VLOOKUP($A21,'UCAP Oblig.-ZCP'!$A$6:$I$26,7,0)</f>
        <v>270.43293267338072</v>
      </c>
      <c r="E21" s="399">
        <f>VLOOKUP($A21,'UCAP Oblig.-ZCP'!$A$6:$I$26,8,0)</f>
        <v>0</v>
      </c>
      <c r="F21" s="400">
        <f>VLOOKUP($A21,'UCAP Oblig.-ZCP'!$A$6:$I$26,9,0)</f>
        <v>270.43293267338072</v>
      </c>
    </row>
    <row r="22" spans="1:6" ht="15.75" x14ac:dyDescent="0.2">
      <c r="A22" s="395" t="s">
        <v>8</v>
      </c>
      <c r="B22" s="396">
        <f>VLOOKUP(A22,'3rd IA Load Pricing Results'!$A$43:$J$63,10,0)</f>
        <v>1.0175242795120483</v>
      </c>
      <c r="C22" s="397">
        <f>VLOOKUP($A22,'UCAP Oblig.-ZCP'!$A$6:$I$26,6,0)</f>
        <v>7750.0347263602862</v>
      </c>
      <c r="D22" s="398">
        <f>VLOOKUP($A22,'UCAP Oblig.-ZCP'!$A$6:$I$26,7,0)</f>
        <v>270.43293267338072</v>
      </c>
      <c r="E22" s="399">
        <f>VLOOKUP($A22,'UCAP Oblig.-ZCP'!$A$6:$I$26,8,0)</f>
        <v>0</v>
      </c>
      <c r="F22" s="400">
        <f>VLOOKUP($A22,'UCAP Oblig.-ZCP'!$A$6:$I$26,9,0)</f>
        <v>270.43293267338072</v>
      </c>
    </row>
    <row r="23" spans="1:6" ht="15.75" x14ac:dyDescent="0.2">
      <c r="A23" s="395" t="s">
        <v>13</v>
      </c>
      <c r="B23" s="396">
        <f>VLOOKUP(A23,'3rd IA Load Pricing Results'!$A$43:$J$63,10,0)</f>
        <v>1.0292289521843205</v>
      </c>
      <c r="C23" s="397">
        <f>VLOOKUP($A23,'UCAP Oblig.-ZCP'!$A$6:$I$26,6,0)</f>
        <v>2664.5502497309435</v>
      </c>
      <c r="D23" s="398">
        <f>VLOOKUP($A23,'UCAP Oblig.-ZCP'!$A$6:$I$26,7,0)</f>
        <v>270.43293267338072</v>
      </c>
      <c r="E23" s="399">
        <f>VLOOKUP($A23,'UCAP Oblig.-ZCP'!$A$6:$I$26,8,0)</f>
        <v>0</v>
      </c>
      <c r="F23" s="400">
        <f>VLOOKUP($A23,'UCAP Oblig.-ZCP'!$A$6:$I$26,9,0)</f>
        <v>270.43293267338072</v>
      </c>
    </row>
    <row r="24" spans="1:6" ht="15.75" x14ac:dyDescent="0.2">
      <c r="A24" s="395" t="s">
        <v>14</v>
      </c>
      <c r="B24" s="396">
        <f>VLOOKUP(A24,'3rd IA Load Pricing Results'!$A$43:$J$63,10,0)</f>
        <v>1.0194149618313064</v>
      </c>
      <c r="C24" s="397">
        <f>VLOOKUP($A24,'UCAP Oblig.-ZCP'!$A$6:$I$26,6,0)</f>
        <v>5555.5872706890168</v>
      </c>
      <c r="D24" s="398">
        <f>VLOOKUP($A24,'UCAP Oblig.-ZCP'!$A$6:$I$26,7,0)</f>
        <v>270.43293267338072</v>
      </c>
      <c r="E24" s="399">
        <f>VLOOKUP($A24,'UCAP Oblig.-ZCP'!$A$6:$I$26,8,0)</f>
        <v>0</v>
      </c>
      <c r="F24" s="400">
        <f>VLOOKUP($A24,'UCAP Oblig.-ZCP'!$A$6:$I$26,9,0)</f>
        <v>270.43293267338072</v>
      </c>
    </row>
    <row r="25" spans="1:6" ht="15.75" x14ac:dyDescent="0.2">
      <c r="A25" s="395" t="s">
        <v>9</v>
      </c>
      <c r="B25" s="396">
        <f>VLOOKUP(A25,'3rd IA Load Pricing Results'!$A$43:$J$63,10,0)</f>
        <v>1.0235278107248367</v>
      </c>
      <c r="C25" s="397">
        <f>VLOOKUP($A25,'UCAP Oblig.-ZCP'!$A$6:$I$26,6,0)</f>
        <v>6904.9916471599026</v>
      </c>
      <c r="D25" s="398">
        <f>VLOOKUP($A25,'UCAP Oblig.-ZCP'!$A$6:$I$26,7,0)</f>
        <v>270.43293267338072</v>
      </c>
      <c r="E25" s="399">
        <f>VLOOKUP($A25,'UCAP Oblig.-ZCP'!$A$6:$I$26,8,0)</f>
        <v>0</v>
      </c>
      <c r="F25" s="400">
        <f>VLOOKUP($A25,'UCAP Oblig.-ZCP'!$A$6:$I$26,9,0)</f>
        <v>270.43293267338072</v>
      </c>
    </row>
    <row r="26" spans="1:6" ht="15.75" x14ac:dyDescent="0.2">
      <c r="A26" s="395" t="s">
        <v>7</v>
      </c>
      <c r="B26" s="396">
        <f>VLOOKUP(A26,'3rd IA Load Pricing Results'!$A$43:$J$63,10,0)</f>
        <v>1.0114925634221574</v>
      </c>
      <c r="C26" s="397">
        <f>VLOOKUP($A26,'UCAP Oblig.-ZCP'!$A$6:$I$26,6,0)</f>
        <v>9338.2970002177681</v>
      </c>
      <c r="D26" s="398">
        <f>VLOOKUP($A26,'UCAP Oblig.-ZCP'!$A$6:$I$26,7,0)</f>
        <v>270.43293267338072</v>
      </c>
      <c r="E26" s="399">
        <f>VLOOKUP($A26,'UCAP Oblig.-ZCP'!$A$6:$I$26,8,0)</f>
        <v>0</v>
      </c>
      <c r="F26" s="400">
        <f>VLOOKUP($A26,'UCAP Oblig.-ZCP'!$A$6:$I$26,9,0)</f>
        <v>270.43293267338072</v>
      </c>
    </row>
    <row r="27" spans="1:6" ht="15.75" x14ac:dyDescent="0.2">
      <c r="A27" s="395" t="s">
        <v>17</v>
      </c>
      <c r="B27" s="396">
        <f>VLOOKUP(A27,'3rd IA Load Pricing Results'!$A$43:$J$63,10,0)</f>
        <v>1.0171270293399552</v>
      </c>
      <c r="C27" s="397">
        <f>VLOOKUP($A27,'UCAP Oblig.-ZCP'!$A$6:$I$26,6,0)</f>
        <v>372.0854098731424</v>
      </c>
      <c r="D27" s="398">
        <f>VLOOKUP($A27,'UCAP Oblig.-ZCP'!$A$6:$I$26,7,0)</f>
        <v>270.43293267338072</v>
      </c>
      <c r="E27" s="399">
        <f>VLOOKUP($A27,'UCAP Oblig.-ZCP'!$A$6:$I$26,8,0)</f>
        <v>0</v>
      </c>
      <c r="F27" s="400">
        <f>VLOOKUP($A27,'UCAP Oblig.-ZCP'!$A$6:$I$26,9,0)</f>
        <v>270.43293267338072</v>
      </c>
    </row>
    <row r="28" spans="1:6" ht="15.75" x14ac:dyDescent="0.2">
      <c r="A28" s="401" t="s">
        <v>23</v>
      </c>
      <c r="B28" s="402"/>
      <c r="C28" s="403">
        <f>SUM(C7:C27)</f>
        <v>135905.10000000003</v>
      </c>
      <c r="D28" s="404"/>
      <c r="E28" s="404"/>
      <c r="F28" s="404"/>
    </row>
  </sheetData>
  <mergeCells count="1">
    <mergeCell ref="A4:B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66"/>
  <sheetViews>
    <sheetView zoomScale="120" zoomScaleNormal="120" workbookViewId="0"/>
  </sheetViews>
  <sheetFormatPr defaultRowHeight="12.75" x14ac:dyDescent="0.2"/>
  <cols>
    <col min="1" max="1" width="29.7109375" style="360" customWidth="1"/>
    <col min="2" max="2" width="10" style="360" bestFit="1" customWidth="1"/>
    <col min="3" max="3" width="11.28515625" style="360" customWidth="1"/>
    <col min="4" max="4" width="9.42578125" style="360" customWidth="1"/>
    <col min="5" max="5" width="10.42578125" style="360" customWidth="1"/>
    <col min="6" max="6" width="10.28515625" style="360" customWidth="1"/>
    <col min="7" max="7" width="10" style="360" bestFit="1" customWidth="1"/>
    <col min="8" max="8" width="11" style="360" customWidth="1"/>
    <col min="9" max="9" width="10.42578125" style="360" customWidth="1"/>
    <col min="10" max="11" width="13.5703125" style="360" bestFit="1" customWidth="1"/>
    <col min="12" max="12" width="14.28515625" style="360" customWidth="1"/>
    <col min="13" max="13" width="14.5703125" style="360" customWidth="1"/>
    <col min="14" max="16384" width="9.140625" style="360"/>
  </cols>
  <sheetData>
    <row r="1" spans="1:14" ht="18.75" x14ac:dyDescent="0.3">
      <c r="A1" s="89" t="s">
        <v>434</v>
      </c>
      <c r="B1" s="277"/>
      <c r="C1" s="277"/>
      <c r="D1" s="277"/>
      <c r="E1" s="342" t="s">
        <v>23</v>
      </c>
      <c r="F1" s="342" t="s">
        <v>23</v>
      </c>
      <c r="G1" s="342" t="s">
        <v>23</v>
      </c>
      <c r="H1" s="277"/>
      <c r="I1" s="277"/>
      <c r="J1" s="277"/>
      <c r="K1" s="277"/>
      <c r="L1" s="277"/>
      <c r="M1" s="277"/>
    </row>
    <row r="2" spans="1:14" x14ac:dyDescent="0.2">
      <c r="A2" s="12"/>
      <c r="B2" s="277"/>
      <c r="C2" s="277"/>
      <c r="D2" s="277"/>
      <c r="E2" s="277"/>
      <c r="F2" s="277"/>
      <c r="G2" s="277"/>
      <c r="H2" s="277"/>
      <c r="I2" s="277"/>
      <c r="J2" s="277"/>
      <c r="K2" s="277"/>
      <c r="L2" s="277"/>
      <c r="M2" s="277"/>
    </row>
    <row r="3" spans="1:14" ht="15.75" x14ac:dyDescent="0.25">
      <c r="A3" s="147" t="s">
        <v>0</v>
      </c>
      <c r="B3" s="14"/>
      <c r="C3" s="14"/>
      <c r="D3" s="86" t="s">
        <v>23</v>
      </c>
      <c r="E3" s="14"/>
      <c r="F3" s="14"/>
      <c r="G3" s="14"/>
      <c r="H3" s="14"/>
      <c r="I3" s="14"/>
      <c r="J3" s="14"/>
      <c r="K3" s="14"/>
      <c r="L3" s="14"/>
      <c r="M3" s="14"/>
    </row>
    <row r="4" spans="1:14" x14ac:dyDescent="0.2">
      <c r="A4" s="159" t="s">
        <v>1</v>
      </c>
      <c r="B4" s="149">
        <v>0.17799999999999999</v>
      </c>
      <c r="C4" s="14"/>
      <c r="D4" s="60" t="s">
        <v>23</v>
      </c>
      <c r="E4" s="21" t="s">
        <v>23</v>
      </c>
      <c r="F4" s="21" t="s">
        <v>23</v>
      </c>
      <c r="G4" s="21" t="s">
        <v>23</v>
      </c>
      <c r="H4" s="21" t="s">
        <v>23</v>
      </c>
      <c r="I4" s="21" t="s">
        <v>23</v>
      </c>
      <c r="J4" s="21" t="s">
        <v>23</v>
      </c>
      <c r="K4" s="14"/>
      <c r="L4" s="14"/>
      <c r="M4" s="14"/>
    </row>
    <row r="5" spans="1:14" x14ac:dyDescent="0.2">
      <c r="A5" s="148" t="s">
        <v>432</v>
      </c>
      <c r="B5" s="123">
        <v>0.79630000000000001</v>
      </c>
      <c r="C5" s="14"/>
      <c r="D5" s="24" t="s">
        <v>23</v>
      </c>
      <c r="E5" s="59" t="s">
        <v>23</v>
      </c>
      <c r="F5" s="61" t="s">
        <v>23</v>
      </c>
      <c r="G5" s="61" t="s">
        <v>23</v>
      </c>
      <c r="H5" s="61" t="s">
        <v>23</v>
      </c>
      <c r="I5" s="61" t="s">
        <v>23</v>
      </c>
      <c r="J5" s="21" t="s">
        <v>23</v>
      </c>
      <c r="K5" s="21" t="s">
        <v>23</v>
      </c>
      <c r="L5" s="21"/>
      <c r="M5" s="21"/>
    </row>
    <row r="6" spans="1:14" x14ac:dyDescent="0.2">
      <c r="A6" s="159" t="s">
        <v>3</v>
      </c>
      <c r="B6" s="150">
        <v>0.93799999999999994</v>
      </c>
      <c r="C6" s="14"/>
      <c r="D6" s="24" t="s">
        <v>23</v>
      </c>
      <c r="E6" s="62" t="s">
        <v>23</v>
      </c>
      <c r="F6" s="56" t="s">
        <v>23</v>
      </c>
      <c r="G6" s="63" t="s">
        <v>23</v>
      </c>
      <c r="H6" s="64" t="s">
        <v>23</v>
      </c>
      <c r="I6" s="64" t="s">
        <v>23</v>
      </c>
      <c r="J6" s="64" t="s">
        <v>23</v>
      </c>
      <c r="K6" s="65" t="s">
        <v>23</v>
      </c>
      <c r="L6" s="65"/>
      <c r="M6" s="65"/>
    </row>
    <row r="7" spans="1:14" x14ac:dyDescent="0.2">
      <c r="A7" s="159" t="s">
        <v>144</v>
      </c>
      <c r="B7" s="364">
        <v>135242.4</v>
      </c>
      <c r="C7" s="276" t="s">
        <v>23</v>
      </c>
      <c r="D7" s="277"/>
      <c r="E7" s="59" t="s">
        <v>23</v>
      </c>
      <c r="F7" s="67" t="s">
        <v>23</v>
      </c>
      <c r="G7" s="56" t="s">
        <v>23</v>
      </c>
      <c r="H7" s="297" t="s">
        <v>23</v>
      </c>
      <c r="I7" s="56" t="s">
        <v>23</v>
      </c>
      <c r="J7" s="63" t="s">
        <v>23</v>
      </c>
      <c r="K7" s="64"/>
      <c r="L7" s="64"/>
      <c r="M7" s="64"/>
    </row>
    <row r="8" spans="1:14" x14ac:dyDescent="0.2">
      <c r="A8" s="159" t="s">
        <v>22</v>
      </c>
      <c r="B8" s="362">
        <v>1.0145256814388302</v>
      </c>
      <c r="C8" s="410"/>
      <c r="D8" s="68" t="s">
        <v>23</v>
      </c>
      <c r="E8" s="59" t="s">
        <v>23</v>
      </c>
      <c r="F8" s="67" t="s">
        <v>23</v>
      </c>
      <c r="G8" s="63" t="s">
        <v>23</v>
      </c>
      <c r="H8" s="63" t="s">
        <v>23</v>
      </c>
      <c r="I8" s="63" t="s">
        <v>23</v>
      </c>
      <c r="J8" s="63" t="s">
        <v>23</v>
      </c>
      <c r="K8" s="64" t="s">
        <v>23</v>
      </c>
      <c r="L8" s="64"/>
      <c r="M8" s="64"/>
    </row>
    <row r="9" spans="1:14" x14ac:dyDescent="0.2">
      <c r="A9" s="14" t="s">
        <v>145</v>
      </c>
      <c r="B9" s="14"/>
      <c r="C9" s="14"/>
      <c r="D9" s="16" t="s">
        <v>23</v>
      </c>
      <c r="E9" s="69"/>
      <c r="F9" s="50"/>
      <c r="G9" s="69"/>
      <c r="H9" s="70" t="s">
        <v>23</v>
      </c>
      <c r="I9" s="14"/>
      <c r="J9" s="14"/>
      <c r="K9" s="14"/>
      <c r="L9" s="14"/>
      <c r="M9" s="14"/>
    </row>
    <row r="10" spans="1:14" x14ac:dyDescent="0.2">
      <c r="A10" s="16"/>
      <c r="B10" s="26"/>
      <c r="C10" s="26"/>
      <c r="D10" s="26"/>
      <c r="E10" s="30" t="s">
        <v>23</v>
      </c>
      <c r="F10" s="31"/>
      <c r="G10" s="31"/>
      <c r="H10" s="31"/>
      <c r="I10" s="32"/>
      <c r="J10" s="32"/>
      <c r="K10" s="32"/>
      <c r="L10" s="32"/>
      <c r="M10" s="32"/>
    </row>
    <row r="11" spans="1:14" ht="15.75" x14ac:dyDescent="0.25">
      <c r="A11" s="140" t="s">
        <v>112</v>
      </c>
      <c r="B11" s="26"/>
      <c r="C11" s="26"/>
      <c r="D11" s="26"/>
      <c r="E11" s="32"/>
      <c r="F11" s="33"/>
      <c r="G11" s="14"/>
      <c r="H11" s="277"/>
      <c r="I11" s="277"/>
      <c r="J11" s="277"/>
      <c r="K11" s="277"/>
      <c r="L11" s="277"/>
      <c r="M11" s="277"/>
    </row>
    <row r="12" spans="1:14" ht="76.5" x14ac:dyDescent="0.2">
      <c r="A12" s="160" t="s">
        <v>2</v>
      </c>
      <c r="B12" s="160" t="s">
        <v>54</v>
      </c>
      <c r="C12" s="160" t="s">
        <v>376</v>
      </c>
      <c r="D12" s="160" t="s">
        <v>377</v>
      </c>
      <c r="E12" s="160" t="s">
        <v>446</v>
      </c>
      <c r="F12" s="160" t="s">
        <v>117</v>
      </c>
      <c r="G12" s="160" t="s">
        <v>76</v>
      </c>
      <c r="H12" s="14"/>
      <c r="I12" s="277"/>
      <c r="J12" s="277"/>
      <c r="K12" s="277"/>
      <c r="L12" s="277"/>
      <c r="M12" s="277"/>
      <c r="N12" s="277"/>
    </row>
    <row r="13" spans="1:14" x14ac:dyDescent="0.2">
      <c r="A13" s="159" t="s">
        <v>5</v>
      </c>
      <c r="B13" s="36">
        <f>K64</f>
        <v>135905.10000000003</v>
      </c>
      <c r="C13" s="134">
        <f>(VLOOKUP(A13,'BRA Resource Clearing Results'!$A$27:$F$42,6,0)*VLOOKUP(A13,'BRA Resource Clearing Results'!$A$5:$D$20,2,0)-VLOOKUP(A13,'3rdIA Resource Clearing Results'!$A$26:$D$41,4,0)*VLOOKUP(A13,'3rdIA Resource Clearing Results'!$A$5:$B$20,2,0))/(VLOOKUP(A13,'BRA Resource Clearing Results'!$A$27:$F$42,6,0)-VLOOKUP(A13,'3rdIA Resource Clearing Results'!$A$26:$D$41,4,0))</f>
        <v>270.00781847038854</v>
      </c>
      <c r="D13" s="134">
        <f>(VLOOKUP(A13,'BRA Resource Clearing Results'!$A$27:$F$42,6,0)*VLOOKUP(A13,'BRA Resource Clearing Results'!$A$5:$D$20,3,0)-VLOOKUP(A13,'3rdIA Resource Clearing Results'!$A$26:$D$41,4,0)*VLOOKUP(A13,'3rdIA Resource Clearing Results'!$A$5:$D$20,3,0))/(VLOOKUP(A13,'BRA Resource Clearing Results'!$A$27:$F$42,6,0)-VLOOKUP(A13,'3rdIA Resource Clearing Results'!$A$26:$D$41,4,0))</f>
        <v>0</v>
      </c>
      <c r="E13" s="361">
        <f>'BRA Resource Clearing Results'!G68+'3rdIA Resource Clearing Results'!I84</f>
        <v>0</v>
      </c>
      <c r="F13" s="411">
        <f>E13/B13</f>
        <v>0</v>
      </c>
      <c r="G13" s="134">
        <f>C13+D13+F13</f>
        <v>270.00781847038854</v>
      </c>
      <c r="H13" s="14"/>
      <c r="J13" s="277"/>
      <c r="K13" s="277"/>
      <c r="L13" s="277"/>
      <c r="M13" s="277"/>
      <c r="N13" s="277"/>
    </row>
    <row r="14" spans="1:14" x14ac:dyDescent="0.2">
      <c r="A14" s="159" t="s">
        <v>27</v>
      </c>
      <c r="B14" s="36">
        <f>SUMIF($B$43:$B$63,A14,$K$43:$K$63)</f>
        <v>52743.820568334835</v>
      </c>
      <c r="C14" s="134">
        <f>$C$13</f>
        <v>270.00781847038854</v>
      </c>
      <c r="D14" s="134">
        <f>(VLOOKUP(A14,'BRA Resource Clearing Results'!$A$27:$F$42,6,0)*VLOOKUP(A14,'BRA Resource Clearing Results'!$A$5:$D$20,3,0)-VLOOKUP(A14,'3rdIA Resource Clearing Results'!$A$26:$D$41,4,0)*VLOOKUP(A14,'3rdIA Resource Clearing Results'!$A$5:$D$20,3,0))/(VLOOKUP(A14,'BRA Resource Clearing Results'!$A$27:$F$42,6,0)-VLOOKUP(A14,'3rdIA Resource Clearing Results'!$A$26:$D$41,4,0))+D13</f>
        <v>0</v>
      </c>
      <c r="E14" s="361">
        <f>'BRA Resource Clearing Results'!G69+'3rdIA Resource Clearing Results'!I85</f>
        <v>0</v>
      </c>
      <c r="F14" s="411">
        <f>F13+E14/B14</f>
        <v>0</v>
      </c>
      <c r="G14" s="134">
        <f t="shared" ref="G14:G23" si="0">C14+D14+F14</f>
        <v>270.00781847038854</v>
      </c>
      <c r="H14" s="14"/>
      <c r="I14" s="277"/>
      <c r="J14" s="277"/>
      <c r="K14" s="277"/>
      <c r="L14" s="277"/>
      <c r="M14" s="277"/>
      <c r="N14" s="277"/>
    </row>
    <row r="15" spans="1:14" x14ac:dyDescent="0.2">
      <c r="A15" s="159" t="s">
        <v>32</v>
      </c>
      <c r="B15" s="36">
        <f>SUMIF($C$43:$C$63,A15,$K$43:$K$63)</f>
        <v>28766.674821113102</v>
      </c>
      <c r="C15" s="134">
        <f>$C$13</f>
        <v>270.00781847038854</v>
      </c>
      <c r="D15" s="134">
        <f>(VLOOKUP(A15,'BRA Resource Clearing Results'!$A$27:$F$42,6,0)*VLOOKUP(A15,'BRA Resource Clearing Results'!$A$5:$D$20,3,0)-VLOOKUP(A15,'3rdIA Resource Clearing Results'!$A$26:$D$41,4,0)*VLOOKUP(A15,'3rdIA Resource Clearing Results'!$A$5:$D$20,3,0))/(VLOOKUP(A15,'BRA Resource Clearing Results'!$A$27:$F$42,6,0)-VLOOKUP(A15,'3rdIA Resource Clearing Results'!$A$26:$D$41,4,0))+D14</f>
        <v>0</v>
      </c>
      <c r="E15" s="361">
        <f>'BRA Resource Clearing Results'!G70+'3rdIA Resource Clearing Results'!I86</f>
        <v>0</v>
      </c>
      <c r="F15" s="411">
        <f>F14+E15/B15</f>
        <v>0</v>
      </c>
      <c r="G15" s="134">
        <f t="shared" si="0"/>
        <v>270.00781847038854</v>
      </c>
      <c r="H15" s="43"/>
      <c r="I15" s="277"/>
      <c r="J15" s="277"/>
      <c r="K15" s="277"/>
      <c r="L15" s="277"/>
      <c r="M15" s="277"/>
      <c r="N15" s="277"/>
    </row>
    <row r="16" spans="1:14" x14ac:dyDescent="0.2">
      <c r="A16" s="159" t="s">
        <v>4</v>
      </c>
      <c r="B16" s="36">
        <f>SUMIF($C$43:$C$63,A16,$K$43:$K$63)</f>
        <v>11561.293208564726</v>
      </c>
      <c r="C16" s="134">
        <f t="shared" ref="C16:C23" si="1">$C$13</f>
        <v>270.00781847038854</v>
      </c>
      <c r="D16" s="134">
        <f>(VLOOKUP(A16,'BRA Resource Clearing Results'!$A$27:$F$42,6,0)*VLOOKUP(A16,'BRA Resource Clearing Results'!$A$5:$D$20,3,0)-VLOOKUP(A16,'3rdIA Resource Clearing Results'!$A$26:$D$41,4,0)*VLOOKUP(A16,'3rdIA Resource Clearing Results'!$A$5:$D$20,3,0))/(VLOOKUP(A16,'BRA Resource Clearing Results'!$A$27:$F$42,6,0)-VLOOKUP(A16,'3rdIA Resource Clearing Results'!$A$26:$D$41,4,0))+D14</f>
        <v>0</v>
      </c>
      <c r="E16" s="361">
        <f>'BRA Resource Clearing Results'!G71+'3rdIA Resource Clearing Results'!I87</f>
        <v>0</v>
      </c>
      <c r="F16" s="411">
        <f>F14+E16/B16</f>
        <v>0</v>
      </c>
      <c r="G16" s="134">
        <f t="shared" si="0"/>
        <v>270.00781847038854</v>
      </c>
      <c r="H16" s="14"/>
      <c r="I16" s="277"/>
      <c r="J16" s="277"/>
      <c r="K16" s="277"/>
      <c r="L16" s="277"/>
      <c r="M16" s="277"/>
      <c r="N16" s="277"/>
    </row>
    <row r="17" spans="1:14" x14ac:dyDescent="0.2">
      <c r="A17" s="159" t="s">
        <v>14</v>
      </c>
      <c r="B17" s="36">
        <f t="shared" ref="B17:B22" si="2">SUMIF($D$43:$D$63,A17,$K$43:$K$63)</f>
        <v>5555.5872706890168</v>
      </c>
      <c r="C17" s="134">
        <f t="shared" si="1"/>
        <v>270.00781847038854</v>
      </c>
      <c r="D17" s="134">
        <f>(VLOOKUP(A17,'BRA Resource Clearing Results'!$A$27:$F$42,6,0)*VLOOKUP(A17,'BRA Resource Clearing Results'!$A$5:$D$20,3,0)-VLOOKUP(A17,'3rdIA Resource Clearing Results'!$A$26:$D$41,4,0)*VLOOKUP(A17,'3rdIA Resource Clearing Results'!$A$5:$D$20,3,0))/(VLOOKUP(A17,'BRA Resource Clearing Results'!$A$27:$F$42,6,0)-VLOOKUP(A17,'3rdIA Resource Clearing Results'!$A$26:$D$41,4,0))+D16</f>
        <v>0</v>
      </c>
      <c r="E17" s="361">
        <f>'BRA Resource Clearing Results'!G72+'3rdIA Resource Clearing Results'!I91</f>
        <v>0</v>
      </c>
      <c r="F17" s="411">
        <f>F16+E17/B17</f>
        <v>0</v>
      </c>
      <c r="G17" s="134">
        <f t="shared" si="0"/>
        <v>270.00781847038854</v>
      </c>
      <c r="H17" s="14"/>
      <c r="I17" s="277"/>
      <c r="J17" s="277"/>
      <c r="K17" s="277"/>
      <c r="L17" s="277"/>
      <c r="M17" s="277"/>
      <c r="N17" s="277"/>
    </row>
    <row r="18" spans="1:14" x14ac:dyDescent="0.2">
      <c r="A18" s="15" t="s">
        <v>19</v>
      </c>
      <c r="B18" s="36">
        <f t="shared" si="2"/>
        <v>18167.474577719084</v>
      </c>
      <c r="C18" s="134">
        <f t="shared" si="1"/>
        <v>270.00781847038854</v>
      </c>
      <c r="D18" s="134">
        <f>(VLOOKUP(A18,'BRA Resource Clearing Results'!$A$27:$F$42,6,0)*VLOOKUP(A18,'BRA Resource Clearing Results'!$A$5:$D$20,3,0)-VLOOKUP(A18,'3rdIA Resource Clearing Results'!$A$26:$D$41,4,0)*VLOOKUP(A18,'3rdIA Resource Clearing Results'!$A$5:$D$20,3,0))/(VLOOKUP(A18,'BRA Resource Clearing Results'!$A$27:$F$42,6,0)-VLOOKUP(A18,'3rdIA Resource Clearing Results'!$A$26:$D$41,4,0))+D13</f>
        <v>0</v>
      </c>
      <c r="E18" s="361">
        <f>'BRA Resource Clearing Results'!G75+'3rdIA Resource Clearing Results'!I94</f>
        <v>0</v>
      </c>
      <c r="F18" s="411">
        <f>F13+E18/B18</f>
        <v>0</v>
      </c>
      <c r="G18" s="134">
        <f t="shared" si="0"/>
        <v>270.00781847038854</v>
      </c>
      <c r="H18" s="14"/>
      <c r="I18" s="344"/>
      <c r="J18" s="277"/>
      <c r="K18" s="277"/>
      <c r="L18" s="277"/>
      <c r="M18" s="277"/>
      <c r="N18" s="277"/>
    </row>
    <row r="19" spans="1:14" x14ac:dyDescent="0.2">
      <c r="A19" s="15" t="s">
        <v>10</v>
      </c>
      <c r="B19" s="36">
        <f t="shared" si="2"/>
        <v>6005.7059378757085</v>
      </c>
      <c r="C19" s="134">
        <f t="shared" si="1"/>
        <v>270.00781847038854</v>
      </c>
      <c r="D19" s="134">
        <f>(VLOOKUP(A19,'BRA Resource Clearing Results'!$A$27:$F$42,6,0)*VLOOKUP(A19,'BRA Resource Clearing Results'!$A$5:$D$20,3,0)-VLOOKUP(A19,'3rdIA Resource Clearing Results'!$A$26:$D$41,4,0)*VLOOKUP(A19,'3rdIA Resource Clearing Results'!$A$5:$D$20,3,0))/(VLOOKUP(A19,'BRA Resource Clearing Results'!$A$27:$F$42,6,0)-VLOOKUP(A19,'3rdIA Resource Clearing Results'!$A$26:$D$41,4,0))+D16</f>
        <v>196.61694489996719</v>
      </c>
      <c r="E19" s="361">
        <f>'BRA Resource Clearing Results'!G76+'3rdIA Resource Clearing Results'!I95</f>
        <v>0</v>
      </c>
      <c r="F19" s="411">
        <f>F16+E19/B19</f>
        <v>0</v>
      </c>
      <c r="G19" s="134">
        <f>C19+D19+F19</f>
        <v>466.62476337035571</v>
      </c>
      <c r="H19" s="43"/>
      <c r="I19" s="277"/>
      <c r="J19" s="277"/>
      <c r="K19" s="277"/>
      <c r="L19" s="277"/>
      <c r="M19" s="277"/>
      <c r="N19" s="277"/>
    </row>
    <row r="20" spans="1:14" x14ac:dyDescent="0.2">
      <c r="A20" s="15" t="s">
        <v>9</v>
      </c>
      <c r="B20" s="36">
        <f t="shared" si="2"/>
        <v>6904.9916471599026</v>
      </c>
      <c r="C20" s="134">
        <f t="shared" si="1"/>
        <v>270.00781847038854</v>
      </c>
      <c r="D20" s="134">
        <f>(VLOOKUP(A20,'BRA Resource Clearing Results'!$A$27:$F$42,6,0)*VLOOKUP(A20,'BRA Resource Clearing Results'!$A$5:$D$20,3,0)-VLOOKUP(A20,'3rdIA Resource Clearing Results'!$A$26:$D$41,4,0)*VLOOKUP(A20,'3rdIA Resource Clearing Results'!$A$5:$D$20,3,0))/(VLOOKUP(A20,'BRA Resource Clearing Results'!$A$27:$F$42,6,0)-VLOOKUP(A20,'3rdIA Resource Clearing Results'!$A$26:$D$41,4,0))+D14</f>
        <v>0</v>
      </c>
      <c r="E20" s="361">
        <f>'BRA Resource Clearing Results'!G77+'3rdIA Resource Clearing Results'!I96</f>
        <v>0</v>
      </c>
      <c r="F20" s="411">
        <f>F14+E20/B20</f>
        <v>0</v>
      </c>
      <c r="G20" s="134">
        <f t="shared" si="0"/>
        <v>270.00781847038854</v>
      </c>
      <c r="H20" s="14"/>
      <c r="I20" s="277"/>
      <c r="J20" s="277" t="s">
        <v>23</v>
      </c>
      <c r="K20" s="277"/>
      <c r="L20" s="277"/>
      <c r="M20" s="277"/>
      <c r="N20" s="277"/>
    </row>
    <row r="21" spans="1:14" x14ac:dyDescent="0.2">
      <c r="A21" s="15" t="s">
        <v>20</v>
      </c>
      <c r="B21" s="36">
        <f t="shared" si="2"/>
        <v>3009.0385320175869</v>
      </c>
      <c r="C21" s="134">
        <f t="shared" si="1"/>
        <v>270.00781847038854</v>
      </c>
      <c r="D21" s="134">
        <f>(VLOOKUP(A21,'BRA Resource Clearing Results'!$A$27:$F$42,6,0)*VLOOKUP(A21,'BRA Resource Clearing Results'!$A$5:$D$20,3,0)-VLOOKUP(A21,'3rdIA Resource Clearing Results'!$A$26:$D$41,4,0)*VLOOKUP(A21,'3rdIA Resource Clearing Results'!$A$5:$D$20,3,0))/(VLOOKUP(A21,'BRA Resource Clearing Results'!$A$27:$F$42,6,0)-VLOOKUP(A21,'3rdIA Resource Clearing Results'!$A$26:$D$41,4,0))+D13</f>
        <v>0</v>
      </c>
      <c r="E21" s="361">
        <f>'BRA Resource Clearing Results'!G78+'3rdIA Resource Clearing Results'!I97</f>
        <v>0</v>
      </c>
      <c r="F21" s="411">
        <f>F13+E21/B21</f>
        <v>0</v>
      </c>
      <c r="G21" s="134">
        <f t="shared" si="0"/>
        <v>270.00781847038854</v>
      </c>
      <c r="H21" s="14"/>
      <c r="I21" s="277"/>
      <c r="J21" s="277" t="s">
        <v>23</v>
      </c>
      <c r="K21" s="277"/>
      <c r="L21" s="277"/>
      <c r="M21" s="277"/>
      <c r="N21" s="277"/>
    </row>
    <row r="22" spans="1:14" x14ac:dyDescent="0.2">
      <c r="A22" s="15" t="s">
        <v>49</v>
      </c>
      <c r="B22" s="36">
        <f t="shared" si="2"/>
        <v>4069.1488813748269</v>
      </c>
      <c r="C22" s="134">
        <f t="shared" si="1"/>
        <v>270.00781847038854</v>
      </c>
      <c r="D22" s="134">
        <f>(VLOOKUP(A22,'BRA Resource Clearing Results'!$A$27:$F$42,6,0)*VLOOKUP(A22,'BRA Resource Clearing Results'!$A$5:$D$20,3,0)-VLOOKUP(A22,'3rdIA Resource Clearing Results'!$A$26:$D$41,4,0)*VLOOKUP(A22,'3rdIA Resource Clearing Results'!$A$5:$D$20,3,0))/(VLOOKUP(A22,'BRA Resource Clearing Results'!$A$27:$F$42,6,0)-VLOOKUP(A22,'3rdIA Resource Clearing Results'!$A$26:$D$41,4,0))+D13</f>
        <v>0</v>
      </c>
      <c r="E22" s="361">
        <f>'BRA Resource Clearing Results'!G79+'3rdIA Resource Clearing Results'!I98</f>
        <v>0</v>
      </c>
      <c r="F22" s="411">
        <f>F13+E22/B22</f>
        <v>0</v>
      </c>
      <c r="G22" s="134">
        <f t="shared" si="0"/>
        <v>270.00781847038854</v>
      </c>
      <c r="H22" s="14"/>
      <c r="I22" s="277"/>
      <c r="J22" s="277"/>
      <c r="K22" s="277"/>
      <c r="L22" s="277"/>
      <c r="M22" s="277"/>
      <c r="N22" s="277"/>
    </row>
    <row r="23" spans="1:14" x14ac:dyDescent="0.2">
      <c r="A23" s="15" t="s">
        <v>29</v>
      </c>
      <c r="B23" s="36">
        <f>SUMIF($D$43:$D$63,A23,$K$43:$K$63)</f>
        <v>21570.485896661179</v>
      </c>
      <c r="C23" s="134">
        <f t="shared" si="1"/>
        <v>270.00781847038854</v>
      </c>
      <c r="D23" s="134">
        <f>(VLOOKUP(A23,'BRA Resource Clearing Results'!$A$27:$F$42,6,0)*VLOOKUP(A23,'BRA Resource Clearing Results'!$A$5:$D$20,3,0)-VLOOKUP(A23,'3rdIA Resource Clearing Results'!$A$26:$D$41,4,0)*VLOOKUP(A23,'3rdIA Resource Clearing Results'!$A$5:$D$20,3,0))/(VLOOKUP(A23,'BRA Resource Clearing Results'!$A$27:$F$42,6,0)-VLOOKUP(A23,'3rdIA Resource Clearing Results'!$A$26:$D$41,4,0))+D13</f>
        <v>176.37828750775813</v>
      </c>
      <c r="E23" s="361">
        <f>'BRA Resource Clearing Results'!G80+'3rdIA Resource Clearing Results'!I99</f>
        <v>0</v>
      </c>
      <c r="F23" s="411">
        <f>F14+E23/B23</f>
        <v>0</v>
      </c>
      <c r="G23" s="134">
        <f t="shared" si="0"/>
        <v>446.3861059781467</v>
      </c>
      <c r="H23" s="14"/>
      <c r="I23" s="277"/>
      <c r="J23" s="277"/>
      <c r="K23" s="277"/>
      <c r="L23" s="277"/>
      <c r="M23" s="277"/>
      <c r="N23" s="277"/>
    </row>
    <row r="24" spans="1:14" x14ac:dyDescent="0.2">
      <c r="A24" s="16" t="s">
        <v>156</v>
      </c>
      <c r="B24" s="26"/>
      <c r="C24" s="46"/>
      <c r="D24" s="46"/>
      <c r="E24" s="46"/>
      <c r="F24" s="48"/>
      <c r="G24" s="90"/>
      <c r="H24" s="26"/>
      <c r="I24" s="26"/>
      <c r="J24" s="46"/>
      <c r="K24" s="26"/>
      <c r="L24" s="26"/>
      <c r="M24" s="26"/>
    </row>
    <row r="25" spans="1:14" x14ac:dyDescent="0.2">
      <c r="A25" s="16"/>
      <c r="B25" s="26"/>
      <c r="C25" s="46"/>
      <c r="D25" s="46"/>
      <c r="E25" s="46"/>
      <c r="F25" s="48"/>
      <c r="G25" s="90"/>
      <c r="H25" s="26"/>
      <c r="I25" s="26"/>
      <c r="J25" s="46"/>
      <c r="K25" s="26"/>
      <c r="L25" s="26"/>
      <c r="M25" s="26"/>
    </row>
    <row r="26" spans="1:14" x14ac:dyDescent="0.2">
      <c r="A26" s="16"/>
      <c r="B26" s="26"/>
      <c r="C26" s="46"/>
      <c r="D26" s="71" t="s">
        <v>23</v>
      </c>
      <c r="E26" s="71" t="s">
        <v>23</v>
      </c>
      <c r="F26" s="48"/>
      <c r="G26" s="24"/>
      <c r="H26" s="26"/>
      <c r="I26" s="26"/>
      <c r="J26" s="46"/>
      <c r="K26" s="26"/>
      <c r="L26" s="26"/>
      <c r="M26" s="26"/>
    </row>
    <row r="27" spans="1:14" ht="31.5" x14ac:dyDescent="0.25">
      <c r="A27" s="152" t="s">
        <v>101</v>
      </c>
      <c r="B27" s="14"/>
      <c r="C27" s="174" t="s">
        <v>23</v>
      </c>
      <c r="D27" s="14"/>
      <c r="E27" s="50"/>
      <c r="F27" s="223" t="s">
        <v>23</v>
      </c>
      <c r="G27" s="223"/>
      <c r="I27" s="229" t="s">
        <v>146</v>
      </c>
      <c r="J27" s="174" t="s">
        <v>23</v>
      </c>
      <c r="K27" s="14"/>
      <c r="L27" s="50" t="s">
        <v>23</v>
      </c>
      <c r="M27" s="223" t="s">
        <v>23</v>
      </c>
    </row>
    <row r="28" spans="1:14" ht="127.5" x14ac:dyDescent="0.2">
      <c r="A28" s="163" t="s">
        <v>53</v>
      </c>
      <c r="B28" s="160" t="s">
        <v>157</v>
      </c>
      <c r="C28" s="144" t="s">
        <v>71</v>
      </c>
      <c r="D28" s="144" t="s">
        <v>102</v>
      </c>
      <c r="E28" s="144" t="s">
        <v>444</v>
      </c>
      <c r="F28" s="144" t="s">
        <v>114</v>
      </c>
      <c r="G28" s="144" t="s">
        <v>111</v>
      </c>
      <c r="H28" s="14"/>
      <c r="I28" s="168" t="s">
        <v>6</v>
      </c>
      <c r="J28" s="167" t="s">
        <v>147</v>
      </c>
      <c r="K28" s="167" t="s">
        <v>148</v>
      </c>
      <c r="L28" s="199"/>
      <c r="M28" s="199"/>
      <c r="N28" s="199"/>
    </row>
    <row r="29" spans="1:14" x14ac:dyDescent="0.2">
      <c r="A29" s="159" t="s">
        <v>36</v>
      </c>
      <c r="B29" s="159"/>
      <c r="C29" s="39">
        <f>VLOOKUP(A29,'BRA Resource Clearing Results'!$A$47:$E$62,4,0)-VLOOKUP(A29,'3rdIA Resource Clearing Results'!$A$64:$D$79,4,0)</f>
        <v>1876.4</v>
      </c>
      <c r="D29" s="361">
        <f>(VLOOKUP("PS",'BRA Resource Clearing Results'!$A$27:$F$42,6,0)*VLOOKUP("PS",'BRA Resource Clearing Results'!$A$5:$D$20,3,0)-VLOOKUP("PS",'3rdIA Resource Clearing Results'!$A$26:$E$41,4,0)*VLOOKUP("PS",'3rdIA Resource Clearing Results'!$A$5:$D$20,3,0))/(VLOOKUP("PS",'BRA Resource Clearing Results'!$A$27:$F$42,6,0)-VLOOKUP("PS",'3rdIA Resource Clearing Results'!$A$26:$D$41,4,0))</f>
        <v>0</v>
      </c>
      <c r="E29" s="361">
        <f>VLOOKUP(A29,'BRA Resource Clearing Results'!$A$68:$G$83,7,0)+VLOOKUP(A29,'3rdIA Resource Clearing Results'!$A$84:$I$99,8,0)</f>
        <v>0</v>
      </c>
      <c r="F29" s="159"/>
      <c r="G29" s="159"/>
      <c r="H29" s="498"/>
      <c r="I29" s="15" t="s">
        <v>10</v>
      </c>
      <c r="J29" s="365">
        <v>135</v>
      </c>
      <c r="K29" s="361">
        <f>J29*VLOOKUP(I29,$A$43:$M$63,10,0)*$B$6*VLOOKUP(I29,$A$43:$M$63,13,0)</f>
        <v>60445.762679452724</v>
      </c>
      <c r="L29" s="598"/>
      <c r="M29" s="412"/>
      <c r="N29" s="24"/>
    </row>
    <row r="30" spans="1:14" x14ac:dyDescent="0.2">
      <c r="A30" s="159" t="s">
        <v>33</v>
      </c>
      <c r="B30" s="159"/>
      <c r="C30" s="39">
        <f>VLOOKUP(A30,'BRA Resource Clearing Results'!$A$47:$E$62,4,0)-VLOOKUP(A30,'3rdIA Resource Clearing Results'!$A$64:$D$79,4,0)</f>
        <v>2534.1</v>
      </c>
      <c r="D30" s="361">
        <f>D29+(VLOOKUP(A30,'BRA Resource Clearing Results'!$A$27:$F$42,6,0)*VLOOKUP(A30,'BRA Resource Clearing Results'!$A$5:$D$20,3,0)-VLOOKUP(A30,'3rdIA Resource Clearing Results'!$A$26:$E$41,4,0)*VLOOKUP(A30,'3rdIA Resource Clearing Results'!$A$5:$D$20,3,0))/(VLOOKUP(A30,'BRA Resource Clearing Results'!$A$27:$F$42,6,0)-VLOOKUP(A30,'3rdIA Resource Clearing Results'!$A$26:$D$41,4,0))</f>
        <v>0</v>
      </c>
      <c r="E30" s="361">
        <f>VLOOKUP(A30,'BRA Resource Clearing Results'!$A$68:$G$83,7,0)+VLOOKUP(A30,'3rdIA Resource Clearing Results'!$A$84:$I$99,8,0)</f>
        <v>0</v>
      </c>
      <c r="F30" s="159"/>
      <c r="G30" s="159"/>
      <c r="H30" s="14"/>
      <c r="I30" s="15" t="s">
        <v>16</v>
      </c>
      <c r="J30" s="365">
        <v>14</v>
      </c>
      <c r="K30" s="361">
        <f>J30*VLOOKUP(I30,$A$43:$M$63,10,0)*$B$6*VLOOKUP(I30,$A$43:$M$63,13,0)</f>
        <v>3612.4929007374153</v>
      </c>
      <c r="L30" s="598"/>
      <c r="M30" s="208"/>
      <c r="N30" s="24"/>
    </row>
    <row r="31" spans="1:14" x14ac:dyDescent="0.2">
      <c r="A31" s="57" t="s">
        <v>7</v>
      </c>
      <c r="B31" s="133">
        <f>G15</f>
        <v>270.00781847038854</v>
      </c>
      <c r="C31" s="39">
        <f>C30+C29</f>
        <v>4410.5</v>
      </c>
      <c r="D31" s="413">
        <f>(C30*D30+C29*D29)/C31</f>
        <v>0</v>
      </c>
      <c r="E31" s="414">
        <f>E29+E30</f>
        <v>0</v>
      </c>
      <c r="F31" s="137">
        <f>E31/VLOOKUP(A31,'3rd IA Load Pricing Results'!$A$43:$K$63,10,0)</f>
        <v>0</v>
      </c>
      <c r="G31" s="138">
        <f>B31+D31+F31</f>
        <v>270.00781847038854</v>
      </c>
      <c r="H31" s="14"/>
      <c r="I31" s="15" t="s">
        <v>14</v>
      </c>
      <c r="J31" s="365">
        <v>75</v>
      </c>
      <c r="K31" s="361">
        <f>J31*VLOOKUP(I31,$A$43:$M$63,10,0)*$B$6*VLOOKUP(I31,$A$43:$M$63,13,0)</f>
        <v>19394.325623950092</v>
      </c>
      <c r="L31" s="598"/>
      <c r="M31" s="225"/>
      <c r="N31" s="24"/>
    </row>
    <row r="32" spans="1:14" x14ac:dyDescent="0.2">
      <c r="A32" s="159" t="s">
        <v>35</v>
      </c>
      <c r="B32" s="159"/>
      <c r="C32" s="39">
        <v>2969.0000000000005</v>
      </c>
      <c r="D32" s="23">
        <v>0</v>
      </c>
      <c r="E32" s="361">
        <v>0</v>
      </c>
      <c r="F32" s="159"/>
      <c r="G32" s="159"/>
      <c r="I32" s="155" t="s">
        <v>149</v>
      </c>
      <c r="J32" s="228">
        <f>SUM(J29:J31)</f>
        <v>224</v>
      </c>
      <c r="K32" s="207">
        <f>SUM(K29:K31)</f>
        <v>83452.581204140239</v>
      </c>
      <c r="L32" s="598"/>
      <c r="M32" s="201"/>
      <c r="N32" s="24"/>
    </row>
    <row r="33" spans="1:14" x14ac:dyDescent="0.2">
      <c r="A33" s="159" t="s">
        <v>34</v>
      </c>
      <c r="B33" s="159"/>
      <c r="C33" s="39">
        <f>VLOOKUP(A33,'BRA Resource Clearing Results'!$A$47:$E$63,2,0)-VLOOKUP(A33,'3rdIA Resource Clearing Results'!$A$64:$D$80,4,0)</f>
        <v>982</v>
      </c>
      <c r="D33" s="361">
        <f>D32+(VLOOKUP(A33,'BRA Resource Clearing Results'!$A$27:$F$42,6,0)*VLOOKUP(A33,'BRA Resource Clearing Results'!$A$5:$D$20,3,0)-VLOOKUP(A33,'3rdIA Resource Clearing Results'!$A$26:$E$41,4,0)*VLOOKUP(A33,'3rdIA Resource Clearing Results'!$A$5:$D$20,3,0))/(VLOOKUP(A33,'BRA Resource Clearing Results'!$A$27:$F$42,6,0)-VLOOKUP(A33,'3rdIA Resource Clearing Results'!$A$26:$D$41,4,0))</f>
        <v>0</v>
      </c>
      <c r="E33" s="361">
        <f>VLOOKUP(A33,'BRA Resource Clearing Results'!$A$68:$G$83,7,0)+VLOOKUP(A33,'3rdIA Resource Clearing Results'!$A$84:$I$99,8,0)</f>
        <v>0</v>
      </c>
      <c r="F33" s="159"/>
      <c r="G33" s="159"/>
      <c r="H33" s="14"/>
      <c r="I33" s="14"/>
      <c r="J33" s="277"/>
      <c r="K33" s="277"/>
      <c r="L33" s="277"/>
      <c r="M33" s="28"/>
      <c r="N33" s="24"/>
    </row>
    <row r="34" spans="1:14" x14ac:dyDescent="0.2">
      <c r="A34" s="57" t="s">
        <v>16</v>
      </c>
      <c r="B34" s="133">
        <f>G15</f>
        <v>270.00781847038854</v>
      </c>
      <c r="C34" s="35">
        <f>C32+C33</f>
        <v>3951.0000000000005</v>
      </c>
      <c r="D34" s="413">
        <f>(C33*D33+C32*D32)/C34</f>
        <v>0</v>
      </c>
      <c r="E34" s="414">
        <f>E32+E33</f>
        <v>0</v>
      </c>
      <c r="F34" s="415">
        <f>E34/VLOOKUP(A34,$A$43:$K$63,10,0)</f>
        <v>0</v>
      </c>
      <c r="G34" s="138">
        <f>B34+D34+F34</f>
        <v>270.00781847038854</v>
      </c>
      <c r="H34" s="14"/>
      <c r="I34" s="14"/>
      <c r="J34" s="277"/>
      <c r="K34" s="277"/>
      <c r="L34" s="277"/>
      <c r="M34" s="28"/>
      <c r="N34" s="24"/>
    </row>
    <row r="35" spans="1:14" x14ac:dyDescent="0.2">
      <c r="A35" s="159" t="s">
        <v>97</v>
      </c>
      <c r="B35" s="159"/>
      <c r="C35" s="39">
        <f>VLOOKUP(A35,'BRA Resource Clearing Results'!$A$47:$E$62,4,0)-VLOOKUP(A35,'3rdIA Resource Clearing Results'!$A$64:$D$79,4,0)</f>
        <v>6284.0999999999995</v>
      </c>
      <c r="D35" s="361">
        <f>(VLOOKUP("ATSI",'BRA Resource Clearing Results'!$A$27:$F$42,6,0)*VLOOKUP("ATSI",'BRA Resource Clearing Results'!$A$5:$D$20,3,0)-VLOOKUP("ATSI",'3rdIA Resource Clearing Results'!$A$26:$E$41,4,0)*VLOOKUP("ATSI",'3rdIA Resource Clearing Results'!$A$5:$D$20,3,0))/(VLOOKUP("ATSI",'BRA Resource Clearing Results'!$A$27:$F$42,6,0)-VLOOKUP("ATSI",'3rdIA Resource Clearing Results'!$A$26:$D$41,4,0))</f>
        <v>0</v>
      </c>
      <c r="E35" s="361">
        <f>VLOOKUP(A35,'BRA Resource Clearing Results'!$A$68:$G$83,7,0)+VLOOKUP(A35,'3rdIA Resource Clearing Results'!$A$84:$I$99,8,0)</f>
        <v>0</v>
      </c>
      <c r="F35" s="159"/>
      <c r="G35" s="159"/>
      <c r="H35" s="14"/>
      <c r="I35" s="208"/>
      <c r="J35" s="277"/>
      <c r="K35" s="277"/>
      <c r="L35" s="277"/>
      <c r="M35" s="28"/>
      <c r="N35" s="24"/>
    </row>
    <row r="36" spans="1:14" x14ac:dyDescent="0.2">
      <c r="A36" s="159" t="s">
        <v>96</v>
      </c>
      <c r="B36" s="159"/>
      <c r="C36" s="39">
        <f>VLOOKUP(A36,'BRA Resource Clearing Results'!$A$47:$E$62,4,0)-VLOOKUP(A36,'3rdIA Resource Clearing Results'!$A$64:$D$79,4,0)</f>
        <v>1643.8</v>
      </c>
      <c r="D36" s="361">
        <f>D35+(VLOOKUP(A36,'BRA Resource Clearing Results'!$A$27:$F$42,6,0)*VLOOKUP(A36,'BRA Resource Clearing Results'!$A$5:$D$20,3,0)-VLOOKUP(A36,'3rdIA Resource Clearing Results'!$A$26:$E$41,4,0)*VLOOKUP(A36,'3rdIA Resource Clearing Results'!$A$5:$D$20,3,0))/(VLOOKUP(A36,'BRA Resource Clearing Results'!$A$27:$F$42,6,0)-VLOOKUP(A36,'3rdIA Resource Clearing Results'!$A$26:$D$41,4,0))</f>
        <v>0</v>
      </c>
      <c r="E36" s="361">
        <f>VLOOKUP(A36,'BRA Resource Clearing Results'!$A$68:$G$83,7,0)+VLOOKUP(A36,'3rdIA Resource Clearing Results'!$A$84:$I$99,8,0)</f>
        <v>0</v>
      </c>
      <c r="F36" s="159"/>
      <c r="G36" s="159"/>
      <c r="H36" s="14"/>
      <c r="I36" s="14"/>
      <c r="J36" s="277"/>
      <c r="K36" s="277"/>
      <c r="L36" s="277"/>
      <c r="M36" s="277" t="s">
        <v>23</v>
      </c>
      <c r="N36" s="277"/>
    </row>
    <row r="37" spans="1:14" x14ac:dyDescent="0.2">
      <c r="A37" s="57" t="s">
        <v>42</v>
      </c>
      <c r="B37" s="133">
        <f>G13</f>
        <v>270.00781847038854</v>
      </c>
      <c r="C37" s="39">
        <f>C36+C35</f>
        <v>7927.9</v>
      </c>
      <c r="D37" s="413">
        <f>(C36*D36+C35*D35)/C37</f>
        <v>0</v>
      </c>
      <c r="E37" s="414">
        <f>E35+E36</f>
        <v>0</v>
      </c>
      <c r="F37" s="415">
        <f>E37/VLOOKUP(A37,$A$43:$K$63,10,0)</f>
        <v>0</v>
      </c>
      <c r="G37" s="138">
        <f>B37+D37+F37</f>
        <v>270.00781847038854</v>
      </c>
      <c r="H37" s="14"/>
      <c r="I37" s="14"/>
      <c r="J37" s="277"/>
      <c r="K37" s="277"/>
      <c r="L37" s="277"/>
      <c r="M37" s="277"/>
      <c r="N37" s="277"/>
    </row>
    <row r="38" spans="1:14" x14ac:dyDescent="0.2">
      <c r="A38" s="93" t="s">
        <v>158</v>
      </c>
      <c r="B38" s="93"/>
      <c r="C38" s="74"/>
      <c r="D38" s="74"/>
      <c r="E38" s="74"/>
      <c r="F38" s="74"/>
      <c r="G38" s="91"/>
      <c r="H38" s="14"/>
      <c r="I38" s="14"/>
      <c r="J38" s="14"/>
      <c r="K38" s="14"/>
      <c r="L38" s="14"/>
      <c r="M38" s="14"/>
    </row>
    <row r="39" spans="1:14" x14ac:dyDescent="0.2">
      <c r="A39" s="93"/>
      <c r="B39" s="93"/>
      <c r="C39" s="74"/>
      <c r="D39" s="74"/>
      <c r="E39" s="74"/>
      <c r="F39" s="74"/>
      <c r="G39" s="91"/>
      <c r="H39" s="14"/>
      <c r="I39" s="14"/>
      <c r="J39" s="14"/>
      <c r="K39" s="14"/>
      <c r="L39" s="14"/>
      <c r="M39" s="14"/>
    </row>
    <row r="40" spans="1:14" x14ac:dyDescent="0.2">
      <c r="A40" s="24"/>
      <c r="B40" s="28"/>
      <c r="C40" s="28"/>
      <c r="D40" s="28" t="s">
        <v>23</v>
      </c>
      <c r="E40" s="37"/>
      <c r="F40" s="75" t="s">
        <v>23</v>
      </c>
      <c r="G40" s="304" t="s">
        <v>23</v>
      </c>
      <c r="H40" s="68"/>
      <c r="I40" s="68"/>
      <c r="J40" s="68"/>
      <c r="K40" s="68"/>
      <c r="L40" s="68"/>
      <c r="M40" s="68" t="s">
        <v>23</v>
      </c>
    </row>
    <row r="41" spans="1:14" ht="15.75" x14ac:dyDescent="0.25">
      <c r="A41" s="158" t="s">
        <v>378</v>
      </c>
      <c r="B41" s="87"/>
      <c r="C41" s="14"/>
      <c r="D41" s="14"/>
      <c r="E41" s="77"/>
      <c r="F41" s="77"/>
      <c r="G41" s="77"/>
      <c r="H41" s="77"/>
      <c r="I41" s="77"/>
      <c r="J41" s="77"/>
      <c r="K41" s="77"/>
      <c r="L41" s="77"/>
      <c r="M41" s="77"/>
      <c r="N41" s="77"/>
    </row>
    <row r="42" spans="1:14" ht="76.5" x14ac:dyDescent="0.2">
      <c r="A42" s="142" t="s">
        <v>6</v>
      </c>
      <c r="B42" s="142" t="s">
        <v>26</v>
      </c>
      <c r="C42" s="142" t="s">
        <v>25</v>
      </c>
      <c r="D42" s="142" t="s">
        <v>30</v>
      </c>
      <c r="E42" s="142" t="s">
        <v>430</v>
      </c>
      <c r="F42" s="142" t="s">
        <v>21</v>
      </c>
      <c r="G42" s="142" t="s">
        <v>431</v>
      </c>
      <c r="H42" s="142" t="s">
        <v>443</v>
      </c>
      <c r="I42" s="153" t="s">
        <v>22</v>
      </c>
      <c r="J42" s="153" t="s">
        <v>364</v>
      </c>
      <c r="K42" s="142" t="s">
        <v>441</v>
      </c>
      <c r="L42" s="213" t="s">
        <v>379</v>
      </c>
      <c r="M42" s="213" t="s">
        <v>442</v>
      </c>
      <c r="N42" s="142" t="s">
        <v>6</v>
      </c>
    </row>
    <row r="43" spans="1:14" x14ac:dyDescent="0.2">
      <c r="A43" s="159" t="s">
        <v>15</v>
      </c>
      <c r="B43" s="81" t="s">
        <v>27</v>
      </c>
      <c r="C43" s="81" t="s">
        <v>32</v>
      </c>
      <c r="D43" s="81"/>
      <c r="E43" s="363">
        <v>2370</v>
      </c>
      <c r="F43" s="416">
        <f>(G43-H43)/E43</f>
        <v>0.99746835443037973</v>
      </c>
      <c r="G43" s="417">
        <v>2364</v>
      </c>
      <c r="H43" s="417">
        <v>0</v>
      </c>
      <c r="I43" s="416">
        <f t="shared" ref="I43:I63" si="3">OPL_ScalingFactor</f>
        <v>1.0145256814388302</v>
      </c>
      <c r="J43" s="416">
        <f t="shared" ref="J43:J63" si="4">I43*F43</f>
        <v>1.0119572619921495</v>
      </c>
      <c r="K43" s="417">
        <f t="shared" ref="K43:K63" si="5">(E43*J43*FPR)+(H43*I43*FPR)</f>
        <v>2249.6417108442679</v>
      </c>
      <c r="L43" s="214">
        <f>G15</f>
        <v>270.00781847038854</v>
      </c>
      <c r="M43" s="293">
        <v>270.43293267338072</v>
      </c>
      <c r="N43" s="159" t="s">
        <v>15</v>
      </c>
    </row>
    <row r="44" spans="1:14" x14ac:dyDescent="0.2">
      <c r="A44" s="15" t="s">
        <v>28</v>
      </c>
      <c r="B44" s="81"/>
      <c r="C44" s="81"/>
      <c r="D44" s="81"/>
      <c r="E44" s="363">
        <v>11683</v>
      </c>
      <c r="F44" s="416">
        <f t="shared" ref="F44:F63" si="6">(G44-H44)/E44</f>
        <v>0.96651544979885295</v>
      </c>
      <c r="G44" s="417">
        <v>12155.3</v>
      </c>
      <c r="H44" s="417">
        <v>863.5</v>
      </c>
      <c r="I44" s="416">
        <f t="shared" si="3"/>
        <v>1.0145256814388302</v>
      </c>
      <c r="J44" s="416">
        <f>I44*F44</f>
        <v>0.98055474532833875</v>
      </c>
      <c r="K44" s="417">
        <f t="shared" si="5"/>
        <v>11567.28844662662</v>
      </c>
      <c r="L44" s="214">
        <f>G13</f>
        <v>270.00781847038854</v>
      </c>
      <c r="M44" s="293">
        <v>270.43293267338072</v>
      </c>
      <c r="N44" s="159" t="s">
        <v>28</v>
      </c>
    </row>
    <row r="45" spans="1:14" x14ac:dyDescent="0.2">
      <c r="A45" s="159" t="s">
        <v>18</v>
      </c>
      <c r="B45" s="81" t="s">
        <v>23</v>
      </c>
      <c r="C45" s="81"/>
      <c r="D45" s="81"/>
      <c r="E45" s="363">
        <v>8790</v>
      </c>
      <c r="F45" s="416">
        <f t="shared" si="6"/>
        <v>0.9757679180887372</v>
      </c>
      <c r="G45" s="417">
        <v>8585</v>
      </c>
      <c r="H45" s="417">
        <v>8</v>
      </c>
      <c r="I45" s="416">
        <f t="shared" si="3"/>
        <v>1.0145256814388302</v>
      </c>
      <c r="J45" s="416">
        <f t="shared" si="4"/>
        <v>0.98994161202512465</v>
      </c>
      <c r="K45" s="417">
        <f t="shared" si="5"/>
        <v>8169.7013906929096</v>
      </c>
      <c r="L45" s="214">
        <f>G13</f>
        <v>270.00781847038854</v>
      </c>
      <c r="M45" s="293">
        <v>270.43293267338072</v>
      </c>
      <c r="N45" s="159" t="s">
        <v>18</v>
      </c>
    </row>
    <row r="46" spans="1:14" x14ac:dyDescent="0.2">
      <c r="A46" s="159" t="s">
        <v>42</v>
      </c>
      <c r="B46" s="81"/>
      <c r="C46" s="81"/>
      <c r="D46" s="81" t="s">
        <v>42</v>
      </c>
      <c r="E46" s="363">
        <v>12207.6</v>
      </c>
      <c r="F46" s="416">
        <f t="shared" si="6"/>
        <v>1.0107146367836428</v>
      </c>
      <c r="G46" s="417">
        <v>12392</v>
      </c>
      <c r="H46" s="417">
        <v>53.6</v>
      </c>
      <c r="I46" s="416">
        <f t="shared" si="3"/>
        <v>1.0145256814388302</v>
      </c>
      <c r="J46" s="416">
        <f t="shared" si="4"/>
        <v>1.0253959556231249</v>
      </c>
      <c r="K46" s="417">
        <f t="shared" si="5"/>
        <v>11792.538105237802</v>
      </c>
      <c r="L46" s="214">
        <f>G37</f>
        <v>270.00781847038854</v>
      </c>
      <c r="M46" s="293">
        <v>270.43293267338072</v>
      </c>
      <c r="N46" s="159" t="s">
        <v>42</v>
      </c>
    </row>
    <row r="47" spans="1:14" x14ac:dyDescent="0.2">
      <c r="A47" s="159" t="s">
        <v>10</v>
      </c>
      <c r="B47" s="81" t="s">
        <v>27</v>
      </c>
      <c r="C47" s="81" t="s">
        <v>4</v>
      </c>
      <c r="D47" s="81" t="s">
        <v>10</v>
      </c>
      <c r="E47" s="363">
        <v>6310</v>
      </c>
      <c r="F47" s="416">
        <f t="shared" si="6"/>
        <v>0.99825673534072901</v>
      </c>
      <c r="G47" s="417">
        <v>6311</v>
      </c>
      <c r="H47" s="417">
        <v>12</v>
      </c>
      <c r="I47" s="416">
        <f t="shared" si="3"/>
        <v>1.0145256814388302</v>
      </c>
      <c r="J47" s="416">
        <f t="shared" si="4"/>
        <v>1.0127570946724551</v>
      </c>
      <c r="K47" s="417">
        <f t="shared" si="5"/>
        <v>6005.7059378757085</v>
      </c>
      <c r="L47" s="214">
        <f>G19</f>
        <v>466.62476337035571</v>
      </c>
      <c r="M47" s="293">
        <v>471.32878150920209</v>
      </c>
      <c r="N47" s="159" t="s">
        <v>10</v>
      </c>
    </row>
    <row r="48" spans="1:14" x14ac:dyDescent="0.2">
      <c r="A48" s="159" t="s">
        <v>19</v>
      </c>
      <c r="B48" s="81"/>
      <c r="C48" s="81"/>
      <c r="D48" s="81" t="s">
        <v>19</v>
      </c>
      <c r="E48" s="363">
        <v>19040</v>
      </c>
      <c r="F48" s="416">
        <f t="shared" si="6"/>
        <v>0.9926995798319328</v>
      </c>
      <c r="G48" s="417">
        <v>19091</v>
      </c>
      <c r="H48" s="417">
        <v>190</v>
      </c>
      <c r="I48" s="416">
        <f t="shared" si="3"/>
        <v>1.0145256814388302</v>
      </c>
      <c r="J48" s="416">
        <f t="shared" si="4"/>
        <v>1.0071192176930319</v>
      </c>
      <c r="K48" s="417">
        <f t="shared" si="5"/>
        <v>18167.474577719084</v>
      </c>
      <c r="L48" s="214">
        <f>G18</f>
        <v>270.00781847038854</v>
      </c>
      <c r="M48" s="293">
        <v>270.43293267338072</v>
      </c>
      <c r="N48" s="159" t="s">
        <v>19</v>
      </c>
    </row>
    <row r="49" spans="1:14" x14ac:dyDescent="0.2">
      <c r="A49" s="159" t="s">
        <v>20</v>
      </c>
      <c r="B49" s="81"/>
      <c r="C49" s="81"/>
      <c r="D49" s="81" t="s">
        <v>20</v>
      </c>
      <c r="E49" s="363">
        <v>3190</v>
      </c>
      <c r="F49" s="416">
        <f t="shared" si="6"/>
        <v>0.9912225705329154</v>
      </c>
      <c r="G49" s="417">
        <v>3162</v>
      </c>
      <c r="H49" s="417">
        <v>0</v>
      </c>
      <c r="I49" s="416">
        <f t="shared" si="3"/>
        <v>1.0145256814388302</v>
      </c>
      <c r="J49" s="416">
        <f t="shared" si="4"/>
        <v>1.0056207538274549</v>
      </c>
      <c r="K49" s="417">
        <f t="shared" si="5"/>
        <v>3009.0385320175869</v>
      </c>
      <c r="L49" s="214">
        <f>G21</f>
        <v>270.00781847038854</v>
      </c>
      <c r="M49" s="293">
        <v>270.43293267338072</v>
      </c>
      <c r="N49" s="159" t="s">
        <v>20</v>
      </c>
    </row>
    <row r="50" spans="1:14" x14ac:dyDescent="0.2">
      <c r="A50" s="159" t="s">
        <v>49</v>
      </c>
      <c r="B50" s="81"/>
      <c r="C50" s="81"/>
      <c r="D50" s="81" t="s">
        <v>49</v>
      </c>
      <c r="E50" s="363">
        <v>4244.1000000000004</v>
      </c>
      <c r="F50" s="416">
        <f t="shared" si="6"/>
        <v>1.0075163167691619</v>
      </c>
      <c r="G50" s="417">
        <v>4276</v>
      </c>
      <c r="H50" s="417">
        <v>0</v>
      </c>
      <c r="I50" s="416">
        <f t="shared" si="3"/>
        <v>1.0145256814388302</v>
      </c>
      <c r="J50" s="416">
        <f t="shared" si="4"/>
        <v>1.0221511778309742</v>
      </c>
      <c r="K50" s="417">
        <f t="shared" si="5"/>
        <v>4069.1488813748269</v>
      </c>
      <c r="L50" s="214">
        <f>G22</f>
        <v>270.00781847038854</v>
      </c>
      <c r="M50" s="293">
        <v>270.43293267338072</v>
      </c>
      <c r="N50" s="159" t="s">
        <v>49</v>
      </c>
    </row>
    <row r="51" spans="1:14" x14ac:dyDescent="0.2">
      <c r="A51" s="159" t="s">
        <v>41</v>
      </c>
      <c r="B51" s="81"/>
      <c r="C51" s="81"/>
      <c r="D51" s="81"/>
      <c r="E51" s="363">
        <v>2640</v>
      </c>
      <c r="F51" s="416">
        <f t="shared" si="6"/>
        <v>0.99469696969696975</v>
      </c>
      <c r="G51" s="417">
        <v>2626</v>
      </c>
      <c r="H51" s="417">
        <v>0</v>
      </c>
      <c r="I51" s="416">
        <f t="shared" si="3"/>
        <v>1.0145256814388302</v>
      </c>
      <c r="J51" s="416">
        <f t="shared" si="4"/>
        <v>1.0091456210069576</v>
      </c>
      <c r="K51" s="417">
        <f t="shared" si="5"/>
        <v>2498.9674842119493</v>
      </c>
      <c r="L51" s="214">
        <f>G13</f>
        <v>270.00781847038854</v>
      </c>
      <c r="M51" s="293">
        <v>270.43293267338072</v>
      </c>
      <c r="N51" s="159" t="s">
        <v>41</v>
      </c>
    </row>
    <row r="52" spans="1:14" x14ac:dyDescent="0.2">
      <c r="A52" s="159" t="s">
        <v>29</v>
      </c>
      <c r="B52" s="81"/>
      <c r="C52" s="81"/>
      <c r="D52" s="81" t="s">
        <v>29</v>
      </c>
      <c r="E52" s="363">
        <v>22356.1</v>
      </c>
      <c r="F52" s="416">
        <f t="shared" si="6"/>
        <v>0.9387549706791436</v>
      </c>
      <c r="G52" s="417">
        <v>22667</v>
      </c>
      <c r="H52" s="417">
        <v>1680.1</v>
      </c>
      <c r="I52" s="416">
        <f t="shared" si="3"/>
        <v>1.0145256814388302</v>
      </c>
      <c r="J52" s="416">
        <f t="shared" si="4"/>
        <v>0.95239102633234718</v>
      </c>
      <c r="K52" s="417">
        <f t="shared" si="5"/>
        <v>21570.485896661179</v>
      </c>
      <c r="L52" s="214">
        <f>G23</f>
        <v>446.3861059781467</v>
      </c>
      <c r="M52" s="293">
        <v>446.81027231931563</v>
      </c>
      <c r="N52" s="159" t="s">
        <v>29</v>
      </c>
    </row>
    <row r="53" spans="1:14" x14ac:dyDescent="0.2">
      <c r="A53" s="159" t="s">
        <v>16</v>
      </c>
      <c r="B53" s="81" t="s">
        <v>27</v>
      </c>
      <c r="C53" s="81" t="s">
        <v>32</v>
      </c>
      <c r="D53" s="81" t="s">
        <v>16</v>
      </c>
      <c r="E53" s="363">
        <v>3760</v>
      </c>
      <c r="F53" s="416">
        <f t="shared" si="6"/>
        <v>1.0026595744680851</v>
      </c>
      <c r="G53" s="417">
        <v>3770</v>
      </c>
      <c r="H53" s="417">
        <v>0</v>
      </c>
      <c r="I53" s="416">
        <f t="shared" si="3"/>
        <v>1.0145256814388302</v>
      </c>
      <c r="J53" s="416">
        <f t="shared" si="4"/>
        <v>1.0172238880384015</v>
      </c>
      <c r="K53" s="417">
        <f t="shared" si="5"/>
        <v>3587.6265862448768</v>
      </c>
      <c r="L53" s="214">
        <f>G34</f>
        <v>270.00781847038854</v>
      </c>
      <c r="M53" s="293">
        <v>270.43293267338072</v>
      </c>
      <c r="N53" s="159" t="s">
        <v>16</v>
      </c>
    </row>
    <row r="54" spans="1:14" x14ac:dyDescent="0.2">
      <c r="A54" s="159" t="s">
        <v>99</v>
      </c>
      <c r="B54" s="81"/>
      <c r="C54" s="81"/>
      <c r="D54" s="81"/>
      <c r="E54" s="363">
        <v>2369.6999999999998</v>
      </c>
      <c r="F54" s="416">
        <f t="shared" si="6"/>
        <v>1.0019833734227963</v>
      </c>
      <c r="G54" s="417">
        <v>2374.4</v>
      </c>
      <c r="H54" s="417">
        <v>0</v>
      </c>
      <c r="I54" s="416">
        <f t="shared" si="3"/>
        <v>1.0145256814388302</v>
      </c>
      <c r="J54" s="416">
        <f t="shared" si="4"/>
        <v>1.0165378647121401</v>
      </c>
      <c r="K54" s="417">
        <f t="shared" si="5"/>
        <v>2259.5386117718399</v>
      </c>
      <c r="L54" s="214">
        <f>G13</f>
        <v>270.00781847038854</v>
      </c>
      <c r="M54" s="293">
        <v>270.43293267338072</v>
      </c>
      <c r="N54" s="159" t="s">
        <v>99</v>
      </c>
    </row>
    <row r="55" spans="1:14" x14ac:dyDescent="0.2">
      <c r="A55" s="159" t="s">
        <v>11</v>
      </c>
      <c r="B55" s="81" t="s">
        <v>27</v>
      </c>
      <c r="C55" s="81" t="s">
        <v>32</v>
      </c>
      <c r="D55" s="81"/>
      <c r="E55" s="363">
        <v>5810</v>
      </c>
      <c r="F55" s="416">
        <f t="shared" si="6"/>
        <v>0.98915662650602409</v>
      </c>
      <c r="G55" s="417">
        <v>5747</v>
      </c>
      <c r="H55" s="417">
        <v>0</v>
      </c>
      <c r="I55" s="416">
        <f t="shared" si="3"/>
        <v>1.0145256814388302</v>
      </c>
      <c r="J55" s="416">
        <f t="shared" si="4"/>
        <v>1.0035248005557584</v>
      </c>
      <c r="K55" s="417">
        <f t="shared" si="5"/>
        <v>5468.9893875727612</v>
      </c>
      <c r="L55" s="214">
        <f>G15</f>
        <v>270.00781847038854</v>
      </c>
      <c r="M55" s="293">
        <v>270.43293267338072</v>
      </c>
      <c r="N55" s="159" t="s">
        <v>11</v>
      </c>
    </row>
    <row r="56" spans="1:14" x14ac:dyDescent="0.2">
      <c r="A56" s="159" t="s">
        <v>12</v>
      </c>
      <c r="B56" s="81" t="s">
        <v>27</v>
      </c>
      <c r="C56" s="81"/>
      <c r="D56" s="81"/>
      <c r="E56" s="363">
        <v>2960</v>
      </c>
      <c r="F56" s="416">
        <f t="shared" si="6"/>
        <v>1.0104729729729729</v>
      </c>
      <c r="G56" s="417">
        <v>2991</v>
      </c>
      <c r="H56" s="417">
        <v>0</v>
      </c>
      <c r="I56" s="416">
        <f t="shared" si="3"/>
        <v>1.0145256814388302</v>
      </c>
      <c r="J56" s="416">
        <f t="shared" si="4"/>
        <v>1.025150781480926</v>
      </c>
      <c r="K56" s="417">
        <f t="shared" si="5"/>
        <v>2846.3106417661611</v>
      </c>
      <c r="L56" s="214">
        <f>G14</f>
        <v>270.00781847038854</v>
      </c>
      <c r="M56" s="293">
        <v>270.43293267338072</v>
      </c>
      <c r="N56" s="159" t="s">
        <v>12</v>
      </c>
    </row>
    <row r="57" spans="1:14" x14ac:dyDescent="0.2">
      <c r="A57" s="159" t="s">
        <v>173</v>
      </c>
      <c r="B57" s="81"/>
      <c r="C57" s="81"/>
      <c r="D57" s="81"/>
      <c r="E57" s="363">
        <v>60</v>
      </c>
      <c r="F57" s="416">
        <f t="shared" si="6"/>
        <v>1</v>
      </c>
      <c r="G57" s="417">
        <v>60</v>
      </c>
      <c r="H57" s="417">
        <v>0</v>
      </c>
      <c r="I57" s="416">
        <f t="shared" si="3"/>
        <v>1.0145256814388302</v>
      </c>
      <c r="J57" s="416">
        <f t="shared" si="4"/>
        <v>1.0145256814388302</v>
      </c>
      <c r="K57" s="417">
        <f t="shared" si="5"/>
        <v>57.097505351377357</v>
      </c>
      <c r="L57" s="214">
        <f>G13</f>
        <v>270.00781847038854</v>
      </c>
      <c r="M57" s="293">
        <v>270.43293267338072</v>
      </c>
      <c r="N57" s="159" t="s">
        <v>173</v>
      </c>
    </row>
    <row r="58" spans="1:14" x14ac:dyDescent="0.2">
      <c r="A58" s="159" t="s">
        <v>8</v>
      </c>
      <c r="B58" s="81" t="s">
        <v>27</v>
      </c>
      <c r="C58" s="81" t="s">
        <v>32</v>
      </c>
      <c r="D58" s="81"/>
      <c r="E58" s="363">
        <v>8120</v>
      </c>
      <c r="F58" s="416">
        <f t="shared" si="6"/>
        <v>1.0029556650246305</v>
      </c>
      <c r="G58" s="417">
        <v>8144</v>
      </c>
      <c r="H58" s="417">
        <v>0</v>
      </c>
      <c r="I58" s="416">
        <f t="shared" si="3"/>
        <v>1.0145256814388302</v>
      </c>
      <c r="J58" s="416">
        <f t="shared" si="4"/>
        <v>1.0175242795120483</v>
      </c>
      <c r="K58" s="417">
        <f t="shared" si="5"/>
        <v>7750.0347263602862</v>
      </c>
      <c r="L58" s="214">
        <f>G15</f>
        <v>270.00781847038854</v>
      </c>
      <c r="M58" s="293">
        <v>270.43293267338072</v>
      </c>
      <c r="N58" s="159" t="s">
        <v>8</v>
      </c>
    </row>
    <row r="59" spans="1:14" x14ac:dyDescent="0.2">
      <c r="A59" s="159" t="s">
        <v>13</v>
      </c>
      <c r="B59" s="81" t="s">
        <v>27</v>
      </c>
      <c r="C59" s="81"/>
      <c r="D59" s="81"/>
      <c r="E59" s="363">
        <v>2760</v>
      </c>
      <c r="F59" s="416">
        <f t="shared" si="6"/>
        <v>1.0144927536231885</v>
      </c>
      <c r="G59" s="417">
        <v>2800</v>
      </c>
      <c r="H59" s="417">
        <v>0</v>
      </c>
      <c r="I59" s="416">
        <f t="shared" si="3"/>
        <v>1.0145256814388302</v>
      </c>
      <c r="J59" s="416">
        <f t="shared" si="4"/>
        <v>1.0292289521843205</v>
      </c>
      <c r="K59" s="417">
        <f t="shared" si="5"/>
        <v>2664.5502497309435</v>
      </c>
      <c r="L59" s="214">
        <f>G14</f>
        <v>270.00781847038854</v>
      </c>
      <c r="M59" s="293">
        <v>270.43293267338072</v>
      </c>
      <c r="N59" s="159" t="s">
        <v>13</v>
      </c>
    </row>
    <row r="60" spans="1:14" x14ac:dyDescent="0.2">
      <c r="A60" s="159" t="s">
        <v>14</v>
      </c>
      <c r="B60" s="81" t="s">
        <v>27</v>
      </c>
      <c r="C60" s="81" t="s">
        <v>4</v>
      </c>
      <c r="D60" s="81" t="s">
        <v>14</v>
      </c>
      <c r="E60" s="363">
        <v>5810</v>
      </c>
      <c r="F60" s="416">
        <f t="shared" si="6"/>
        <v>1.0048192771084337</v>
      </c>
      <c r="G60" s="417">
        <v>5838</v>
      </c>
      <c r="H60" s="417">
        <v>0</v>
      </c>
      <c r="I60" s="416">
        <f t="shared" si="3"/>
        <v>1.0145256814388302</v>
      </c>
      <c r="J60" s="416">
        <f t="shared" si="4"/>
        <v>1.0194149618313064</v>
      </c>
      <c r="K60" s="417">
        <f t="shared" si="5"/>
        <v>5555.5872706890168</v>
      </c>
      <c r="L60" s="214">
        <f>G17</f>
        <v>270.00781847038854</v>
      </c>
      <c r="M60" s="293">
        <v>270.43293267338072</v>
      </c>
      <c r="N60" s="159" t="s">
        <v>14</v>
      </c>
    </row>
    <row r="61" spans="1:14" x14ac:dyDescent="0.2">
      <c r="A61" s="159" t="s">
        <v>9</v>
      </c>
      <c r="B61" s="81" t="s">
        <v>27</v>
      </c>
      <c r="C61" s="81"/>
      <c r="D61" s="81" t="s">
        <v>9</v>
      </c>
      <c r="E61" s="363">
        <v>7100</v>
      </c>
      <c r="F61" s="416">
        <f t="shared" si="6"/>
        <v>1.0088732394366198</v>
      </c>
      <c r="G61" s="417">
        <v>7256</v>
      </c>
      <c r="H61" s="417">
        <v>93</v>
      </c>
      <c r="I61" s="416">
        <f t="shared" si="3"/>
        <v>1.0145256814388302</v>
      </c>
      <c r="J61" s="416">
        <f t="shared" si="4"/>
        <v>1.0235278107248367</v>
      </c>
      <c r="K61" s="417">
        <f t="shared" si="5"/>
        <v>6904.9916471599026</v>
      </c>
      <c r="L61" s="214">
        <f>G20</f>
        <v>270.00781847038854</v>
      </c>
      <c r="M61" s="293">
        <v>270.43293267338072</v>
      </c>
      <c r="N61" s="159" t="s">
        <v>9</v>
      </c>
    </row>
    <row r="62" spans="1:14" x14ac:dyDescent="0.2">
      <c r="A62" s="159" t="s">
        <v>7</v>
      </c>
      <c r="B62" s="81" t="s">
        <v>27</v>
      </c>
      <c r="C62" s="81" t="s">
        <v>32</v>
      </c>
      <c r="D62" s="81" t="s">
        <v>7</v>
      </c>
      <c r="E62" s="363">
        <v>9700</v>
      </c>
      <c r="F62" s="416">
        <f t="shared" si="6"/>
        <v>0.99701030927835055</v>
      </c>
      <c r="G62" s="417">
        <v>9813</v>
      </c>
      <c r="H62" s="417">
        <v>142</v>
      </c>
      <c r="I62" s="416">
        <f t="shared" si="3"/>
        <v>1.0145256814388302</v>
      </c>
      <c r="J62" s="416">
        <f t="shared" si="4"/>
        <v>1.0114925634221574</v>
      </c>
      <c r="K62" s="417">
        <f t="shared" si="5"/>
        <v>9338.2970002177681</v>
      </c>
      <c r="L62" s="214">
        <f>G31</f>
        <v>270.00781847038854</v>
      </c>
      <c r="M62" s="293">
        <v>270.43293267338072</v>
      </c>
      <c r="N62" s="159" t="s">
        <v>7</v>
      </c>
    </row>
    <row r="63" spans="1:14" x14ac:dyDescent="0.2">
      <c r="A63" s="159" t="s">
        <v>17</v>
      </c>
      <c r="B63" s="81" t="s">
        <v>27</v>
      </c>
      <c r="C63" s="81" t="s">
        <v>32</v>
      </c>
      <c r="D63" s="81"/>
      <c r="E63" s="363">
        <v>390</v>
      </c>
      <c r="F63" s="416">
        <f t="shared" si="6"/>
        <v>1.0025641025641026</v>
      </c>
      <c r="G63" s="417">
        <v>391</v>
      </c>
      <c r="H63" s="417">
        <v>0</v>
      </c>
      <c r="I63" s="416">
        <f t="shared" si="3"/>
        <v>1.0145256814388302</v>
      </c>
      <c r="J63" s="416">
        <f t="shared" si="4"/>
        <v>1.0171270293399552</v>
      </c>
      <c r="K63" s="417">
        <f t="shared" si="5"/>
        <v>372.0854098731424</v>
      </c>
      <c r="L63" s="214">
        <f>G15</f>
        <v>270.00781847038854</v>
      </c>
      <c r="M63" s="293">
        <v>270.43293267338072</v>
      </c>
      <c r="N63" s="159" t="s">
        <v>17</v>
      </c>
    </row>
    <row r="64" spans="1:14" x14ac:dyDescent="0.2">
      <c r="A64" s="85" t="s">
        <v>64</v>
      </c>
      <c r="B64" s="16"/>
      <c r="C64" s="24"/>
      <c r="D64" s="24"/>
      <c r="E64" s="154">
        <f>SUM(E43:E63)</f>
        <v>141670.5</v>
      </c>
      <c r="F64" s="155"/>
      <c r="G64" s="156">
        <f>SUM(G43:G63)</f>
        <v>142813.70000000001</v>
      </c>
      <c r="H64" s="156">
        <f>SUM(H43:H63)</f>
        <v>3042.2</v>
      </c>
      <c r="I64" s="57"/>
      <c r="J64" s="57"/>
      <c r="K64" s="157">
        <f>SUM(K43:K63)</f>
        <v>135905.10000000003</v>
      </c>
      <c r="L64" s="226"/>
      <c r="M64" s="298" t="s">
        <v>23</v>
      </c>
      <c r="N64" s="298"/>
    </row>
    <row r="65" spans="1:14" x14ac:dyDescent="0.2">
      <c r="A65" s="85" t="s">
        <v>428</v>
      </c>
      <c r="B65" s="24"/>
      <c r="C65" s="24"/>
      <c r="D65" s="24"/>
      <c r="E65" s="24"/>
      <c r="F65" s="24"/>
      <c r="G65" s="92" t="s">
        <v>23</v>
      </c>
      <c r="H65" s="92"/>
      <c r="I65" s="24"/>
      <c r="J65" s="24"/>
      <c r="K65" s="104"/>
      <c r="L65" s="24"/>
      <c r="M65" s="299"/>
      <c r="N65" s="299"/>
    </row>
    <row r="66" spans="1:14" x14ac:dyDescent="0.2">
      <c r="A66" s="255" t="s">
        <v>163</v>
      </c>
      <c r="B66" s="193"/>
      <c r="C66" s="193"/>
      <c r="D66" s="193"/>
      <c r="E66" s="193"/>
      <c r="F66" s="193"/>
      <c r="G66" s="193"/>
      <c r="H66" s="193"/>
      <c r="I66" s="193"/>
      <c r="J66" s="193"/>
      <c r="K66" s="193"/>
      <c r="L66" s="515"/>
      <c r="M66" s="299"/>
      <c r="N66" s="299"/>
    </row>
  </sheetData>
  <mergeCells count="1">
    <mergeCell ref="L29:L3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I80"/>
  <sheetViews>
    <sheetView zoomScale="85" zoomScaleNormal="85" workbookViewId="0"/>
  </sheetViews>
  <sheetFormatPr defaultRowHeight="12.75" x14ac:dyDescent="0.2"/>
  <cols>
    <col min="1" max="42" width="16.7109375" style="360" customWidth="1"/>
    <col min="43" max="16384" width="9.140625" style="360"/>
  </cols>
  <sheetData>
    <row r="1" spans="1:29" ht="18.75" x14ac:dyDescent="0.3">
      <c r="A1" s="94" t="s">
        <v>433</v>
      </c>
      <c r="B1" s="277"/>
      <c r="C1" s="277" t="s">
        <v>23</v>
      </c>
      <c r="D1" s="277"/>
      <c r="E1" s="277"/>
      <c r="F1" s="418" t="s">
        <v>23</v>
      </c>
      <c r="G1" s="277"/>
      <c r="H1" s="277"/>
      <c r="I1" s="277"/>
      <c r="J1" s="277"/>
      <c r="K1" s="277"/>
      <c r="L1" s="277"/>
      <c r="M1" s="277"/>
      <c r="N1" s="277"/>
      <c r="O1" s="277"/>
      <c r="P1" s="277"/>
      <c r="Q1" s="277"/>
      <c r="R1" s="277"/>
      <c r="S1" s="277"/>
      <c r="T1" s="277"/>
      <c r="U1" s="277"/>
      <c r="V1" s="277"/>
      <c r="W1" s="277"/>
      <c r="X1" s="277"/>
      <c r="Y1" s="277"/>
      <c r="Z1" s="277"/>
      <c r="AA1" s="277"/>
      <c r="AB1" s="277"/>
      <c r="AC1" s="277"/>
    </row>
    <row r="2" spans="1:29" ht="18.75" x14ac:dyDescent="0.3">
      <c r="A2" s="1" t="s">
        <v>23</v>
      </c>
      <c r="B2" s="277"/>
      <c r="C2" s="277" t="s">
        <v>23</v>
      </c>
      <c r="D2" s="419" t="s">
        <v>23</v>
      </c>
      <c r="E2" s="420" t="s">
        <v>23</v>
      </c>
      <c r="F2" s="277"/>
      <c r="G2" s="277"/>
      <c r="H2" s="277"/>
      <c r="I2" s="277"/>
      <c r="J2" s="277"/>
      <c r="K2" s="277"/>
      <c r="L2" s="277"/>
      <c r="M2" s="277"/>
      <c r="N2" s="277"/>
      <c r="O2" s="277"/>
      <c r="P2" s="277"/>
      <c r="Q2" s="277"/>
      <c r="R2" s="277"/>
      <c r="S2" s="277"/>
      <c r="T2" s="277"/>
      <c r="U2" s="277"/>
      <c r="V2" s="277"/>
      <c r="W2" s="277"/>
      <c r="X2" s="277"/>
      <c r="Y2" s="277"/>
      <c r="Z2" s="277"/>
      <c r="AA2" s="277"/>
      <c r="AB2" s="277"/>
      <c r="AC2" s="277"/>
    </row>
    <row r="3" spans="1:29" ht="18.75" x14ac:dyDescent="0.3">
      <c r="A3" s="421" t="s">
        <v>59</v>
      </c>
      <c r="B3" s="1"/>
      <c r="C3" s="422" t="s">
        <v>23</v>
      </c>
      <c r="D3" s="175"/>
      <c r="F3" s="423"/>
      <c r="G3" s="342"/>
      <c r="H3" s="342"/>
      <c r="I3" s="342" t="s">
        <v>23</v>
      </c>
      <c r="J3" s="277"/>
      <c r="K3" s="424"/>
      <c r="L3" s="424"/>
      <c r="AC3" s="424"/>
    </row>
    <row r="4" spans="1:29" ht="89.25" x14ac:dyDescent="0.2">
      <c r="A4" s="144" t="s">
        <v>2</v>
      </c>
      <c r="B4" s="160" t="s">
        <v>380</v>
      </c>
      <c r="C4" s="160" t="s">
        <v>381</v>
      </c>
      <c r="D4" s="160" t="s">
        <v>382</v>
      </c>
      <c r="E4" s="144" t="s">
        <v>62</v>
      </c>
      <c r="F4" s="144" t="s">
        <v>383</v>
      </c>
      <c r="G4" s="144" t="s">
        <v>68</v>
      </c>
      <c r="H4" s="144" t="s">
        <v>384</v>
      </c>
      <c r="I4" s="425" t="s">
        <v>385</v>
      </c>
      <c r="J4" s="368"/>
      <c r="M4" s="426"/>
      <c r="N4" s="426"/>
      <c r="O4" s="426"/>
      <c r="P4" s="426"/>
      <c r="Q4" s="426"/>
      <c r="R4" s="426"/>
      <c r="S4" s="426"/>
      <c r="T4" s="426"/>
      <c r="U4" s="426"/>
      <c r="V4" s="426"/>
      <c r="W4" s="426"/>
    </row>
    <row r="5" spans="1:29" x14ac:dyDescent="0.2">
      <c r="A5" s="274" t="s">
        <v>27</v>
      </c>
      <c r="B5" s="427">
        <f>VLOOKUP(A5,'3rd IA Load Pricing Results'!$A$13:$G$23,2,0)</f>
        <v>52743.820568334835</v>
      </c>
      <c r="C5" s="428">
        <f>VLOOKUP(IFERROR(TRIM(LEFT(A5,SEARCH(" ",A5,1))),A5),'BRA Resource Clearing Results'!$A$27:$G$42,6,0)-VLOOKUP(IFERROR(TRIM(LEFT(A5,SEARCH(" ",A5,1))),A5),'3rdIA Resource Clearing Results'!$A$26:$D$41,4,0)</f>
        <v>51298.299999999996</v>
      </c>
      <c r="D5" s="428">
        <v>1445.5205683348395</v>
      </c>
      <c r="E5" s="99">
        <f>_xlfn.IFNA(VLOOKUP(IFERROR(TRIM(LEFT(A5,SEARCH(" ",A5,1))),A5),'3rdIA Resource Clearing Results'!$A$104:$B$118,2,0),0)</f>
        <v>0</v>
      </c>
      <c r="F5" s="39">
        <f>D5-E5</f>
        <v>1445.5205683348395</v>
      </c>
      <c r="G5" s="39">
        <f>IF(F5&gt;='3rd IA ICTRs'!B49,'3rd IA ICTRs'!B47,'3rd IA ICTRs'!C47)</f>
        <v>980.68650322324402</v>
      </c>
      <c r="H5" s="39">
        <f>IF(F5&gt;='3rd IA ICTRs'!B49,'3rd IA ICTRs'!B14+'3rd IA ICTRs'!B33,'3rd IA ICTRs'!C14+'3rd IA ICTRs'!C33)</f>
        <v>464.83406511159541</v>
      </c>
      <c r="I5" s="429">
        <f>F5-G5-H5</f>
        <v>0</v>
      </c>
      <c r="J5" s="210"/>
      <c r="K5" s="366"/>
      <c r="M5" s="430"/>
      <c r="N5" s="430"/>
      <c r="O5" s="430"/>
      <c r="P5" s="430"/>
      <c r="Q5" s="430"/>
      <c r="R5" s="430"/>
      <c r="S5" s="430"/>
      <c r="T5" s="430"/>
      <c r="U5" s="430"/>
      <c r="V5" s="430"/>
      <c r="W5" s="430"/>
    </row>
    <row r="6" spans="1:29" x14ac:dyDescent="0.2">
      <c r="A6" s="274" t="s">
        <v>32</v>
      </c>
      <c r="B6" s="427">
        <f>VLOOKUP(A6,'3rd IA Load Pricing Results'!$A$13:$G$23,2,0)</f>
        <v>28766.674821113102</v>
      </c>
      <c r="C6" s="428">
        <f>VLOOKUP(IFERROR(TRIM(LEFT(A6,SEARCH(" ",A6,1))),A6),'BRA Resource Clearing Results'!$A$27:$G$42,6,0)-VLOOKUP(IFERROR(TRIM(LEFT(A6,SEARCH(" ",A6,1))),A6),'3rdIA Resource Clearing Results'!$A$26:$D$41,4,0)</f>
        <v>24946.1</v>
      </c>
      <c r="D6" s="428">
        <v>3820.5748211131031</v>
      </c>
      <c r="E6" s="99">
        <f>_xlfn.IFNA(VLOOKUP(IFERROR(TRIM(LEFT(A6,SEARCH(" ",A6,1))),A6),'3rdIA Resource Clearing Results'!$A$104:$B$118,2,0),0)</f>
        <v>0</v>
      </c>
      <c r="F6" s="431">
        <f t="shared" ref="F6:F17" si="0">D6-E6</f>
        <v>3820.5748211131031</v>
      </c>
      <c r="G6" s="39">
        <f>'3rd IA ICTRs'!D47</f>
        <v>40</v>
      </c>
      <c r="H6" s="39">
        <f>'3rd IA ICTRs'!D14+'3rd IA ICTRs'!D33</f>
        <v>948</v>
      </c>
      <c r="I6" s="429">
        <f t="shared" ref="I6:I17" si="1">F6-G6-H6</f>
        <v>2832.5748211131031</v>
      </c>
      <c r="J6" s="210"/>
      <c r="M6" s="430" t="s">
        <v>23</v>
      </c>
      <c r="N6" s="430"/>
      <c r="O6" s="430"/>
      <c r="P6" s="430"/>
      <c r="Q6" s="430"/>
      <c r="R6" s="430"/>
      <c r="S6" s="430"/>
      <c r="T6" s="430"/>
      <c r="U6" s="430"/>
      <c r="V6" s="430"/>
      <c r="W6" s="430"/>
    </row>
    <row r="7" spans="1:29" x14ac:dyDescent="0.2">
      <c r="A7" s="274" t="s">
        <v>4</v>
      </c>
      <c r="B7" s="427">
        <f>VLOOKUP(A7,'3rd IA Load Pricing Results'!$A$13:$G$23,2,0)</f>
        <v>11561.293208564726</v>
      </c>
      <c r="C7" s="428">
        <f>VLOOKUP(IFERROR(TRIM(LEFT(A7,SEARCH(" ",A7,1))),A7),'BRA Resource Clearing Results'!$A$27:$G$42,6,0)-VLOOKUP(IFERROR(TRIM(LEFT(A7,SEARCH(" ",A7,1))),A7),'3rdIA Resource Clearing Results'!$A$26:$D$41,4,0)</f>
        <v>5128.8</v>
      </c>
      <c r="D7" s="428">
        <v>6432.493208564726</v>
      </c>
      <c r="E7" s="99">
        <f>_xlfn.IFNA(VLOOKUP(IFERROR(TRIM(LEFT(A7,SEARCH(" ",A7,1))),A7),'3rdIA Resource Clearing Results'!$A$104:$B$118,2,0),0)</f>
        <v>0</v>
      </c>
      <c r="F7" s="431">
        <f t="shared" si="0"/>
        <v>6432.493208564726</v>
      </c>
      <c r="G7" s="35">
        <f>'3rd IA ICTRs'!E47</f>
        <v>0</v>
      </c>
      <c r="H7" s="39">
        <f>'3rd IA ICTRs'!E14+'3rd IA ICTRs'!E33</f>
        <v>1722</v>
      </c>
      <c r="I7" s="429">
        <f t="shared" si="1"/>
        <v>4710.493208564726</v>
      </c>
      <c r="J7" s="210"/>
      <c r="M7" s="430"/>
      <c r="N7" s="430"/>
      <c r="O7" s="430"/>
      <c r="P7" s="430"/>
      <c r="Q7" s="430"/>
      <c r="R7" s="430"/>
      <c r="S7" s="430"/>
      <c r="T7" s="430"/>
      <c r="U7" s="430"/>
      <c r="V7" s="430"/>
      <c r="W7" s="430"/>
    </row>
    <row r="8" spans="1:29" x14ac:dyDescent="0.2">
      <c r="A8" s="274" t="s">
        <v>39</v>
      </c>
      <c r="B8" s="427">
        <f>'3rd IA Load Pricing Results'!K62</f>
        <v>9338.2970002177681</v>
      </c>
      <c r="C8" s="428">
        <f>'3rd IA Load Pricing Results'!C31</f>
        <v>4410.5</v>
      </c>
      <c r="D8" s="428">
        <v>4927.7970002177681</v>
      </c>
      <c r="E8" s="99">
        <f>_xlfn.IFNA(VLOOKUP(IFERROR(TRIM(LEFT(A8,SEARCH(" ",A8,1))),A8),'3rdIA Resource Clearing Results'!$A$104:$B$118,2,0),0)</f>
        <v>0</v>
      </c>
      <c r="F8" s="431">
        <f t="shared" si="0"/>
        <v>4927.7970002177681</v>
      </c>
      <c r="G8" s="39">
        <f>IFERROR(('3rd IA ICTRs'!B94+'3rd IA ICTRs'!B95)/L22,0)</f>
        <v>0</v>
      </c>
      <c r="H8" s="35">
        <f>'3rd IA ICTRs'!F14+'3rd IA ICTRs'!F33+'3rd IA ICTRs'!G14+'3rd IA ICTRs'!G33</f>
        <v>1289.4000000000001</v>
      </c>
      <c r="I8" s="429">
        <f>F8-G8-H8</f>
        <v>3638.397000217768</v>
      </c>
      <c r="J8" s="210"/>
      <c r="L8" s="432"/>
      <c r="M8" s="430"/>
      <c r="N8" s="430"/>
      <c r="O8" s="430"/>
      <c r="P8" s="430"/>
      <c r="Q8" s="430"/>
      <c r="R8" s="430"/>
      <c r="S8" s="430"/>
      <c r="T8" s="430"/>
      <c r="U8" s="430"/>
      <c r="V8" s="430"/>
      <c r="W8" s="430"/>
    </row>
    <row r="9" spans="1:29" x14ac:dyDescent="0.2">
      <c r="A9" s="274" t="s">
        <v>37</v>
      </c>
      <c r="B9" s="427">
        <f>'3rd IA Load Pricing Results'!K53</f>
        <v>3587.6265862448768</v>
      </c>
      <c r="C9" s="428">
        <f>'3rd IA Load Pricing Results'!C34</f>
        <v>3951.0000000000005</v>
      </c>
      <c r="D9" s="428">
        <v>-363.37341375512369</v>
      </c>
      <c r="E9" s="99">
        <f>_xlfn.IFNA(VLOOKUP(IFERROR(TRIM(LEFT(A9,SEARCH(" ",A9,1))),A9),'3rdIA Resource Clearing Results'!$A$104:$B$118,2,0),0)</f>
        <v>0</v>
      </c>
      <c r="F9" s="433">
        <f t="shared" si="0"/>
        <v>-363.37341375512369</v>
      </c>
      <c r="G9" s="39">
        <f>'3rd IA ICTRs'!H47</f>
        <v>72</v>
      </c>
      <c r="H9" s="35">
        <f>'3rd IA ICTRs'!I14+'3rd IA ICTRs'!I33</f>
        <v>0</v>
      </c>
      <c r="I9" s="429">
        <f>F9-G9-H9</f>
        <v>-435.37341375512369</v>
      </c>
      <c r="J9" s="210"/>
      <c r="M9" s="430"/>
      <c r="N9" s="430"/>
      <c r="O9" s="430"/>
      <c r="P9" s="430"/>
      <c r="Q9" s="430"/>
      <c r="R9" s="430"/>
      <c r="S9" s="430"/>
      <c r="T9" s="430"/>
      <c r="U9" s="430"/>
      <c r="V9" s="430"/>
      <c r="W9" s="430"/>
    </row>
    <row r="10" spans="1:29" x14ac:dyDescent="0.2">
      <c r="A10" s="274" t="s">
        <v>14</v>
      </c>
      <c r="B10" s="427">
        <f>VLOOKUP(A10,'3rd IA Load Pricing Results'!$A$13:$G$23,2,0)</f>
        <v>5555.5872706890168</v>
      </c>
      <c r="C10" s="428">
        <f>VLOOKUP(IFERROR(TRIM(LEFT(A10,SEARCH(" ",A10,1))),A10),'BRA Resource Clearing Results'!$A$27:$G$42,6,0)-VLOOKUP(IFERROR(TRIM(LEFT(A10,SEARCH(" ",A10,1))),A10),'3rdIA Resource Clearing Results'!$A$26:$D$41,4,0)</f>
        <v>2333.6999999999998</v>
      </c>
      <c r="D10" s="428">
        <v>3221.887270689017</v>
      </c>
      <c r="E10" s="99">
        <f>_xlfn.IFNA(VLOOKUP(IFERROR(TRIM(LEFT(A10,SEARCH(" ",A10,1))),A10),'3rdIA Resource Clearing Results'!$A$104:$B$118,2,0),0)</f>
        <v>0</v>
      </c>
      <c r="F10" s="39">
        <f t="shared" si="0"/>
        <v>3221.887270689017</v>
      </c>
      <c r="G10" s="39">
        <f>'3rd IA ICTRs'!J47</f>
        <v>0</v>
      </c>
      <c r="H10" s="39">
        <f>'3rd IA ICTRs'!J14+'3rd IA ICTRs'!J33</f>
        <v>175</v>
      </c>
      <c r="I10" s="429">
        <f>F10-G10-H10</f>
        <v>3046.887270689017</v>
      </c>
      <c r="J10" s="210"/>
      <c r="M10" s="430"/>
      <c r="N10" s="430"/>
      <c r="O10" s="430"/>
      <c r="P10" s="430"/>
      <c r="Q10" s="430"/>
      <c r="R10" s="430"/>
      <c r="S10" s="430"/>
      <c r="T10" s="430"/>
      <c r="U10" s="430"/>
      <c r="V10" s="430"/>
      <c r="W10" s="430"/>
    </row>
    <row r="11" spans="1:29" ht="15.75" x14ac:dyDescent="0.25">
      <c r="A11" s="274" t="s">
        <v>98</v>
      </c>
      <c r="B11" s="427">
        <f>'3rd IA Load Pricing Results'!K46</f>
        <v>11792.538105237802</v>
      </c>
      <c r="C11" s="428">
        <f>'3rd IA Load Pricing Results'!C37</f>
        <v>7927.9</v>
      </c>
      <c r="D11" s="428">
        <v>3864.6381052378019</v>
      </c>
      <c r="E11" s="99">
        <f>_xlfn.IFNA(VLOOKUP(IFERROR(TRIM(LEFT(A11,SEARCH(" ",A11,1))),A11),'3rdIA Resource Clearing Results'!$A$104:$B$118,2,0),0)</f>
        <v>0</v>
      </c>
      <c r="F11" s="39">
        <f t="shared" si="0"/>
        <v>3864.6381052378019</v>
      </c>
      <c r="G11" s="39">
        <v>0</v>
      </c>
      <c r="H11" s="39">
        <v>0</v>
      </c>
      <c r="I11" s="429">
        <f t="shared" si="1"/>
        <v>3864.6381052378019</v>
      </c>
      <c r="J11" s="210"/>
      <c r="L11" s="510"/>
      <c r="M11" s="430"/>
      <c r="N11" s="430"/>
      <c r="O11" s="430"/>
      <c r="P11" s="430"/>
      <c r="Q11" s="430"/>
      <c r="R11" s="430"/>
      <c r="S11" s="430"/>
      <c r="T11" s="430"/>
      <c r="U11" s="430"/>
      <c r="V11" s="430"/>
      <c r="W11" s="430"/>
    </row>
    <row r="12" spans="1:29" x14ac:dyDescent="0.2">
      <c r="A12" s="274" t="s">
        <v>19</v>
      </c>
      <c r="B12" s="427">
        <f>VLOOKUP(A12,'3rd IA Load Pricing Results'!$A$13:$G$23,2,0)</f>
        <v>18167.474577719084</v>
      </c>
      <c r="C12" s="428">
        <f>VLOOKUP(IFERROR(TRIM(LEFT(A12,SEARCH(" ",A12,1))),A12),'BRA Resource Clearing Results'!$A$27:$G$42,6,0)-VLOOKUP(IFERROR(TRIM(LEFT(A12,SEARCH(" ",A12,1))),A12),'3rdIA Resource Clearing Results'!$A$26:$D$41,4,0)</f>
        <v>21631.300000000003</v>
      </c>
      <c r="D12" s="428">
        <v>-3463.8254222809192</v>
      </c>
      <c r="E12" s="99">
        <f>_xlfn.IFNA(VLOOKUP(IFERROR(TRIM(LEFT(A12,SEARCH(" ",A12,1))),A12),'3rdIA Resource Clearing Results'!$A$104:$B$118,2,0),0)</f>
        <v>0</v>
      </c>
      <c r="F12" s="39">
        <f t="shared" si="0"/>
        <v>-3463.8254222809192</v>
      </c>
      <c r="G12" s="39">
        <f>'3rd IA ICTRs'!M47</f>
        <v>1376</v>
      </c>
      <c r="H12" s="39">
        <f>'3rd IA ICTRs'!M14+'3rd IA ICTRs'!M33</f>
        <v>0</v>
      </c>
      <c r="I12" s="429">
        <f t="shared" si="1"/>
        <v>-4839.8254222809192</v>
      </c>
      <c r="J12" s="210"/>
      <c r="M12" s="430"/>
      <c r="N12" s="430"/>
      <c r="O12" s="430"/>
      <c r="P12" s="430"/>
      <c r="Q12" s="430"/>
      <c r="R12" s="430"/>
      <c r="S12" s="430"/>
      <c r="T12" s="430"/>
      <c r="U12" s="430"/>
      <c r="V12" s="430"/>
      <c r="W12" s="430"/>
    </row>
    <row r="13" spans="1:29" x14ac:dyDescent="0.2">
      <c r="A13" s="274" t="s">
        <v>10</v>
      </c>
      <c r="B13" s="427">
        <f>VLOOKUP(A13,'3rd IA Load Pricing Results'!$A$13:$G$23,2,0)</f>
        <v>6005.7059378757085</v>
      </c>
      <c r="C13" s="428">
        <f>VLOOKUP(IFERROR(TRIM(LEFT(A13,SEARCH(" ",A13,1))),A13),'BRA Resource Clearing Results'!$A$27:$G$42,6,0)-VLOOKUP(IFERROR(TRIM(LEFT(A13,SEARCH(" ",A13,1))),A13),'3rdIA Resource Clearing Results'!$A$26:$D$41,4,0)</f>
        <v>609.79999999999995</v>
      </c>
      <c r="D13" s="428">
        <v>5395.9059378757083</v>
      </c>
      <c r="E13" s="99">
        <f>_xlfn.IFNA(VLOOKUP(IFERROR(TRIM(LEFT(A13,SEARCH(" ",A13,1))),A13),'3rdIA Resource Clearing Results'!$A$104:$B$118,2,0),0)</f>
        <v>0</v>
      </c>
      <c r="F13" s="39">
        <f t="shared" si="0"/>
        <v>5395.9059378757083</v>
      </c>
      <c r="G13" s="35">
        <f>'3rd IA ICTRs'!K47</f>
        <v>65.7</v>
      </c>
      <c r="H13" s="39">
        <f>'3rd IA ICTRs'!K14+'3rd IA ICTRs'!K33</f>
        <v>306</v>
      </c>
      <c r="I13" s="429">
        <f>F13-G13-H13</f>
        <v>5024.2059378757085</v>
      </c>
      <c r="J13" s="210"/>
      <c r="M13" s="430"/>
      <c r="N13" s="430"/>
      <c r="O13" s="430"/>
      <c r="P13" s="430"/>
      <c r="Q13" s="430"/>
      <c r="R13" s="430"/>
      <c r="S13" s="430"/>
      <c r="T13" s="430"/>
      <c r="U13" s="430"/>
      <c r="V13" s="430"/>
      <c r="W13" s="430"/>
    </row>
    <row r="14" spans="1:29" x14ac:dyDescent="0.2">
      <c r="A14" s="274" t="s">
        <v>9</v>
      </c>
      <c r="B14" s="427">
        <f>VLOOKUP(A14,'3rd IA Load Pricing Results'!$A$13:$G$23,2,0)</f>
        <v>6904.9916471599026</v>
      </c>
      <c r="C14" s="428">
        <f>VLOOKUP(IFERROR(TRIM(LEFT(A14,SEARCH(" ",A14,1))),A14),'BRA Resource Clearing Results'!$A$27:$G$42,6,0)-VLOOKUP(IFERROR(TRIM(LEFT(A14,SEARCH(" ",A14,1))),A14),'3rdIA Resource Clearing Results'!$A$26:$D$41,4,0)</f>
        <v>8621</v>
      </c>
      <c r="D14" s="428">
        <v>-1716.0083528400974</v>
      </c>
      <c r="E14" s="99">
        <f>_xlfn.IFNA(VLOOKUP(IFERROR(TRIM(LEFT(A14,SEARCH(" ",A14,1))),A14),'3rdIA Resource Clearing Results'!$A$104:$B$118,2,0),0)</f>
        <v>0</v>
      </c>
      <c r="F14" s="39">
        <f t="shared" si="0"/>
        <v>-1716.0083528400974</v>
      </c>
      <c r="G14" s="338">
        <v>0</v>
      </c>
      <c r="H14" s="39">
        <v>0</v>
      </c>
      <c r="I14" s="429">
        <f t="shared" si="1"/>
        <v>-1716.0083528400974</v>
      </c>
      <c r="J14" s="210"/>
      <c r="M14" s="430"/>
      <c r="N14" s="430"/>
      <c r="O14" s="430"/>
      <c r="P14" s="430"/>
      <c r="Q14" s="430"/>
      <c r="R14" s="430"/>
      <c r="S14" s="430"/>
      <c r="T14" s="430"/>
      <c r="U14" s="430"/>
      <c r="V14" s="430"/>
      <c r="W14" s="430"/>
    </row>
    <row r="15" spans="1:29" x14ac:dyDescent="0.2">
      <c r="A15" s="100" t="s">
        <v>20</v>
      </c>
      <c r="B15" s="427">
        <f>VLOOKUP(A15,'3rd IA Load Pricing Results'!$A$13:$G$23,2,0)</f>
        <v>3009.0385320175869</v>
      </c>
      <c r="C15" s="428">
        <f>VLOOKUP(IFERROR(TRIM(LEFT(A15,SEARCH(" ",A15,1))),A15),'BRA Resource Clearing Results'!$A$27:$G$42,6,0)-VLOOKUP(IFERROR(TRIM(LEFT(A15,SEARCH(" ",A15,1))),A15),'3rdIA Resource Clearing Results'!$A$26:$D$41,4,0)</f>
        <v>916</v>
      </c>
      <c r="D15" s="428">
        <v>2093.0385320175869</v>
      </c>
      <c r="E15" s="99">
        <f>_xlfn.IFNA(VLOOKUP(IFERROR(TRIM(LEFT(A15,SEARCH(" ",A15,1))),A15),'3rdIA Resource Clearing Results'!$A$104:$B$118,2,0),0)</f>
        <v>0</v>
      </c>
      <c r="F15" s="39">
        <f t="shared" si="0"/>
        <v>2093.0385320175869</v>
      </c>
      <c r="G15" s="39">
        <v>0</v>
      </c>
      <c r="H15" s="39">
        <v>0</v>
      </c>
      <c r="I15" s="429">
        <f t="shared" si="1"/>
        <v>2093.0385320175869</v>
      </c>
      <c r="J15" s="210"/>
      <c r="M15" s="430"/>
      <c r="N15" s="430"/>
      <c r="O15" s="430"/>
      <c r="P15" s="430"/>
      <c r="Q15" s="430"/>
      <c r="R15" s="430"/>
      <c r="S15" s="430"/>
      <c r="T15" s="430"/>
      <c r="U15" s="430"/>
      <c r="V15" s="430"/>
      <c r="W15" s="430"/>
    </row>
    <row r="16" spans="1:29" x14ac:dyDescent="0.2">
      <c r="A16" s="434" t="s">
        <v>49</v>
      </c>
      <c r="B16" s="427">
        <f>VLOOKUP(A16,'3rd IA Load Pricing Results'!$A$13:$G$23,2,0)</f>
        <v>4069.1488813748269</v>
      </c>
      <c r="C16" s="428">
        <f>VLOOKUP(IFERROR(TRIM(LEFT(A16,SEARCH(" ",A16,1))),A16),'BRA Resource Clearing Results'!$A$27:$G$42,6,0)-VLOOKUP(IFERROR(TRIM(LEFT(A16,SEARCH(" ",A16,1))),A16),'3rdIA Resource Clearing Results'!$A$26:$D$41,4,0)</f>
        <v>1653.1</v>
      </c>
      <c r="D16" s="428">
        <v>2416.048881374827</v>
      </c>
      <c r="E16" s="99">
        <f>_xlfn.IFNA(VLOOKUP(IFERROR(TRIM(LEFT(A16,SEARCH(" ",A16,1))),A16),'3rdIA Resource Clearing Results'!$A$104:$B$118,2,0),0)</f>
        <v>0</v>
      </c>
      <c r="F16" s="39">
        <f t="shared" si="0"/>
        <v>2416.048881374827</v>
      </c>
      <c r="G16" s="39">
        <f>'3rd IA ICTRs'!L47</f>
        <v>155</v>
      </c>
      <c r="H16" s="39">
        <f>'3rd IA ICTRs'!L14+'3rd IA ICTRs'!L33</f>
        <v>0</v>
      </c>
      <c r="I16" s="429">
        <f t="shared" si="1"/>
        <v>2261.048881374827</v>
      </c>
      <c r="J16" s="210"/>
      <c r="M16" s="430"/>
      <c r="N16" s="430"/>
      <c r="O16" s="430"/>
      <c r="P16" s="430"/>
      <c r="Q16" s="430"/>
      <c r="R16" s="430"/>
      <c r="S16" s="430"/>
      <c r="T16" s="430" t="s">
        <v>23</v>
      </c>
      <c r="U16" s="430"/>
      <c r="V16" s="430"/>
      <c r="W16" s="430"/>
    </row>
    <row r="17" spans="1:35" x14ac:dyDescent="0.2">
      <c r="A17" s="434" t="s">
        <v>29</v>
      </c>
      <c r="B17" s="427">
        <f>VLOOKUP(A17,'3rd IA Load Pricing Results'!$A$13:$G$23,2,0)</f>
        <v>21570.485896661179</v>
      </c>
      <c r="C17" s="428">
        <f>VLOOKUP(IFERROR(TRIM(LEFT(A17,SEARCH(" ",A17,1))),A17),'BRA Resource Clearing Results'!$A$27:$G$42,6,0)-VLOOKUP(IFERROR(TRIM(LEFT(A17,SEARCH(" ",A17,1))),A17),'3rdIA Resource Clearing Results'!$A$26:$D$41,4,0)</f>
        <v>19817.900000000001</v>
      </c>
      <c r="D17" s="428">
        <v>1752.5858966611777</v>
      </c>
      <c r="E17" s="99">
        <f>_xlfn.IFNA(VLOOKUP(IFERROR(TRIM(LEFT(A17,SEARCH(" ",A17,1))),A17),'3rdIA Resource Clearing Results'!$A$104:$B$118,2,0),0)</f>
        <v>0</v>
      </c>
      <c r="F17" s="39">
        <f t="shared" si="0"/>
        <v>1752.5858966611777</v>
      </c>
      <c r="G17" s="35">
        <v>0</v>
      </c>
      <c r="H17" s="39">
        <v>0</v>
      </c>
      <c r="I17" s="429">
        <f t="shared" si="1"/>
        <v>1752.5858966611777</v>
      </c>
      <c r="J17" s="210"/>
      <c r="M17" s="430"/>
      <c r="N17" s="430"/>
      <c r="O17" s="430"/>
      <c r="P17" s="430"/>
      <c r="Q17" s="430"/>
      <c r="R17" s="430"/>
      <c r="S17" s="430"/>
      <c r="T17" s="430"/>
      <c r="U17" s="430"/>
      <c r="V17" s="430"/>
      <c r="W17" s="430"/>
    </row>
    <row r="18" spans="1:35" x14ac:dyDescent="0.2">
      <c r="A18" s="14" t="s">
        <v>445</v>
      </c>
      <c r="B18" s="24"/>
      <c r="C18" s="24"/>
      <c r="D18" s="46"/>
      <c r="E18" s="16"/>
      <c r="F18" s="46"/>
      <c r="G18" s="47"/>
      <c r="H18" s="435"/>
      <c r="I18" s="47"/>
      <c r="J18" s="436"/>
      <c r="K18" s="437"/>
      <c r="N18" s="430"/>
      <c r="O18" s="430"/>
      <c r="P18" s="430"/>
      <c r="Q18" s="430"/>
      <c r="R18" s="430"/>
      <c r="S18" s="430"/>
      <c r="T18" s="430" t="s">
        <v>23</v>
      </c>
      <c r="U18" s="430"/>
      <c r="V18" s="430"/>
      <c r="W18" s="430"/>
      <c r="X18" s="430"/>
      <c r="Y18" s="430"/>
      <c r="Z18" s="430"/>
      <c r="AA18" s="430"/>
      <c r="AB18" s="430"/>
    </row>
    <row r="19" spans="1:35" x14ac:dyDescent="0.2">
      <c r="A19" s="438"/>
      <c r="B19" s="9"/>
      <c r="C19" s="9"/>
      <c r="D19" s="439"/>
      <c r="E19" s="9"/>
      <c r="F19" s="439"/>
      <c r="G19" s="440"/>
      <c r="H19" s="441"/>
      <c r="I19" s="440"/>
      <c r="J19" s="436"/>
      <c r="K19" s="437"/>
      <c r="N19" s="430"/>
      <c r="O19" s="430"/>
      <c r="P19" s="430"/>
      <c r="Q19" s="430"/>
      <c r="R19" s="430"/>
      <c r="S19" s="430"/>
      <c r="T19" s="430"/>
      <c r="U19" s="430"/>
      <c r="V19" s="430"/>
      <c r="W19" s="430"/>
      <c r="X19" s="430"/>
      <c r="Y19" s="430"/>
      <c r="Z19" s="430"/>
      <c r="AA19" s="430"/>
      <c r="AB19" s="430"/>
    </row>
    <row r="20" spans="1:35" ht="14.25" x14ac:dyDescent="0.2">
      <c r="A20" s="577" t="s">
        <v>75</v>
      </c>
      <c r="B20" s="577"/>
      <c r="C20" s="577"/>
      <c r="D20" s="577"/>
      <c r="E20" s="442"/>
      <c r="F20" s="443"/>
      <c r="G20" s="443"/>
      <c r="H20" s="443"/>
      <c r="I20" s="443"/>
      <c r="J20" s="443"/>
      <c r="K20" s="443"/>
      <c r="L20" s="443"/>
      <c r="M20" s="443"/>
      <c r="N20" s="443"/>
      <c r="O20" s="443"/>
      <c r="P20" s="443"/>
      <c r="Q20" s="443"/>
      <c r="R20" s="443"/>
      <c r="S20" s="443"/>
      <c r="T20" s="443"/>
      <c r="U20" s="443"/>
      <c r="V20" s="443"/>
      <c r="W20" s="444" t="s">
        <v>23</v>
      </c>
      <c r="X20" s="443"/>
      <c r="Y20" s="443"/>
      <c r="Z20" s="443"/>
      <c r="AA20" s="443"/>
      <c r="AB20" s="443"/>
      <c r="AC20" s="443"/>
    </row>
    <row r="21" spans="1:35" ht="15" x14ac:dyDescent="0.25">
      <c r="A21" s="577"/>
      <c r="B21" s="577"/>
      <c r="C21" s="577"/>
      <c r="D21" s="577"/>
      <c r="E21" s="601" t="s">
        <v>27</v>
      </c>
      <c r="F21" s="601"/>
      <c r="G21" s="601" t="s">
        <v>32</v>
      </c>
      <c r="H21" s="601"/>
      <c r="I21" s="601" t="s">
        <v>4</v>
      </c>
      <c r="J21" s="601"/>
      <c r="K21" s="601" t="s">
        <v>39</v>
      </c>
      <c r="L21" s="601"/>
      <c r="M21" s="601" t="s">
        <v>37</v>
      </c>
      <c r="N21" s="601"/>
      <c r="O21" s="601" t="s">
        <v>14</v>
      </c>
      <c r="P21" s="601"/>
      <c r="Q21" s="601" t="s">
        <v>98</v>
      </c>
      <c r="R21" s="601"/>
      <c r="S21" s="601" t="s">
        <v>19</v>
      </c>
      <c r="T21" s="601"/>
      <c r="U21" s="601" t="s">
        <v>10</v>
      </c>
      <c r="V21" s="601"/>
      <c r="W21" s="601" t="s">
        <v>9</v>
      </c>
      <c r="X21" s="602"/>
      <c r="Y21" s="599" t="s">
        <v>20</v>
      </c>
      <c r="Z21" s="599"/>
      <c r="AA21" s="599" t="s">
        <v>49</v>
      </c>
      <c r="AB21" s="599"/>
      <c r="AC21" s="599" t="s">
        <v>29</v>
      </c>
      <c r="AD21" s="599"/>
      <c r="AE21" s="445"/>
      <c r="AF21" s="445"/>
      <c r="AG21" s="445"/>
      <c r="AH21" s="14"/>
    </row>
    <row r="22" spans="1:35" ht="45" x14ac:dyDescent="0.25">
      <c r="A22" s="603"/>
      <c r="B22" s="603"/>
      <c r="C22" s="603"/>
      <c r="D22" s="603"/>
      <c r="E22" s="446" t="s">
        <v>386</v>
      </c>
      <c r="F22" s="447">
        <f>VLOOKUP(E21,'3rd IA Load Pricing Results'!$A$13:$D$23,4,0)</f>
        <v>0</v>
      </c>
      <c r="G22" s="446" t="s">
        <v>386</v>
      </c>
      <c r="H22" s="447">
        <f>VLOOKUP(G21,'3rd IA Load Pricing Results'!$A$13:$D$23,4,0)-F22</f>
        <v>0</v>
      </c>
      <c r="I22" s="446" t="s">
        <v>386</v>
      </c>
      <c r="J22" s="447">
        <f>VLOOKUP(I21,'3rd IA Load Pricing Results'!$A$13:$D$23,4,0)-F22</f>
        <v>0</v>
      </c>
      <c r="K22" s="446" t="s">
        <v>386</v>
      </c>
      <c r="L22" s="447">
        <f>'3rd IA Load Pricing Results'!D31</f>
        <v>0</v>
      </c>
      <c r="M22" s="446" t="s">
        <v>386</v>
      </c>
      <c r="N22" s="447">
        <f>'3rd IA Load Pricing Results'!D34</f>
        <v>0</v>
      </c>
      <c r="O22" s="446" t="s">
        <v>386</v>
      </c>
      <c r="P22" s="447">
        <f>VLOOKUP(O21,'3rd IA Load Pricing Results'!$A$13:$D$23,4,0)--J22-F22</f>
        <v>0</v>
      </c>
      <c r="Q22" s="446" t="s">
        <v>386</v>
      </c>
      <c r="R22" s="448">
        <f>'3rd IA Load Pricing Results'!D37</f>
        <v>0</v>
      </c>
      <c r="S22" s="446" t="s">
        <v>386</v>
      </c>
      <c r="T22" s="448">
        <f>VLOOKUP(S21,'3rd IA Load Pricing Results'!$A$13:$D$23,4,0)</f>
        <v>0</v>
      </c>
      <c r="U22" s="446" t="s">
        <v>386</v>
      </c>
      <c r="V22" s="448">
        <f>VLOOKUP(U21,'3rd IA Load Pricing Results'!$A$13:$D$23,4,0)-J22-F22</f>
        <v>196.61694489996719</v>
      </c>
      <c r="W22" s="446" t="s">
        <v>386</v>
      </c>
      <c r="X22" s="449">
        <f>VLOOKUP(W21,'3rd IA Load Pricing Results'!$A$13:$D$23,4,0)-F22</f>
        <v>0</v>
      </c>
      <c r="Y22" s="446" t="s">
        <v>386</v>
      </c>
      <c r="Z22" s="448">
        <f>VLOOKUP(Y21,'3rd IA Load Pricing Results'!$A$13:$D$23,4,0)</f>
        <v>0</v>
      </c>
      <c r="AA22" s="446" t="s">
        <v>386</v>
      </c>
      <c r="AB22" s="448">
        <f>VLOOKUP(AA21,'3rd IA Load Pricing Results'!$A$13:$D$23,4,0)</f>
        <v>0</v>
      </c>
      <c r="AC22" s="446" t="s">
        <v>40</v>
      </c>
      <c r="AD22" s="448">
        <f>VLOOKUP(AC21,'3rd IA Load Pricing Results'!$A$13:$D$23,4,0)</f>
        <v>176.37828750775813</v>
      </c>
      <c r="AE22" s="450"/>
      <c r="AF22" s="445"/>
      <c r="AG22" s="445"/>
      <c r="AH22" s="14"/>
    </row>
    <row r="23" spans="1:35" ht="76.5" x14ac:dyDescent="0.2">
      <c r="A23" s="451" t="s">
        <v>6</v>
      </c>
      <c r="B23" s="167" t="s">
        <v>26</v>
      </c>
      <c r="C23" s="167" t="s">
        <v>25</v>
      </c>
      <c r="D23" s="167" t="s">
        <v>30</v>
      </c>
      <c r="E23" s="167" t="s">
        <v>387</v>
      </c>
      <c r="F23" s="167" t="s">
        <v>388</v>
      </c>
      <c r="G23" s="167" t="s">
        <v>387</v>
      </c>
      <c r="H23" s="167" t="s">
        <v>388</v>
      </c>
      <c r="I23" s="167" t="s">
        <v>387</v>
      </c>
      <c r="J23" s="167" t="s">
        <v>388</v>
      </c>
      <c r="K23" s="167" t="s">
        <v>387</v>
      </c>
      <c r="L23" s="167" t="s">
        <v>388</v>
      </c>
      <c r="M23" s="167" t="s">
        <v>387</v>
      </c>
      <c r="N23" s="167" t="s">
        <v>388</v>
      </c>
      <c r="O23" s="167" t="s">
        <v>387</v>
      </c>
      <c r="P23" s="167" t="s">
        <v>388</v>
      </c>
      <c r="Q23" s="167" t="s">
        <v>387</v>
      </c>
      <c r="R23" s="167" t="s">
        <v>388</v>
      </c>
      <c r="S23" s="167" t="s">
        <v>387</v>
      </c>
      <c r="T23" s="167" t="s">
        <v>388</v>
      </c>
      <c r="U23" s="167" t="s">
        <v>387</v>
      </c>
      <c r="V23" s="167" t="s">
        <v>388</v>
      </c>
      <c r="W23" s="167" t="s">
        <v>387</v>
      </c>
      <c r="X23" s="452" t="s">
        <v>388</v>
      </c>
      <c r="Y23" s="167" t="s">
        <v>387</v>
      </c>
      <c r="Z23" s="452" t="s">
        <v>388</v>
      </c>
      <c r="AA23" s="167" t="s">
        <v>387</v>
      </c>
      <c r="AB23" s="452" t="s">
        <v>388</v>
      </c>
      <c r="AC23" s="167" t="s">
        <v>121</v>
      </c>
      <c r="AD23" s="452" t="s">
        <v>122</v>
      </c>
      <c r="AE23" s="167" t="s">
        <v>389</v>
      </c>
      <c r="AF23" s="167" t="s">
        <v>390</v>
      </c>
      <c r="AG23" s="453" t="s">
        <v>391</v>
      </c>
      <c r="AH23" s="453" t="s">
        <v>392</v>
      </c>
      <c r="AI23" s="451" t="s">
        <v>6</v>
      </c>
    </row>
    <row r="24" spans="1:35" x14ac:dyDescent="0.2">
      <c r="A24" s="15" t="s">
        <v>15</v>
      </c>
      <c r="B24" s="81" t="s">
        <v>27</v>
      </c>
      <c r="C24" s="81" t="s">
        <v>32</v>
      </c>
      <c r="D24" s="81"/>
      <c r="E24" s="454">
        <f>IF(B24="MAAC",ROUND($I$5*'3rd IA Load Pricing Results'!K43/'3rd IA Load Pricing Results'!$B$14,1),0)</f>
        <v>0</v>
      </c>
      <c r="F24" s="455">
        <f>E24*$F$22</f>
        <v>0</v>
      </c>
      <c r="G24" s="454">
        <f>IF(C24="EMAAC",$I$6*'3rd IA Load Pricing Results'!K43/'3rd IA Load Pricing Results'!$B$15,0)</f>
        <v>221.51599050949011</v>
      </c>
      <c r="H24" s="455">
        <f>G24*$H$22</f>
        <v>0</v>
      </c>
      <c r="I24" s="454">
        <f>IF(C24="SWMAAC",$I$7*'3rd IA Load Pricing Results'!K43/'3rd IA Load Pricing Results'!$B$16,0)</f>
        <v>0</v>
      </c>
      <c r="J24" s="455">
        <f>I24*$J$22</f>
        <v>0</v>
      </c>
      <c r="K24" s="454">
        <f>IF(D24="PS",$I$8*'3rd IA Load Pricing Results'!K43/'3rd IA Load Pricing Results'!$K$62,0)</f>
        <v>0</v>
      </c>
      <c r="L24" s="455">
        <f>K24*$L$22</f>
        <v>0</v>
      </c>
      <c r="M24" s="454">
        <f>IF(D24="DPL",$I$9*'3rd IA Load Pricing Results'!K43/'3rd IA Load Pricing Results'!$K$53,0)</f>
        <v>0</v>
      </c>
      <c r="N24" s="455">
        <f>M24*$N$22</f>
        <v>0</v>
      </c>
      <c r="O24" s="454">
        <f>IF(D24="PEPCO",$I$10*'3rd IA Load Pricing Results'!K43/'3rd IA Load Pricing Results'!$K$60,0)</f>
        <v>0</v>
      </c>
      <c r="P24" s="455">
        <f>O24*$P$22</f>
        <v>0</v>
      </c>
      <c r="Q24" s="454">
        <f>IF(D24="ATSI",$I$11*'3rd IA Load Pricing Results'!K43/'3rd IA Load Pricing Results'!$K$46,0)</f>
        <v>0</v>
      </c>
      <c r="R24" s="455">
        <f>Q24*$R$22</f>
        <v>0</v>
      </c>
      <c r="S24" s="454">
        <f>IF(D24="COMED",$I$12*'3rd IA Load Pricing Results'!K43/'3rd IA Load Pricing Results'!$K$48,0)</f>
        <v>0</v>
      </c>
      <c r="T24" s="455">
        <f>S24*$T$22</f>
        <v>0</v>
      </c>
      <c r="U24" s="454">
        <f>IF(D24="BGE",$I$13*'3rd IA Load Pricing Results'!K43/'3rd IA Load Pricing Results'!$K$47,0)</f>
        <v>0</v>
      </c>
      <c r="V24" s="455">
        <f>U24*$V$22</f>
        <v>0</v>
      </c>
      <c r="W24" s="454">
        <f>IF(D24="PL",$I$14*'3rd IA Load Pricing Results'!K43/'3rd IA Load Pricing Results'!$K$61,0)</f>
        <v>0</v>
      </c>
      <c r="X24" s="456">
        <f>W24*$X$22</f>
        <v>0</v>
      </c>
      <c r="Y24" s="454">
        <f>IF(D24="DAYTON",$I$15*'3rd IA Load Pricing Results'!K43/'3rd IA Load Pricing Results'!$K$49,0)</f>
        <v>0</v>
      </c>
      <c r="Z24" s="457">
        <f>Y24*$Z$22</f>
        <v>0</v>
      </c>
      <c r="AA24" s="454">
        <f>IF(D24="DEOK",$I$16*'3rd IA Load Pricing Results'!K43/'3rd IA Load Pricing Results'!$K$50,0)</f>
        <v>0</v>
      </c>
      <c r="AB24" s="457">
        <f>AA24*$AB$22</f>
        <v>0</v>
      </c>
      <c r="AC24" s="454">
        <f>IF(D24=AC$21,$I$17*VLOOKUP(AC$21,'3rd IA Load Pricing Results'!$A$43:$K$63,11,0)/'3rd IA Load Pricing Results'!$K$52,0)</f>
        <v>0</v>
      </c>
      <c r="AD24" s="457">
        <f>AC24*AD$22</f>
        <v>0</v>
      </c>
      <c r="AE24" s="458">
        <f>MAX(E24,G24,I24,K24,M24,O24,Q24,S24,U24,W24,Y24,AA24,AC24)</f>
        <v>221.51599050949011</v>
      </c>
      <c r="AF24" s="23">
        <f>F24+H24+J24+L24+N24+P24+R24+T24+V24+X24+Z24+AB24+AD24</f>
        <v>0</v>
      </c>
      <c r="AG24" s="134">
        <f>AF24/VLOOKUP(AI24,'3rd IA Load Pricing Results'!$A$43:$K$63,11,0)</f>
        <v>0</v>
      </c>
      <c r="AH24" s="134">
        <f>IF(AE24=0,0,AF24/AE24)</f>
        <v>0</v>
      </c>
      <c r="AI24" s="81" t="s">
        <v>15</v>
      </c>
    </row>
    <row r="25" spans="1:35" x14ac:dyDescent="0.2">
      <c r="A25" s="15" t="s">
        <v>28</v>
      </c>
      <c r="B25" s="81"/>
      <c r="C25" s="81"/>
      <c r="D25" s="81"/>
      <c r="E25" s="454">
        <f>IF(B25="MAAC",ROUND($I$5*'3rd IA Load Pricing Results'!K44/'3rd IA Load Pricing Results'!$B$14,1),0)</f>
        <v>0</v>
      </c>
      <c r="F25" s="455">
        <f t="shared" ref="F25:F44" si="2">E25*$F$22</f>
        <v>0</v>
      </c>
      <c r="G25" s="454">
        <f>IF(C25="EMAAC",$I$6*'3rd IA Load Pricing Results'!K44/'3rd IA Load Pricing Results'!$B$15,0)</f>
        <v>0</v>
      </c>
      <c r="H25" s="455">
        <f t="shared" ref="H25:H44" si="3">G25*$H$22</f>
        <v>0</v>
      </c>
      <c r="I25" s="454">
        <f>IF(C25="SWMAAC",$I$7*'3rd IA Load Pricing Results'!K44/'3rd IA Load Pricing Results'!$B$16,0)</f>
        <v>0</v>
      </c>
      <c r="J25" s="455">
        <f t="shared" ref="J25:J44" si="4">I25*$J$22</f>
        <v>0</v>
      </c>
      <c r="K25" s="454">
        <f>IF(D25="PS",$I$8*'3rd IA Load Pricing Results'!K44/'3rd IA Load Pricing Results'!$K$62,0)</f>
        <v>0</v>
      </c>
      <c r="L25" s="455">
        <f t="shared" ref="L25:L44" si="5">K25*$L$22</f>
        <v>0</v>
      </c>
      <c r="M25" s="454">
        <f>IF(D25="DPL",$I$9*'3rd IA Load Pricing Results'!K44/'3rd IA Load Pricing Results'!$K$53,0)</f>
        <v>0</v>
      </c>
      <c r="N25" s="455">
        <f t="shared" ref="N25:N44" si="6">M25*$N$22</f>
        <v>0</v>
      </c>
      <c r="O25" s="454">
        <f>IF(D25="PEPCO",$I$10*'3rd IA Load Pricing Results'!K44/'3rd IA Load Pricing Results'!$K$60,0)</f>
        <v>0</v>
      </c>
      <c r="P25" s="455">
        <f t="shared" ref="P25:P44" si="7">O25*$P$22</f>
        <v>0</v>
      </c>
      <c r="Q25" s="454">
        <f>IF(D25="ATSI",$I$11*'3rd IA Load Pricing Results'!K44/'3rd IA Load Pricing Results'!$K$46,0)</f>
        <v>0</v>
      </c>
      <c r="R25" s="455">
        <f t="shared" ref="R25:R44" si="8">Q25*$R$22</f>
        <v>0</v>
      </c>
      <c r="S25" s="454">
        <f>IF(D25="COMED",$I$12*'3rd IA Load Pricing Results'!K44/'3rd IA Load Pricing Results'!$K$48,0)</f>
        <v>0</v>
      </c>
      <c r="T25" s="455">
        <f t="shared" ref="T25:T44" si="9">S25*$T$22</f>
        <v>0</v>
      </c>
      <c r="U25" s="454">
        <f>IF(D25="BGE",$I$13*'3rd IA Load Pricing Results'!K44/'3rd IA Load Pricing Results'!$K$47,0)</f>
        <v>0</v>
      </c>
      <c r="V25" s="455">
        <f t="shared" ref="V25:V44" si="10">U25*$V$22</f>
        <v>0</v>
      </c>
      <c r="W25" s="454">
        <f>IF(D25="PL",$I$14*'3rd IA Load Pricing Results'!K44/'3rd IA Load Pricing Results'!$K$61,0)</f>
        <v>0</v>
      </c>
      <c r="X25" s="456">
        <f t="shared" ref="X25:X44" si="11">W25*$X$22</f>
        <v>0</v>
      </c>
      <c r="Y25" s="454">
        <f>IF(D25="DAYTON",$I$15*'3rd IA Load Pricing Results'!K44/'3rd IA Load Pricing Results'!$K$49,0)</f>
        <v>0</v>
      </c>
      <c r="Z25" s="457">
        <f t="shared" ref="Z25:Z44" si="12">Y25*$Z$22</f>
        <v>0</v>
      </c>
      <c r="AA25" s="454">
        <f>IF(D25="DEOK",$I$16*'3rd IA Load Pricing Results'!K44/'3rd IA Load Pricing Results'!$K$50,0)</f>
        <v>0</v>
      </c>
      <c r="AB25" s="457">
        <f t="shared" ref="AB25:AB44" si="13">AA25*$AB$22</f>
        <v>0</v>
      </c>
      <c r="AC25" s="454">
        <f>IF(D25=AC$21,$I$17*VLOOKUP(AC$21,'3rd IA Load Pricing Results'!$A$43:$K$63,11,0)/'3rd IA Load Pricing Results'!$K$52,0)</f>
        <v>0</v>
      </c>
      <c r="AD25" s="457">
        <f t="shared" ref="AD25:AD44" si="14">AC25*AD$22</f>
        <v>0</v>
      </c>
      <c r="AE25" s="458">
        <f t="shared" ref="AE25:AE44" si="15">MAX(E25,G25,I25,K25,M25,O25,Q25,S25,U25,W25,Y25,AA25,AC25)</f>
        <v>0</v>
      </c>
      <c r="AF25" s="23">
        <f t="shared" ref="AF25:AF44" si="16">F25+H25+J25+L25+N25+P25+R25+T25+V25+X25+Z25+AB25+AD25</f>
        <v>0</v>
      </c>
      <c r="AG25" s="134">
        <f>AF25/VLOOKUP(AI25,'3rd IA Load Pricing Results'!$A$43:$K$63,11,0)</f>
        <v>0</v>
      </c>
      <c r="AH25" s="134">
        <f>IF(AE25=0,0,AF25/AE25)</f>
        <v>0</v>
      </c>
      <c r="AI25" s="81" t="s">
        <v>28</v>
      </c>
    </row>
    <row r="26" spans="1:35" x14ac:dyDescent="0.2">
      <c r="A26" s="15" t="s">
        <v>18</v>
      </c>
      <c r="B26" s="81" t="s">
        <v>23</v>
      </c>
      <c r="C26" s="81"/>
      <c r="D26" s="81"/>
      <c r="E26" s="454">
        <f>IF(B26="MAAC",ROUND($I$5*'3rd IA Load Pricing Results'!K45/'3rd IA Load Pricing Results'!$B$14,1),0)</f>
        <v>0</v>
      </c>
      <c r="F26" s="455">
        <f t="shared" si="2"/>
        <v>0</v>
      </c>
      <c r="G26" s="454">
        <f>IF(C26="EMAAC",$I$6*'3rd IA Load Pricing Results'!K45/'3rd IA Load Pricing Results'!$B$15,0)</f>
        <v>0</v>
      </c>
      <c r="H26" s="455">
        <f t="shared" si="3"/>
        <v>0</v>
      </c>
      <c r="I26" s="454">
        <f>IF(C26="SWMAAC",$I$7*'3rd IA Load Pricing Results'!K45/'3rd IA Load Pricing Results'!$B$16,0)</f>
        <v>0</v>
      </c>
      <c r="J26" s="455">
        <f t="shared" si="4"/>
        <v>0</v>
      </c>
      <c r="K26" s="454">
        <f>IF(D26="PS",$I$8*'3rd IA Load Pricing Results'!K45/'3rd IA Load Pricing Results'!$K$62,0)</f>
        <v>0</v>
      </c>
      <c r="L26" s="455">
        <f t="shared" si="5"/>
        <v>0</v>
      </c>
      <c r="M26" s="454">
        <f>IF(D26="DPL",$I$9*'3rd IA Load Pricing Results'!K45/'3rd IA Load Pricing Results'!$K$53,0)</f>
        <v>0</v>
      </c>
      <c r="N26" s="455">
        <f t="shared" si="6"/>
        <v>0</v>
      </c>
      <c r="O26" s="454">
        <f>IF(D26="PEPCO",$I$10*'3rd IA Load Pricing Results'!K45/'3rd IA Load Pricing Results'!$K$60,0)</f>
        <v>0</v>
      </c>
      <c r="P26" s="455">
        <f t="shared" si="7"/>
        <v>0</v>
      </c>
      <c r="Q26" s="454">
        <f>IF(D26="ATSI",$I$11*'3rd IA Load Pricing Results'!K45/'3rd IA Load Pricing Results'!$K$46,0)</f>
        <v>0</v>
      </c>
      <c r="R26" s="455">
        <f t="shared" si="8"/>
        <v>0</v>
      </c>
      <c r="S26" s="454">
        <f>IF(D26="COMED",$I$12*'3rd IA Load Pricing Results'!K45/'3rd IA Load Pricing Results'!$K$48,0)</f>
        <v>0</v>
      </c>
      <c r="T26" s="455">
        <f t="shared" si="9"/>
        <v>0</v>
      </c>
      <c r="U26" s="454">
        <f>IF(D26="BGE",$I$13*'3rd IA Load Pricing Results'!K45/'3rd IA Load Pricing Results'!$K$47,0)</f>
        <v>0</v>
      </c>
      <c r="V26" s="455">
        <f t="shared" si="10"/>
        <v>0</v>
      </c>
      <c r="W26" s="454">
        <f>IF(D26="PL",$I$14*'3rd IA Load Pricing Results'!K45/'3rd IA Load Pricing Results'!$K$61,0)</f>
        <v>0</v>
      </c>
      <c r="X26" s="456">
        <f t="shared" si="11"/>
        <v>0</v>
      </c>
      <c r="Y26" s="454">
        <f>IF(D26="DAYTON",$I$15*'3rd IA Load Pricing Results'!K45/'3rd IA Load Pricing Results'!$K$49,0)</f>
        <v>0</v>
      </c>
      <c r="Z26" s="457">
        <f t="shared" si="12"/>
        <v>0</v>
      </c>
      <c r="AA26" s="454">
        <f>IF(D26="DEOK",$I$16*'3rd IA Load Pricing Results'!K45/'3rd IA Load Pricing Results'!$K$50,0)</f>
        <v>0</v>
      </c>
      <c r="AB26" s="457">
        <f t="shared" si="13"/>
        <v>0</v>
      </c>
      <c r="AC26" s="454">
        <f>IF(D26=AC$21,$I$17*VLOOKUP(AC$21,'3rd IA Load Pricing Results'!$A$43:$K$63,11,0)/'3rd IA Load Pricing Results'!$K$52,0)</f>
        <v>0</v>
      </c>
      <c r="AD26" s="457">
        <f t="shared" si="14"/>
        <v>0</v>
      </c>
      <c r="AE26" s="458">
        <f t="shared" si="15"/>
        <v>0</v>
      </c>
      <c r="AF26" s="23">
        <f t="shared" si="16"/>
        <v>0</v>
      </c>
      <c r="AG26" s="134">
        <f>AF26/VLOOKUP(AI26,'3rd IA Load Pricing Results'!$A$43:$K$63,11,0)</f>
        <v>0</v>
      </c>
      <c r="AH26" s="134">
        <f>IF(AE26=0,0,AF26/AE26)</f>
        <v>0</v>
      </c>
      <c r="AI26" s="81" t="s">
        <v>18</v>
      </c>
    </row>
    <row r="27" spans="1:35" x14ac:dyDescent="0.2">
      <c r="A27" s="15" t="s">
        <v>42</v>
      </c>
      <c r="B27" s="81"/>
      <c r="C27" s="81"/>
      <c r="D27" s="81" t="s">
        <v>42</v>
      </c>
      <c r="E27" s="454">
        <f>IF(B27="MAAC",ROUND($I$5*'3rd IA Load Pricing Results'!K46/'3rd IA Load Pricing Results'!$B$14,1),0)</f>
        <v>0</v>
      </c>
      <c r="F27" s="455">
        <f t="shared" si="2"/>
        <v>0</v>
      </c>
      <c r="G27" s="454">
        <f>IF(C27="EMAAC",$I$6*'3rd IA Load Pricing Results'!K46/'3rd IA Load Pricing Results'!$B$15,0)</f>
        <v>0</v>
      </c>
      <c r="H27" s="455">
        <f t="shared" si="3"/>
        <v>0</v>
      </c>
      <c r="I27" s="454">
        <f>IF(C27="SWMAAC",$I$7*'3rd IA Load Pricing Results'!K46/'3rd IA Load Pricing Results'!$B$16,0)</f>
        <v>0</v>
      </c>
      <c r="J27" s="455">
        <f t="shared" si="4"/>
        <v>0</v>
      </c>
      <c r="K27" s="454">
        <f>IF(D27="PS",$I$8*'3rd IA Load Pricing Results'!K46/'3rd IA Load Pricing Results'!$K$62,0)</f>
        <v>0</v>
      </c>
      <c r="L27" s="455">
        <f t="shared" si="5"/>
        <v>0</v>
      </c>
      <c r="M27" s="454">
        <f>IF(D27="DPL",$I$9*'3rd IA Load Pricing Results'!K46/'3rd IA Load Pricing Results'!$K$53,0)</f>
        <v>0</v>
      </c>
      <c r="N27" s="455">
        <f t="shared" si="6"/>
        <v>0</v>
      </c>
      <c r="O27" s="454">
        <f>IF(D27="PEPCO",$I$10*'3rd IA Load Pricing Results'!K46/'3rd IA Load Pricing Results'!$K$60,0)</f>
        <v>0</v>
      </c>
      <c r="P27" s="455">
        <f t="shared" si="7"/>
        <v>0</v>
      </c>
      <c r="Q27" s="454">
        <f>IF(D27="ATSI",$I$11*'3rd IA Load Pricing Results'!K46/'3rd IA Load Pricing Results'!$K$46,0)</f>
        <v>3864.6381052378019</v>
      </c>
      <c r="R27" s="455">
        <f t="shared" si="8"/>
        <v>0</v>
      </c>
      <c r="S27" s="454">
        <f>IF(D27="COMED",$I$12*'3rd IA Load Pricing Results'!K46/'3rd IA Load Pricing Results'!$K$48,0)</f>
        <v>0</v>
      </c>
      <c r="T27" s="455">
        <f t="shared" si="9"/>
        <v>0</v>
      </c>
      <c r="U27" s="454">
        <f>IF(D27="BGE",$I$13*'3rd IA Load Pricing Results'!K46/'3rd IA Load Pricing Results'!$K$47,0)</f>
        <v>0</v>
      </c>
      <c r="V27" s="455">
        <f t="shared" si="10"/>
        <v>0</v>
      </c>
      <c r="W27" s="454">
        <f>IF(D27="PL",$I$14*'3rd IA Load Pricing Results'!K46/'3rd IA Load Pricing Results'!$K$61,0)</f>
        <v>0</v>
      </c>
      <c r="X27" s="456">
        <f t="shared" si="11"/>
        <v>0</v>
      </c>
      <c r="Y27" s="454">
        <f>IF(D27="DAYTON",$I$15*'3rd IA Load Pricing Results'!K46/'3rd IA Load Pricing Results'!$K$49,0)</f>
        <v>0</v>
      </c>
      <c r="Z27" s="457">
        <f t="shared" si="12"/>
        <v>0</v>
      </c>
      <c r="AA27" s="454">
        <f>IF(D27="DEOK",$I$16*'3rd IA Load Pricing Results'!K46/'3rd IA Load Pricing Results'!$K$50,0)</f>
        <v>0</v>
      </c>
      <c r="AB27" s="457">
        <f t="shared" si="13"/>
        <v>0</v>
      </c>
      <c r="AC27" s="454">
        <f>IF(D27=AC$21,$I$17*VLOOKUP(AC$21,'3rd IA Load Pricing Results'!$A$43:$K$63,11,0)/'3rd IA Load Pricing Results'!$K$52,0)</f>
        <v>0</v>
      </c>
      <c r="AD27" s="457">
        <f t="shared" si="14"/>
        <v>0</v>
      </c>
      <c r="AE27" s="458">
        <f t="shared" si="15"/>
        <v>3864.6381052378019</v>
      </c>
      <c r="AF27" s="23">
        <f t="shared" si="16"/>
        <v>0</v>
      </c>
      <c r="AG27" s="134">
        <f>AF27/VLOOKUP(AI27,'3rd IA Load Pricing Results'!$A$43:$K$63,11,0)</f>
        <v>0</v>
      </c>
      <c r="AH27" s="134">
        <f>IF(AE27=0,0,AF27/AE27)</f>
        <v>0</v>
      </c>
      <c r="AI27" s="81" t="s">
        <v>42</v>
      </c>
    </row>
    <row r="28" spans="1:35" x14ac:dyDescent="0.2">
      <c r="A28" s="15" t="s">
        <v>10</v>
      </c>
      <c r="B28" s="81" t="s">
        <v>27</v>
      </c>
      <c r="C28" s="81" t="s">
        <v>4</v>
      </c>
      <c r="D28" s="81" t="s">
        <v>10</v>
      </c>
      <c r="E28" s="454">
        <f>IF(B28="MAAC",ROUND($I$5*'3rd IA Load Pricing Results'!K47/'3rd IA Load Pricing Results'!$B$14,1),0)</f>
        <v>0</v>
      </c>
      <c r="F28" s="455">
        <f t="shared" si="2"/>
        <v>0</v>
      </c>
      <c r="G28" s="454">
        <f>IF(C28="EMAAC",$I$6*'3rd IA Load Pricing Results'!K47/'3rd IA Load Pricing Results'!$B$15,0)</f>
        <v>0</v>
      </c>
      <c r="H28" s="455">
        <f t="shared" si="3"/>
        <v>0</v>
      </c>
      <c r="I28" s="454">
        <f>IF(C28="SWMAAC",$I$7*'3rd IA Load Pricing Results'!K47/'3rd IA Load Pricing Results'!$B$16,0)</f>
        <v>2446.9439986214488</v>
      </c>
      <c r="J28" s="455">
        <f t="shared" si="4"/>
        <v>0</v>
      </c>
      <c r="K28" s="454">
        <f>IF(D28="PS",$I$8*'3rd IA Load Pricing Results'!K47/'3rd IA Load Pricing Results'!$K$62,0)</f>
        <v>0</v>
      </c>
      <c r="L28" s="455">
        <f t="shared" si="5"/>
        <v>0</v>
      </c>
      <c r="M28" s="454">
        <f>IF(D28="DPL",$I$9*'3rd IA Load Pricing Results'!K47/'3rd IA Load Pricing Results'!$K$53,0)</f>
        <v>0</v>
      </c>
      <c r="N28" s="455">
        <f t="shared" si="6"/>
        <v>0</v>
      </c>
      <c r="O28" s="454">
        <f>IF(D28="PEPCO",$I$10*'3rd IA Load Pricing Results'!K47/'3rd IA Load Pricing Results'!$K$60,0)</f>
        <v>0</v>
      </c>
      <c r="P28" s="455">
        <f t="shared" si="7"/>
        <v>0</v>
      </c>
      <c r="Q28" s="454">
        <f>IF(D28="ATSI",$I$11*'3rd IA Load Pricing Results'!K47/'3rd IA Load Pricing Results'!$K$46,0)</f>
        <v>0</v>
      </c>
      <c r="R28" s="455">
        <f t="shared" si="8"/>
        <v>0</v>
      </c>
      <c r="S28" s="454">
        <f>IF(D28="COMED",$I$12*'3rd IA Load Pricing Results'!K47/'3rd IA Load Pricing Results'!$K$48,0)</f>
        <v>0</v>
      </c>
      <c r="T28" s="455">
        <f t="shared" si="9"/>
        <v>0</v>
      </c>
      <c r="U28" s="454">
        <f>IF(D28="BGE",$I$13*'3rd IA Load Pricing Results'!K47/'3rd IA Load Pricing Results'!$K$47,0)</f>
        <v>5024.2059378757085</v>
      </c>
      <c r="V28" s="455">
        <f t="shared" si="10"/>
        <v>987844.02205339621</v>
      </c>
      <c r="W28" s="454">
        <f>IF(D28="PL",$I$14*'3rd IA Load Pricing Results'!K47/'3rd IA Load Pricing Results'!$K$61,0)</f>
        <v>0</v>
      </c>
      <c r="X28" s="456">
        <f t="shared" si="11"/>
        <v>0</v>
      </c>
      <c r="Y28" s="454">
        <f>IF(D28="DAYTON",$I$15*'3rd IA Load Pricing Results'!K47/'3rd IA Load Pricing Results'!$K$49,0)</f>
        <v>0</v>
      </c>
      <c r="Z28" s="457">
        <f t="shared" si="12"/>
        <v>0</v>
      </c>
      <c r="AA28" s="454">
        <f>IF(D28="DEOK",$I$16*'3rd IA Load Pricing Results'!K47/'3rd IA Load Pricing Results'!$K$50,0)</f>
        <v>0</v>
      </c>
      <c r="AB28" s="457">
        <f t="shared" si="13"/>
        <v>0</v>
      </c>
      <c r="AC28" s="454">
        <f>IF(D28=AC$21,$I$17*VLOOKUP(AC$21,'3rd IA Load Pricing Results'!$A$43:$K$63,11,0)/'3rd IA Load Pricing Results'!$K$52,0)</f>
        <v>0</v>
      </c>
      <c r="AD28" s="457">
        <f t="shared" si="14"/>
        <v>0</v>
      </c>
      <c r="AE28" s="458">
        <f t="shared" si="15"/>
        <v>5024.2059378757085</v>
      </c>
      <c r="AF28" s="23">
        <f>F28+H28+J28+L28+N28+P28+R28+T28+V28+X28+Z28+AB28+AD28</f>
        <v>987844.02205339621</v>
      </c>
      <c r="AG28" s="134">
        <f>AF28/VLOOKUP(AI28,'3rd IA Load Pricing Results'!$A$43:$K$63,11,0)</f>
        <v>164.48424752591345</v>
      </c>
      <c r="AH28" s="134">
        <f>IF(AE28=0,0,AF28/AE28)</f>
        <v>196.61694489996719</v>
      </c>
      <c r="AI28" s="81" t="s">
        <v>10</v>
      </c>
    </row>
    <row r="29" spans="1:35" x14ac:dyDescent="0.2">
      <c r="A29" s="15" t="s">
        <v>19</v>
      </c>
      <c r="B29" s="81"/>
      <c r="C29" s="81"/>
      <c r="D29" s="81" t="s">
        <v>19</v>
      </c>
      <c r="E29" s="454">
        <f>IF(B29="MAAC",ROUND($I$5*'3rd IA Load Pricing Results'!K48/'3rd IA Load Pricing Results'!$B$14,1),0)</f>
        <v>0</v>
      </c>
      <c r="F29" s="455">
        <f t="shared" si="2"/>
        <v>0</v>
      </c>
      <c r="G29" s="454">
        <f>IF(C29="EMAAC",$I$6*'3rd IA Load Pricing Results'!K48/'3rd IA Load Pricing Results'!$B$15,0)</f>
        <v>0</v>
      </c>
      <c r="H29" s="455">
        <f t="shared" si="3"/>
        <v>0</v>
      </c>
      <c r="I29" s="454">
        <f>IF(C29="SWMAAC",$I$7*'3rd IA Load Pricing Results'!K48/'3rd IA Load Pricing Results'!$B$16,0)</f>
        <v>0</v>
      </c>
      <c r="J29" s="455">
        <f t="shared" si="4"/>
        <v>0</v>
      </c>
      <c r="K29" s="454">
        <f>IF(D29="PS",$I$8*'3rd IA Load Pricing Results'!K48/'3rd IA Load Pricing Results'!$K$62,0)</f>
        <v>0</v>
      </c>
      <c r="L29" s="455">
        <f t="shared" si="5"/>
        <v>0</v>
      </c>
      <c r="M29" s="454">
        <f>IF(D29="DPL",$I$9*'3rd IA Load Pricing Results'!K48/'3rd IA Load Pricing Results'!$K$53,0)</f>
        <v>0</v>
      </c>
      <c r="N29" s="455">
        <f t="shared" si="6"/>
        <v>0</v>
      </c>
      <c r="O29" s="454">
        <f>IF(D29="PEPCO",$I$10*'3rd IA Load Pricing Results'!K48/'3rd IA Load Pricing Results'!$K$60,0)</f>
        <v>0</v>
      </c>
      <c r="P29" s="455">
        <f t="shared" si="7"/>
        <v>0</v>
      </c>
      <c r="Q29" s="454">
        <f>IF(D29="ATSI",$I$11*'3rd IA Load Pricing Results'!K48/'3rd IA Load Pricing Results'!$K$46,0)</f>
        <v>0</v>
      </c>
      <c r="R29" s="455">
        <f t="shared" si="8"/>
        <v>0</v>
      </c>
      <c r="S29" s="454">
        <f>IF(D29="COMED",$I$12*'3rd IA Load Pricing Results'!K48/'3rd IA Load Pricing Results'!$K$48,0)</f>
        <v>-4839.8254222809192</v>
      </c>
      <c r="T29" s="455">
        <f t="shared" si="9"/>
        <v>0</v>
      </c>
      <c r="U29" s="454">
        <f>IF(D29="BGE",$I$13*'3rd IA Load Pricing Results'!K48/'3rd IA Load Pricing Results'!$K$47,0)</f>
        <v>0</v>
      </c>
      <c r="V29" s="455">
        <f t="shared" si="10"/>
        <v>0</v>
      </c>
      <c r="W29" s="454">
        <f>IF(D29="PL",$I$14*'3rd IA Load Pricing Results'!K48/'3rd IA Load Pricing Results'!$K$61,0)</f>
        <v>0</v>
      </c>
      <c r="X29" s="456">
        <f t="shared" si="11"/>
        <v>0</v>
      </c>
      <c r="Y29" s="454">
        <f>IF(D29="DAYTON",$I$15*'3rd IA Load Pricing Results'!K48/'3rd IA Load Pricing Results'!$K$49,0)</f>
        <v>0</v>
      </c>
      <c r="Z29" s="457">
        <f t="shared" si="12"/>
        <v>0</v>
      </c>
      <c r="AA29" s="454">
        <f>IF(D29="DEOK",$I$16*'3rd IA Load Pricing Results'!K48/'3rd IA Load Pricing Results'!$K$50,0)</f>
        <v>0</v>
      </c>
      <c r="AB29" s="457">
        <f t="shared" si="13"/>
        <v>0</v>
      </c>
      <c r="AC29" s="454">
        <f>IF(D29=AC$21,$I$17*VLOOKUP(AC$21,'3rd IA Load Pricing Results'!$A$43:$K$63,11,0)/'3rd IA Load Pricing Results'!$K$52,0)</f>
        <v>0</v>
      </c>
      <c r="AD29" s="457">
        <f t="shared" si="14"/>
        <v>0</v>
      </c>
      <c r="AE29" s="458">
        <f t="shared" si="15"/>
        <v>0</v>
      </c>
      <c r="AF29" s="23">
        <f>F29+H29+J29+L29+N29+P29+R29+T29+V29+X29+Z29+AB29+AD29</f>
        <v>0</v>
      </c>
      <c r="AG29" s="134">
        <f>AF29/VLOOKUP(AI29,'3rd IA Load Pricing Results'!$A$43:$K$63,11,0)</f>
        <v>0</v>
      </c>
      <c r="AH29" s="134">
        <f t="shared" ref="AH29:AH44" si="17">IF(AE29=0,0,AF29/AE29)</f>
        <v>0</v>
      </c>
      <c r="AI29" s="81" t="s">
        <v>19</v>
      </c>
    </row>
    <row r="30" spans="1:35" x14ac:dyDescent="0.2">
      <c r="A30" s="15" t="s">
        <v>20</v>
      </c>
      <c r="B30" s="81"/>
      <c r="C30" s="81"/>
      <c r="D30" s="81" t="s">
        <v>20</v>
      </c>
      <c r="E30" s="454">
        <f>IF(B30="MAAC",ROUND($I$5*'3rd IA Load Pricing Results'!K49/'3rd IA Load Pricing Results'!$B$14,1),0)</f>
        <v>0</v>
      </c>
      <c r="F30" s="455">
        <f t="shared" si="2"/>
        <v>0</v>
      </c>
      <c r="G30" s="454">
        <f>IF(C30="EMAAC",$I$6*'3rd IA Load Pricing Results'!K49/'3rd IA Load Pricing Results'!$B$15,0)</f>
        <v>0</v>
      </c>
      <c r="H30" s="455">
        <f t="shared" si="3"/>
        <v>0</v>
      </c>
      <c r="I30" s="454">
        <f>IF(C30="SWMAAC",$I$7*'3rd IA Load Pricing Results'!K49/'3rd IA Load Pricing Results'!$B$16,0)</f>
        <v>0</v>
      </c>
      <c r="J30" s="455">
        <f t="shared" si="4"/>
        <v>0</v>
      </c>
      <c r="K30" s="454">
        <f>IF(D30="PS",$I$8*'3rd IA Load Pricing Results'!K49/'3rd IA Load Pricing Results'!$K$62,0)</f>
        <v>0</v>
      </c>
      <c r="L30" s="455">
        <f t="shared" si="5"/>
        <v>0</v>
      </c>
      <c r="M30" s="454">
        <f>IF(D30="DPL",$I$9*'3rd IA Load Pricing Results'!K49/'3rd IA Load Pricing Results'!$K$53,0)</f>
        <v>0</v>
      </c>
      <c r="N30" s="455">
        <f t="shared" si="6"/>
        <v>0</v>
      </c>
      <c r="O30" s="454">
        <f>IF(D30="PEPCO",$I$10*'3rd IA Load Pricing Results'!K49/'3rd IA Load Pricing Results'!$K$60,0)</f>
        <v>0</v>
      </c>
      <c r="P30" s="455">
        <f t="shared" si="7"/>
        <v>0</v>
      </c>
      <c r="Q30" s="454">
        <f>IF(D30="ATSI",$I$11*'3rd IA Load Pricing Results'!K49/'3rd IA Load Pricing Results'!$K$46,0)</f>
        <v>0</v>
      </c>
      <c r="R30" s="455">
        <f t="shared" si="8"/>
        <v>0</v>
      </c>
      <c r="S30" s="454">
        <f>IF(D30="COMED",$I$12*'3rd IA Load Pricing Results'!K49/'3rd IA Load Pricing Results'!$K$48,0)</f>
        <v>0</v>
      </c>
      <c r="T30" s="455">
        <f t="shared" si="9"/>
        <v>0</v>
      </c>
      <c r="U30" s="454">
        <f>IF(D30="BGE",$I$13*'3rd IA Load Pricing Results'!K49/'3rd IA Load Pricing Results'!$K$47,0)</f>
        <v>0</v>
      </c>
      <c r="V30" s="455">
        <f t="shared" si="10"/>
        <v>0</v>
      </c>
      <c r="W30" s="454">
        <f>IF(D30="PL",$I$14*'3rd IA Load Pricing Results'!K49/'3rd IA Load Pricing Results'!$K$61,0)</f>
        <v>0</v>
      </c>
      <c r="X30" s="456">
        <f t="shared" si="11"/>
        <v>0</v>
      </c>
      <c r="Y30" s="454">
        <f>IF(D30="DAYTON",$I$15*'3rd IA Load Pricing Results'!K49/'3rd IA Load Pricing Results'!$K$49,0)</f>
        <v>2093.0385320175869</v>
      </c>
      <c r="Z30" s="457">
        <f t="shared" si="12"/>
        <v>0</v>
      </c>
      <c r="AA30" s="454">
        <f>IF(D30="DEOK",$I$16*'3rd IA Load Pricing Results'!K49/'3rd IA Load Pricing Results'!$K$50,0)</f>
        <v>0</v>
      </c>
      <c r="AB30" s="457">
        <f t="shared" si="13"/>
        <v>0</v>
      </c>
      <c r="AC30" s="454">
        <f>IF(D30=AC$21,$I$17*VLOOKUP(AC$21,'3rd IA Load Pricing Results'!$A$43:$K$63,11,0)/'3rd IA Load Pricing Results'!$K$52,0)</f>
        <v>0</v>
      </c>
      <c r="AD30" s="457">
        <f t="shared" si="14"/>
        <v>0</v>
      </c>
      <c r="AE30" s="458">
        <f t="shared" si="15"/>
        <v>2093.0385320175869</v>
      </c>
      <c r="AF30" s="23">
        <f>F30+H30+J30+L30+N30+P30+R30+T30+V30+X30+Z30+AB30+AD30</f>
        <v>0</v>
      </c>
      <c r="AG30" s="134">
        <f>AF30/VLOOKUP(AI30,'3rd IA Load Pricing Results'!$A$43:$K$63,11,0)</f>
        <v>0</v>
      </c>
      <c r="AH30" s="134">
        <f t="shared" si="17"/>
        <v>0</v>
      </c>
      <c r="AI30" s="81" t="s">
        <v>20</v>
      </c>
    </row>
    <row r="31" spans="1:35" x14ac:dyDescent="0.2">
      <c r="A31" s="15" t="s">
        <v>49</v>
      </c>
      <c r="B31" s="81"/>
      <c r="C31" s="81"/>
      <c r="D31" s="81" t="s">
        <v>49</v>
      </c>
      <c r="E31" s="454">
        <f>IF(B31="MAAC",ROUND($I$5*'3rd IA Load Pricing Results'!K50/'3rd IA Load Pricing Results'!$B$14,1),0)</f>
        <v>0</v>
      </c>
      <c r="F31" s="455">
        <f t="shared" si="2"/>
        <v>0</v>
      </c>
      <c r="G31" s="454">
        <f>IF(C31="EMAAC",$I$6*'3rd IA Load Pricing Results'!K50/'3rd IA Load Pricing Results'!$B$15,0)</f>
        <v>0</v>
      </c>
      <c r="H31" s="455">
        <f t="shared" si="3"/>
        <v>0</v>
      </c>
      <c r="I31" s="454">
        <f>IF(C31="SWMAAC",$I$7*'3rd IA Load Pricing Results'!K50/'3rd IA Load Pricing Results'!$B$16,0)</f>
        <v>0</v>
      </c>
      <c r="J31" s="455">
        <f t="shared" si="4"/>
        <v>0</v>
      </c>
      <c r="K31" s="454">
        <f>IF(D31="PS",$I$8*'3rd IA Load Pricing Results'!K50/'3rd IA Load Pricing Results'!$K$62,0)</f>
        <v>0</v>
      </c>
      <c r="L31" s="455">
        <f t="shared" si="5"/>
        <v>0</v>
      </c>
      <c r="M31" s="454">
        <f>IF(D31="DPL",$I$9*'3rd IA Load Pricing Results'!K50/'3rd IA Load Pricing Results'!$K$53,0)</f>
        <v>0</v>
      </c>
      <c r="N31" s="455">
        <f t="shared" si="6"/>
        <v>0</v>
      </c>
      <c r="O31" s="454">
        <f>IF(D31="PEPCO",$I$10*'3rd IA Load Pricing Results'!K50/'3rd IA Load Pricing Results'!$K$60,0)</f>
        <v>0</v>
      </c>
      <c r="P31" s="455">
        <f t="shared" si="7"/>
        <v>0</v>
      </c>
      <c r="Q31" s="454">
        <f>IF(D31="ATSI",$I$11*'3rd IA Load Pricing Results'!K50/'3rd IA Load Pricing Results'!$K$46,0)</f>
        <v>0</v>
      </c>
      <c r="R31" s="455">
        <f t="shared" si="8"/>
        <v>0</v>
      </c>
      <c r="S31" s="454">
        <f>IF(D31="COMED",$I$12*'3rd IA Load Pricing Results'!K50/'3rd IA Load Pricing Results'!$K$48,0)</f>
        <v>0</v>
      </c>
      <c r="T31" s="455">
        <f t="shared" si="9"/>
        <v>0</v>
      </c>
      <c r="U31" s="454">
        <f>IF(D31="BGE",$I$13*'3rd IA Load Pricing Results'!K50/'3rd IA Load Pricing Results'!$K$47,0)</f>
        <v>0</v>
      </c>
      <c r="V31" s="455">
        <f t="shared" si="10"/>
        <v>0</v>
      </c>
      <c r="W31" s="454">
        <f>IF(D31="PL",$I$14*'3rd IA Load Pricing Results'!K50/'3rd IA Load Pricing Results'!$K$61,0)</f>
        <v>0</v>
      </c>
      <c r="X31" s="456">
        <f t="shared" si="11"/>
        <v>0</v>
      </c>
      <c r="Y31" s="454">
        <f>IF(D31="DAYTON",$I$15*'3rd IA Load Pricing Results'!K50/'3rd IA Load Pricing Results'!$K$49,0)</f>
        <v>0</v>
      </c>
      <c r="Z31" s="457">
        <f t="shared" si="12"/>
        <v>0</v>
      </c>
      <c r="AA31" s="454">
        <f>IF(D31="DEOK",$I$16*'3rd IA Load Pricing Results'!K50/'3rd IA Load Pricing Results'!$K$50,0)</f>
        <v>2261.048881374827</v>
      </c>
      <c r="AB31" s="457">
        <f t="shared" si="13"/>
        <v>0</v>
      </c>
      <c r="AC31" s="454">
        <f>IF(D31=AC$21,$I$17*VLOOKUP(AC$21,'3rd IA Load Pricing Results'!$A$43:$K$63,11,0)/'3rd IA Load Pricing Results'!$K$52,0)</f>
        <v>0</v>
      </c>
      <c r="AD31" s="457">
        <f t="shared" si="14"/>
        <v>0</v>
      </c>
      <c r="AE31" s="458">
        <f t="shared" si="15"/>
        <v>2261.048881374827</v>
      </c>
      <c r="AF31" s="23">
        <f t="shared" si="16"/>
        <v>0</v>
      </c>
      <c r="AG31" s="134">
        <f>AF31/VLOOKUP(AI31,'3rd IA Load Pricing Results'!$A$43:$K$63,11,0)</f>
        <v>0</v>
      </c>
      <c r="AH31" s="134">
        <f>IF(AE31=0,0,AF31/AE31)</f>
        <v>0</v>
      </c>
      <c r="AI31" s="81" t="s">
        <v>49</v>
      </c>
    </row>
    <row r="32" spans="1:35" x14ac:dyDescent="0.2">
      <c r="A32" s="15" t="s">
        <v>41</v>
      </c>
      <c r="B32" s="81"/>
      <c r="C32" s="81"/>
      <c r="D32" s="81"/>
      <c r="E32" s="454">
        <f>IF(B32="MAAC",ROUND($I$5*'3rd IA Load Pricing Results'!K51/'3rd IA Load Pricing Results'!$B$14,1),0)</f>
        <v>0</v>
      </c>
      <c r="F32" s="455">
        <f t="shared" si="2"/>
        <v>0</v>
      </c>
      <c r="G32" s="454">
        <f>IF(C32="EMAAC",$I$6*'3rd IA Load Pricing Results'!K51/'3rd IA Load Pricing Results'!$B$15,0)</f>
        <v>0</v>
      </c>
      <c r="H32" s="455">
        <f t="shared" si="3"/>
        <v>0</v>
      </c>
      <c r="I32" s="454">
        <f>IF(C32="SWMAAC",$I$7*'3rd IA Load Pricing Results'!K51/'3rd IA Load Pricing Results'!$B$16,0)</f>
        <v>0</v>
      </c>
      <c r="J32" s="455">
        <f t="shared" si="4"/>
        <v>0</v>
      </c>
      <c r="K32" s="454">
        <f>IF(D32="PS",$I$8*'3rd IA Load Pricing Results'!K51/'3rd IA Load Pricing Results'!$K$62,0)</f>
        <v>0</v>
      </c>
      <c r="L32" s="455">
        <f t="shared" si="5"/>
        <v>0</v>
      </c>
      <c r="M32" s="454">
        <f>IF(D32="DPL",$I$9*'3rd IA Load Pricing Results'!K51/'3rd IA Load Pricing Results'!$K$53,0)</f>
        <v>0</v>
      </c>
      <c r="N32" s="455">
        <f t="shared" si="6"/>
        <v>0</v>
      </c>
      <c r="O32" s="454">
        <f>IF(D32="PEPCO",$I$10*'3rd IA Load Pricing Results'!K51/'3rd IA Load Pricing Results'!$K$60,0)</f>
        <v>0</v>
      </c>
      <c r="P32" s="455">
        <f t="shared" si="7"/>
        <v>0</v>
      </c>
      <c r="Q32" s="454">
        <f>IF(D32="ATSI",$I$11*'3rd IA Load Pricing Results'!K51/'3rd IA Load Pricing Results'!$K$46,0)</f>
        <v>0</v>
      </c>
      <c r="R32" s="455">
        <f t="shared" si="8"/>
        <v>0</v>
      </c>
      <c r="S32" s="454">
        <f>IF(D32="COMED",$I$12*'3rd IA Load Pricing Results'!K51/'3rd IA Load Pricing Results'!$K$48,0)</f>
        <v>0</v>
      </c>
      <c r="T32" s="455">
        <f t="shared" si="9"/>
        <v>0</v>
      </c>
      <c r="U32" s="454">
        <f>IF(D32="BGE",$I$13*'3rd IA Load Pricing Results'!K51/'3rd IA Load Pricing Results'!$K$47,0)</f>
        <v>0</v>
      </c>
      <c r="V32" s="455">
        <f t="shared" si="10"/>
        <v>0</v>
      </c>
      <c r="W32" s="454">
        <f>IF(D32="PL",$I$14*'3rd IA Load Pricing Results'!K51/'3rd IA Load Pricing Results'!$K$61,0)</f>
        <v>0</v>
      </c>
      <c r="X32" s="456">
        <f t="shared" si="11"/>
        <v>0</v>
      </c>
      <c r="Y32" s="454">
        <f>IF(D32="DAYTON",$I$15*'3rd IA Load Pricing Results'!K51/'3rd IA Load Pricing Results'!$K$49,0)</f>
        <v>0</v>
      </c>
      <c r="Z32" s="457">
        <f t="shared" si="12"/>
        <v>0</v>
      </c>
      <c r="AA32" s="454">
        <f>IF(D32="DEOK",$I$16*'3rd IA Load Pricing Results'!K51/'3rd IA Load Pricing Results'!$K$50,0)</f>
        <v>0</v>
      </c>
      <c r="AB32" s="457">
        <f t="shared" si="13"/>
        <v>0</v>
      </c>
      <c r="AC32" s="454">
        <f>IF(D32=AC$21,$I$17*VLOOKUP(AC$21,'3rd IA Load Pricing Results'!$A$43:$K$63,11,0)/'3rd IA Load Pricing Results'!$K$52,0)</f>
        <v>0</v>
      </c>
      <c r="AD32" s="457">
        <f t="shared" si="14"/>
        <v>0</v>
      </c>
      <c r="AE32" s="458">
        <f t="shared" si="15"/>
        <v>0</v>
      </c>
      <c r="AF32" s="23">
        <f t="shared" si="16"/>
        <v>0</v>
      </c>
      <c r="AG32" s="134">
        <f>AF32/VLOOKUP(AI32,'3rd IA Load Pricing Results'!$A$43:$K$63,11,0)</f>
        <v>0</v>
      </c>
      <c r="AH32" s="134">
        <f t="shared" si="17"/>
        <v>0</v>
      </c>
      <c r="AI32" s="81" t="s">
        <v>41</v>
      </c>
    </row>
    <row r="33" spans="1:35" x14ac:dyDescent="0.2">
      <c r="A33" s="15" t="s">
        <v>29</v>
      </c>
      <c r="B33" s="81"/>
      <c r="C33" s="81"/>
      <c r="D33" s="81" t="s">
        <v>29</v>
      </c>
      <c r="E33" s="454">
        <f>IF(B33="MAAC",ROUND($I$5*'3rd IA Load Pricing Results'!K52/'3rd IA Load Pricing Results'!$B$14,1),0)</f>
        <v>0</v>
      </c>
      <c r="F33" s="455">
        <f t="shared" si="2"/>
        <v>0</v>
      </c>
      <c r="G33" s="454">
        <f>IF(C33="EMAAC",$I$6*'3rd IA Load Pricing Results'!K52/'3rd IA Load Pricing Results'!$B$15,0)</f>
        <v>0</v>
      </c>
      <c r="H33" s="455">
        <f t="shared" si="3"/>
        <v>0</v>
      </c>
      <c r="I33" s="454">
        <f>IF(C33="SWMAAC",$I$7*'3rd IA Load Pricing Results'!K52/'3rd IA Load Pricing Results'!$B$16,0)</f>
        <v>0</v>
      </c>
      <c r="J33" s="455">
        <f t="shared" si="4"/>
        <v>0</v>
      </c>
      <c r="K33" s="454">
        <f>IF(D33="PS",$I$8*'3rd IA Load Pricing Results'!K52/'3rd IA Load Pricing Results'!$K$62,0)</f>
        <v>0</v>
      </c>
      <c r="L33" s="455">
        <f t="shared" si="5"/>
        <v>0</v>
      </c>
      <c r="M33" s="454">
        <f>IF(D33="DPL",$I$9*'3rd IA Load Pricing Results'!K52/'3rd IA Load Pricing Results'!$K$53,0)</f>
        <v>0</v>
      </c>
      <c r="N33" s="455">
        <f t="shared" si="6"/>
        <v>0</v>
      </c>
      <c r="O33" s="454">
        <f>IF(D33="PEPCO",$I$10*'3rd IA Load Pricing Results'!K52/'3rd IA Load Pricing Results'!$K$60,0)</f>
        <v>0</v>
      </c>
      <c r="P33" s="455">
        <f t="shared" si="7"/>
        <v>0</v>
      </c>
      <c r="Q33" s="454">
        <f>IF(D33="ATSI",$I$11*'3rd IA Load Pricing Results'!K52/'3rd IA Load Pricing Results'!$K$46,0)</f>
        <v>0</v>
      </c>
      <c r="R33" s="455">
        <f t="shared" si="8"/>
        <v>0</v>
      </c>
      <c r="S33" s="454">
        <f>IF(D33="COMED",$I$12*'3rd IA Load Pricing Results'!K52/'3rd IA Load Pricing Results'!$K$48,0)</f>
        <v>0</v>
      </c>
      <c r="T33" s="455">
        <f t="shared" si="9"/>
        <v>0</v>
      </c>
      <c r="U33" s="454">
        <f>IF(D33="BGE",$I$13*'3rd IA Load Pricing Results'!K52/'3rd IA Load Pricing Results'!$K$47,0)</f>
        <v>0</v>
      </c>
      <c r="V33" s="455">
        <f t="shared" si="10"/>
        <v>0</v>
      </c>
      <c r="W33" s="454">
        <f>IF(D33="PL",$I$14*'3rd IA Load Pricing Results'!K52/'3rd IA Load Pricing Results'!$K$61,0)</f>
        <v>0</v>
      </c>
      <c r="X33" s="456">
        <f t="shared" si="11"/>
        <v>0</v>
      </c>
      <c r="Y33" s="454">
        <f>IF(D33="DAYTON",$I$15*'3rd IA Load Pricing Results'!K52/'3rd IA Load Pricing Results'!$K$49,0)</f>
        <v>0</v>
      </c>
      <c r="Z33" s="457">
        <f t="shared" si="12"/>
        <v>0</v>
      </c>
      <c r="AA33" s="454">
        <f>IF(D33="DEOK",$I$16*'3rd IA Load Pricing Results'!K52/'3rd IA Load Pricing Results'!$K$50,0)</f>
        <v>0</v>
      </c>
      <c r="AB33" s="457">
        <f t="shared" si="13"/>
        <v>0</v>
      </c>
      <c r="AC33" s="454">
        <f>IF(D33=AC$21,$I$17*VLOOKUP(AC$21,'3rd IA Load Pricing Results'!$A$43:$K$63,11,0)/'3rd IA Load Pricing Results'!$K$52,0)</f>
        <v>1752.5858966611777</v>
      </c>
      <c r="AD33" s="457">
        <f>AC33*AD$22</f>
        <v>309118.09916334727</v>
      </c>
      <c r="AE33" s="458">
        <f t="shared" si="15"/>
        <v>1752.5858966611777</v>
      </c>
      <c r="AF33" s="23">
        <f>F33+H33+J33+L33+N33+P33+R33+T33+V33+X33+Z33+AB33+AD33</f>
        <v>309118.09916334727</v>
      </c>
      <c r="AG33" s="134">
        <f>AF33/VLOOKUP(AI33,'3rd IA Load Pricing Results'!$A$43:$K$63,11,0)</f>
        <v>14.330604356538608</v>
      </c>
      <c r="AH33" s="134">
        <f>IF(AE33=0,0,AF33/AE33)</f>
        <v>176.37828750775813</v>
      </c>
      <c r="AI33" s="81" t="s">
        <v>29</v>
      </c>
    </row>
    <row r="34" spans="1:35" x14ac:dyDescent="0.2">
      <c r="A34" s="15" t="s">
        <v>16</v>
      </c>
      <c r="B34" s="81" t="s">
        <v>27</v>
      </c>
      <c r="C34" s="81" t="s">
        <v>32</v>
      </c>
      <c r="D34" s="81" t="s">
        <v>16</v>
      </c>
      <c r="E34" s="454">
        <f>IF(B34="MAAC",ROUND($I$5*'3rd IA Load Pricing Results'!K53/'3rd IA Load Pricing Results'!$B$14,1),0)</f>
        <v>0</v>
      </c>
      <c r="F34" s="455">
        <f t="shared" si="2"/>
        <v>0</v>
      </c>
      <c r="G34" s="454">
        <f>IF(C34="EMAAC",$I$6*'3rd IA Load Pricing Results'!K53/'3rd IA Load Pricing Results'!$B$15,0)</f>
        <v>353.26365660777395</v>
      </c>
      <c r="H34" s="455">
        <f t="shared" si="3"/>
        <v>0</v>
      </c>
      <c r="I34" s="454">
        <f>IF(C34="SWMAAC",$I$7*'3rd IA Load Pricing Results'!K53/'3rd IA Load Pricing Results'!$B$16,0)</f>
        <v>0</v>
      </c>
      <c r="J34" s="455">
        <f t="shared" si="4"/>
        <v>0</v>
      </c>
      <c r="K34" s="454">
        <f>IF(D34="PS",$I$8*'3rd IA Load Pricing Results'!K53/'3rd IA Load Pricing Results'!$K$62,0)</f>
        <v>0</v>
      </c>
      <c r="L34" s="455">
        <f t="shared" si="5"/>
        <v>0</v>
      </c>
      <c r="M34" s="454">
        <f>IF(D34="DPL",$I$9*'3rd IA Load Pricing Results'!K53/'3rd IA Load Pricing Results'!$K$53,0)</f>
        <v>-435.37341375512369</v>
      </c>
      <c r="N34" s="455">
        <f t="shared" si="6"/>
        <v>0</v>
      </c>
      <c r="O34" s="454">
        <f>IF(D34="PEPCO",$I$10*'3rd IA Load Pricing Results'!K53/'3rd IA Load Pricing Results'!$K$60,0)</f>
        <v>0</v>
      </c>
      <c r="P34" s="455">
        <f t="shared" si="7"/>
        <v>0</v>
      </c>
      <c r="Q34" s="454">
        <f>IF(D34="ATSI",$I$11*'3rd IA Load Pricing Results'!K53/'3rd IA Load Pricing Results'!$K$46,0)</f>
        <v>0</v>
      </c>
      <c r="R34" s="455">
        <f t="shared" si="8"/>
        <v>0</v>
      </c>
      <c r="S34" s="454">
        <f>IF(D34="COMED",$I$12*'3rd IA Load Pricing Results'!K53/'3rd IA Load Pricing Results'!$K$48,0)</f>
        <v>0</v>
      </c>
      <c r="T34" s="455">
        <f t="shared" si="9"/>
        <v>0</v>
      </c>
      <c r="U34" s="454">
        <f>IF(D34="BGE",$I$13*'3rd IA Load Pricing Results'!K53/'3rd IA Load Pricing Results'!$K$47,0)</f>
        <v>0</v>
      </c>
      <c r="V34" s="455">
        <f t="shared" si="10"/>
        <v>0</v>
      </c>
      <c r="W34" s="454">
        <f>IF(D34="PL",$I$14*'3rd IA Load Pricing Results'!K53/'3rd IA Load Pricing Results'!$K$61,0)</f>
        <v>0</v>
      </c>
      <c r="X34" s="456">
        <f t="shared" si="11"/>
        <v>0</v>
      </c>
      <c r="Y34" s="454">
        <f>IF(D34="DAYTON",$I$15*'3rd IA Load Pricing Results'!K53/'3rd IA Load Pricing Results'!$K$49,0)</f>
        <v>0</v>
      </c>
      <c r="Z34" s="457">
        <f t="shared" si="12"/>
        <v>0</v>
      </c>
      <c r="AA34" s="454">
        <f>IF(D34="DEOK",$I$16*'3rd IA Load Pricing Results'!K53/'3rd IA Load Pricing Results'!$K$50,0)</f>
        <v>0</v>
      </c>
      <c r="AB34" s="457">
        <f t="shared" si="13"/>
        <v>0</v>
      </c>
      <c r="AC34" s="454">
        <f>IF(D34=AC$21,$I$17*VLOOKUP(AC$21,'3rd IA Load Pricing Results'!$A$43:$K$63,11,0)/'3rd IA Load Pricing Results'!$K$52,0)</f>
        <v>0</v>
      </c>
      <c r="AD34" s="457">
        <f t="shared" si="14"/>
        <v>0</v>
      </c>
      <c r="AE34" s="458">
        <f t="shared" si="15"/>
        <v>353.26365660777395</v>
      </c>
      <c r="AF34" s="23">
        <f t="shared" si="16"/>
        <v>0</v>
      </c>
      <c r="AG34" s="134">
        <f>AF34/VLOOKUP(AI34,'3rd IA Load Pricing Results'!$A$43:$K$63,11,0)</f>
        <v>0</v>
      </c>
      <c r="AH34" s="134">
        <f>IF(AE34=0,0,AF34/AE34)</f>
        <v>0</v>
      </c>
      <c r="AI34" s="81" t="s">
        <v>16</v>
      </c>
    </row>
    <row r="35" spans="1:35" x14ac:dyDescent="0.2">
      <c r="A35" s="15" t="s">
        <v>99</v>
      </c>
      <c r="B35" s="81"/>
      <c r="C35" s="81"/>
      <c r="D35" s="81"/>
      <c r="E35" s="454">
        <f>IF(B35="MAAC",ROUND($I$5*'3rd IA Load Pricing Results'!K54/'3rd IA Load Pricing Results'!$B$14,1),0)</f>
        <v>0</v>
      </c>
      <c r="F35" s="455">
        <f t="shared" si="2"/>
        <v>0</v>
      </c>
      <c r="G35" s="454">
        <f>IF(C35="EMAAC",$I$6*'3rd IA Load Pricing Results'!K54/'3rd IA Load Pricing Results'!$B$15,0)</f>
        <v>0</v>
      </c>
      <c r="H35" s="455">
        <f t="shared" si="3"/>
        <v>0</v>
      </c>
      <c r="I35" s="454">
        <f>IF(C35="SWMAAC",$I$7*'3rd IA Load Pricing Results'!K54/'3rd IA Load Pricing Results'!$B$16,0)</f>
        <v>0</v>
      </c>
      <c r="J35" s="455">
        <f t="shared" si="4"/>
        <v>0</v>
      </c>
      <c r="K35" s="454">
        <f>IF(D35="PS",$I$8*'3rd IA Load Pricing Results'!K54/'3rd IA Load Pricing Results'!$K$62,0)</f>
        <v>0</v>
      </c>
      <c r="L35" s="455">
        <f t="shared" si="5"/>
        <v>0</v>
      </c>
      <c r="M35" s="454">
        <f>IF(D35="DPL",$I$9*'3rd IA Load Pricing Results'!K54/'3rd IA Load Pricing Results'!$K$53,0)</f>
        <v>0</v>
      </c>
      <c r="N35" s="455">
        <f t="shared" si="6"/>
        <v>0</v>
      </c>
      <c r="O35" s="454">
        <f>IF(D35="PEPCO",$I$10*'3rd IA Load Pricing Results'!K54/'3rd IA Load Pricing Results'!$K$60,0)</f>
        <v>0</v>
      </c>
      <c r="P35" s="455">
        <f t="shared" si="7"/>
        <v>0</v>
      </c>
      <c r="Q35" s="454">
        <f>IF(D35="ATSI",$I$11*'3rd IA Load Pricing Results'!K54/'3rd IA Load Pricing Results'!$K$46,0)</f>
        <v>0</v>
      </c>
      <c r="R35" s="455">
        <f t="shared" si="8"/>
        <v>0</v>
      </c>
      <c r="S35" s="454">
        <f>IF(D35="COMED",$I$12*'3rd IA Load Pricing Results'!K54/'3rd IA Load Pricing Results'!$K$48,0)</f>
        <v>0</v>
      </c>
      <c r="T35" s="455">
        <f t="shared" si="9"/>
        <v>0</v>
      </c>
      <c r="U35" s="454">
        <f>IF(D35="BGE",$I$13*'3rd IA Load Pricing Results'!K54/'3rd IA Load Pricing Results'!$K$47,0)</f>
        <v>0</v>
      </c>
      <c r="V35" s="455">
        <f t="shared" si="10"/>
        <v>0</v>
      </c>
      <c r="W35" s="454">
        <f>IF(D35="PL",$I$14*'3rd IA Load Pricing Results'!K54/'3rd IA Load Pricing Results'!$K$61,0)</f>
        <v>0</v>
      </c>
      <c r="X35" s="456">
        <f t="shared" si="11"/>
        <v>0</v>
      </c>
      <c r="Y35" s="454">
        <f>IF(D35="DAYTON",$I$15*'3rd IA Load Pricing Results'!K54/'3rd IA Load Pricing Results'!$K$49,0)</f>
        <v>0</v>
      </c>
      <c r="Z35" s="457">
        <f t="shared" si="12"/>
        <v>0</v>
      </c>
      <c r="AA35" s="454">
        <f>IF(D35="DEOK",$I$16*'3rd IA Load Pricing Results'!K54/'3rd IA Load Pricing Results'!$K$50,0)</f>
        <v>0</v>
      </c>
      <c r="AB35" s="457">
        <f t="shared" si="13"/>
        <v>0</v>
      </c>
      <c r="AC35" s="454">
        <f>IF(D35=AC$21,$I$17*VLOOKUP(AC$21,'3rd IA Load Pricing Results'!$A$43:$K$63,11,0)/'3rd IA Load Pricing Results'!$K$52,0)</f>
        <v>0</v>
      </c>
      <c r="AD35" s="457">
        <f t="shared" si="14"/>
        <v>0</v>
      </c>
      <c r="AE35" s="458">
        <f t="shared" si="15"/>
        <v>0</v>
      </c>
      <c r="AF35" s="23">
        <f t="shared" si="16"/>
        <v>0</v>
      </c>
      <c r="AG35" s="134">
        <f>AF35/VLOOKUP(AI35,'3rd IA Load Pricing Results'!$A$43:$K$63,11,0)</f>
        <v>0</v>
      </c>
      <c r="AH35" s="134">
        <f>IF(AE35=0,0,AF35/AE35)</f>
        <v>0</v>
      </c>
      <c r="AI35" s="81" t="s">
        <v>99</v>
      </c>
    </row>
    <row r="36" spans="1:35" x14ac:dyDescent="0.2">
      <c r="A36" s="15" t="s">
        <v>11</v>
      </c>
      <c r="B36" s="81" t="s">
        <v>27</v>
      </c>
      <c r="C36" s="81" t="s">
        <v>32</v>
      </c>
      <c r="D36" s="81"/>
      <c r="E36" s="454">
        <f>IF(B36="MAAC",ROUND($I$5*'3rd IA Load Pricing Results'!K55/'3rd IA Load Pricing Results'!$B$14,1),0)</f>
        <v>0</v>
      </c>
      <c r="F36" s="455">
        <f t="shared" si="2"/>
        <v>0</v>
      </c>
      <c r="G36" s="454">
        <f>IF(C36="EMAAC",$I$6*'3rd IA Load Pricing Results'!K55/'3rd IA Load Pricing Results'!$B$15,0)</f>
        <v>538.5162425795429</v>
      </c>
      <c r="H36" s="455">
        <f t="shared" si="3"/>
        <v>0</v>
      </c>
      <c r="I36" s="454">
        <f>IF(C36="SWMAAC",$I$7*'3rd IA Load Pricing Results'!K55/'3rd IA Load Pricing Results'!$B$16,0)</f>
        <v>0</v>
      </c>
      <c r="J36" s="455">
        <f t="shared" si="4"/>
        <v>0</v>
      </c>
      <c r="K36" s="454">
        <f>IF(D36="PS",$I$8*'3rd IA Load Pricing Results'!K55/'3rd IA Load Pricing Results'!$K$62,0)</f>
        <v>0</v>
      </c>
      <c r="L36" s="455">
        <f t="shared" si="5"/>
        <v>0</v>
      </c>
      <c r="M36" s="454">
        <f>IF(D36="DPL",$I$9*'3rd IA Load Pricing Results'!K55/'3rd IA Load Pricing Results'!$K$53,0)</f>
        <v>0</v>
      </c>
      <c r="N36" s="455">
        <f t="shared" si="6"/>
        <v>0</v>
      </c>
      <c r="O36" s="454">
        <f>IF(D36="PEPCO",$I$10*'3rd IA Load Pricing Results'!K55/'3rd IA Load Pricing Results'!$K$60,0)</f>
        <v>0</v>
      </c>
      <c r="P36" s="455">
        <f t="shared" si="7"/>
        <v>0</v>
      </c>
      <c r="Q36" s="454">
        <f>IF(D36="ATSI",$I$11*'3rd IA Load Pricing Results'!K55/'3rd IA Load Pricing Results'!$K$46,0)</f>
        <v>0</v>
      </c>
      <c r="R36" s="455">
        <f t="shared" si="8"/>
        <v>0</v>
      </c>
      <c r="S36" s="454">
        <f>IF(D36="COMED",$I$12*'3rd IA Load Pricing Results'!K55/'3rd IA Load Pricing Results'!$K$48,0)</f>
        <v>0</v>
      </c>
      <c r="T36" s="455">
        <f t="shared" si="9"/>
        <v>0</v>
      </c>
      <c r="U36" s="454">
        <f>IF(D36="BGE",$I$13*'3rd IA Load Pricing Results'!K55/'3rd IA Load Pricing Results'!$K$47,0)</f>
        <v>0</v>
      </c>
      <c r="V36" s="455">
        <f t="shared" si="10"/>
        <v>0</v>
      </c>
      <c r="W36" s="454">
        <f>IF(D36="PL",$I$14*'3rd IA Load Pricing Results'!K55/'3rd IA Load Pricing Results'!$K$61,0)</f>
        <v>0</v>
      </c>
      <c r="X36" s="456">
        <f t="shared" si="11"/>
        <v>0</v>
      </c>
      <c r="Y36" s="454">
        <f>IF(D36="DAYTON",$I$15*'3rd IA Load Pricing Results'!K55/'3rd IA Load Pricing Results'!$K$49,0)</f>
        <v>0</v>
      </c>
      <c r="Z36" s="457">
        <f t="shared" si="12"/>
        <v>0</v>
      </c>
      <c r="AA36" s="454">
        <f>IF(D36="DEOK",$I$16*'3rd IA Load Pricing Results'!K55/'3rd IA Load Pricing Results'!$K$50,0)</f>
        <v>0</v>
      </c>
      <c r="AB36" s="457">
        <f t="shared" si="13"/>
        <v>0</v>
      </c>
      <c r="AC36" s="454">
        <f>IF(D36=AC$21,$I$17*VLOOKUP(AC$21,'3rd IA Load Pricing Results'!$A$43:$K$63,11,0)/'3rd IA Load Pricing Results'!$K$52,0)</f>
        <v>0</v>
      </c>
      <c r="AD36" s="457">
        <f t="shared" si="14"/>
        <v>0</v>
      </c>
      <c r="AE36" s="458">
        <f t="shared" si="15"/>
        <v>538.5162425795429</v>
      </c>
      <c r="AF36" s="23">
        <f t="shared" si="16"/>
        <v>0</v>
      </c>
      <c r="AG36" s="134">
        <f>AF36/VLOOKUP(AI36,'3rd IA Load Pricing Results'!$A$43:$K$63,11,0)</f>
        <v>0</v>
      </c>
      <c r="AH36" s="134">
        <f t="shared" si="17"/>
        <v>0</v>
      </c>
      <c r="AI36" s="81" t="s">
        <v>11</v>
      </c>
    </row>
    <row r="37" spans="1:35" x14ac:dyDescent="0.2">
      <c r="A37" s="15" t="s">
        <v>12</v>
      </c>
      <c r="B37" s="81" t="s">
        <v>27</v>
      </c>
      <c r="C37" s="81"/>
      <c r="D37" s="81"/>
      <c r="E37" s="454">
        <f>IF(B37="MAAC",ROUND($I$5*'3rd IA Load Pricing Results'!K56/'3rd IA Load Pricing Results'!$B$14,1),0)</f>
        <v>0</v>
      </c>
      <c r="F37" s="455">
        <f t="shared" si="2"/>
        <v>0</v>
      </c>
      <c r="G37" s="454">
        <f>IF(C37="EMAAC",$I$6*'3rd IA Load Pricing Results'!K56/'3rd IA Load Pricing Results'!$B$15,0)</f>
        <v>0</v>
      </c>
      <c r="H37" s="455">
        <f t="shared" si="3"/>
        <v>0</v>
      </c>
      <c r="I37" s="454">
        <f>IF(C37="SWMAAC",$I$7*'3rd IA Load Pricing Results'!K56/'3rd IA Load Pricing Results'!$B$16,0)</f>
        <v>0</v>
      </c>
      <c r="J37" s="455">
        <f t="shared" si="4"/>
        <v>0</v>
      </c>
      <c r="K37" s="454">
        <f>IF(D37="PS",$I$8*'3rd IA Load Pricing Results'!K56/'3rd IA Load Pricing Results'!$K$62,0)</f>
        <v>0</v>
      </c>
      <c r="L37" s="455">
        <f t="shared" si="5"/>
        <v>0</v>
      </c>
      <c r="M37" s="454">
        <f>IF(D37="DPL",$I$9*'3rd IA Load Pricing Results'!K56/'3rd IA Load Pricing Results'!$K$53,0)</f>
        <v>0</v>
      </c>
      <c r="N37" s="455">
        <f t="shared" si="6"/>
        <v>0</v>
      </c>
      <c r="O37" s="454">
        <f>IF(D37="PEPCO",$I$10*'3rd IA Load Pricing Results'!K56/'3rd IA Load Pricing Results'!$K$60,0)</f>
        <v>0</v>
      </c>
      <c r="P37" s="455">
        <f t="shared" si="7"/>
        <v>0</v>
      </c>
      <c r="Q37" s="454">
        <f>IF(D37="ATSI",$I$11*'3rd IA Load Pricing Results'!K56/'3rd IA Load Pricing Results'!$K$46,0)</f>
        <v>0</v>
      </c>
      <c r="R37" s="455">
        <f t="shared" si="8"/>
        <v>0</v>
      </c>
      <c r="S37" s="454">
        <f>IF(D37="COMED",$I$12*'3rd IA Load Pricing Results'!K56/'3rd IA Load Pricing Results'!$K$48,0)</f>
        <v>0</v>
      </c>
      <c r="T37" s="455">
        <f t="shared" si="9"/>
        <v>0</v>
      </c>
      <c r="U37" s="454">
        <f>IF(D37="BGE",$I$13*'3rd IA Load Pricing Results'!K56/'3rd IA Load Pricing Results'!$K$47,0)</f>
        <v>0</v>
      </c>
      <c r="V37" s="455">
        <f t="shared" si="10"/>
        <v>0</v>
      </c>
      <c r="W37" s="454">
        <f>IF(D37="PL",$I$14*'3rd IA Load Pricing Results'!K56/'3rd IA Load Pricing Results'!$K$61,0)</f>
        <v>0</v>
      </c>
      <c r="X37" s="456">
        <f t="shared" si="11"/>
        <v>0</v>
      </c>
      <c r="Y37" s="454">
        <f>IF(D37="DAYTON",$I$15*'3rd IA Load Pricing Results'!K56/'3rd IA Load Pricing Results'!$K$49,0)</f>
        <v>0</v>
      </c>
      <c r="Z37" s="457">
        <f t="shared" si="12"/>
        <v>0</v>
      </c>
      <c r="AA37" s="454">
        <f>IF(D37="DEOK",$I$16*'3rd IA Load Pricing Results'!K56/'3rd IA Load Pricing Results'!$K$50,0)</f>
        <v>0</v>
      </c>
      <c r="AB37" s="457">
        <f t="shared" si="13"/>
        <v>0</v>
      </c>
      <c r="AC37" s="454">
        <f>IF(D37=AC$21,$I$17*VLOOKUP(AC$21,'3rd IA Load Pricing Results'!$A$43:$K$63,11,0)/'3rd IA Load Pricing Results'!$K$52,0)</f>
        <v>0</v>
      </c>
      <c r="AD37" s="457">
        <f t="shared" si="14"/>
        <v>0</v>
      </c>
      <c r="AE37" s="458">
        <f t="shared" si="15"/>
        <v>0</v>
      </c>
      <c r="AF37" s="23">
        <f t="shared" si="16"/>
        <v>0</v>
      </c>
      <c r="AG37" s="134">
        <f>AF37/VLOOKUP(AI37,'3rd IA Load Pricing Results'!$A$43:$K$63,11,0)</f>
        <v>0</v>
      </c>
      <c r="AH37" s="459">
        <f t="shared" si="17"/>
        <v>0</v>
      </c>
      <c r="AI37" s="81" t="s">
        <v>12</v>
      </c>
    </row>
    <row r="38" spans="1:35" x14ac:dyDescent="0.2">
      <c r="A38" s="15" t="s">
        <v>173</v>
      </c>
      <c r="B38" s="81"/>
      <c r="C38" s="81"/>
      <c r="D38" s="81"/>
      <c r="E38" s="454">
        <f>IF(B38="MAAC",ROUND($I$5*'3rd IA Load Pricing Results'!K57/'3rd IA Load Pricing Results'!$B$14,1),0)</f>
        <v>0</v>
      </c>
      <c r="F38" s="455">
        <f t="shared" si="2"/>
        <v>0</v>
      </c>
      <c r="G38" s="454">
        <f>IF(C38="EMAAC",$I$6*'3rd IA Load Pricing Results'!K57/'3rd IA Load Pricing Results'!$B$15,0)</f>
        <v>0</v>
      </c>
      <c r="H38" s="455">
        <f t="shared" si="3"/>
        <v>0</v>
      </c>
      <c r="I38" s="454">
        <f>IF(C38="SWMAAC",$I$7*'3rd IA Load Pricing Results'!K57/'3rd IA Load Pricing Results'!$B$16,0)</f>
        <v>0</v>
      </c>
      <c r="J38" s="455">
        <f t="shared" si="4"/>
        <v>0</v>
      </c>
      <c r="K38" s="454">
        <f>IF(D38="PS",$I$8*'3rd IA Load Pricing Results'!K57/'3rd IA Load Pricing Results'!$K$62,0)</f>
        <v>0</v>
      </c>
      <c r="L38" s="455">
        <f t="shared" si="5"/>
        <v>0</v>
      </c>
      <c r="M38" s="454">
        <f>IF(D38="DPL",$I$9*'3rd IA Load Pricing Results'!K57/'3rd IA Load Pricing Results'!$K$53,0)</f>
        <v>0</v>
      </c>
      <c r="N38" s="455">
        <f t="shared" si="6"/>
        <v>0</v>
      </c>
      <c r="O38" s="454">
        <f>IF(D38="PEPCO",$I$10*'3rd IA Load Pricing Results'!K57/'3rd IA Load Pricing Results'!$K$60,0)</f>
        <v>0</v>
      </c>
      <c r="P38" s="455">
        <f t="shared" si="7"/>
        <v>0</v>
      </c>
      <c r="Q38" s="454">
        <f>IF(D38="ATSI",$I$11*'3rd IA Load Pricing Results'!K57/'3rd IA Load Pricing Results'!$K$46,0)</f>
        <v>0</v>
      </c>
      <c r="R38" s="455">
        <f t="shared" si="8"/>
        <v>0</v>
      </c>
      <c r="S38" s="454">
        <f>IF(D38="COMED",$I$12*'3rd IA Load Pricing Results'!K57/'3rd IA Load Pricing Results'!$K$48,0)</f>
        <v>0</v>
      </c>
      <c r="T38" s="455">
        <f t="shared" si="9"/>
        <v>0</v>
      </c>
      <c r="U38" s="454">
        <f>IF(D38="BGE",$I$13*'3rd IA Load Pricing Results'!K57/'3rd IA Load Pricing Results'!$K$47,0)</f>
        <v>0</v>
      </c>
      <c r="V38" s="455">
        <f t="shared" si="10"/>
        <v>0</v>
      </c>
      <c r="W38" s="454">
        <f>IF(D38="PL",$I$14*'3rd IA Load Pricing Results'!K57/'3rd IA Load Pricing Results'!$K$61,0)</f>
        <v>0</v>
      </c>
      <c r="X38" s="456">
        <f t="shared" si="11"/>
        <v>0</v>
      </c>
      <c r="Y38" s="454">
        <f>IF(D38="DAYTON",$I$15*'3rd IA Load Pricing Results'!K57/'3rd IA Load Pricing Results'!$K$49,0)</f>
        <v>0</v>
      </c>
      <c r="Z38" s="457">
        <f t="shared" si="12"/>
        <v>0</v>
      </c>
      <c r="AA38" s="454">
        <f>IF(D38="DEOK",$I$16*'3rd IA Load Pricing Results'!K57/'3rd IA Load Pricing Results'!$K$50,0)</f>
        <v>0</v>
      </c>
      <c r="AB38" s="457">
        <f t="shared" si="13"/>
        <v>0</v>
      </c>
      <c r="AC38" s="454">
        <f>IF(D38=AC$21,$I$17*VLOOKUP(AC$21,'3rd IA Load Pricing Results'!$A$43:$K$63,11,0)/'3rd IA Load Pricing Results'!$K$52,0)</f>
        <v>0</v>
      </c>
      <c r="AD38" s="457">
        <f t="shared" si="14"/>
        <v>0</v>
      </c>
      <c r="AE38" s="458">
        <f t="shared" si="15"/>
        <v>0</v>
      </c>
      <c r="AF38" s="23">
        <f t="shared" si="16"/>
        <v>0</v>
      </c>
      <c r="AG38" s="134">
        <f>AF38/VLOOKUP(AI38,'3rd IA Load Pricing Results'!$A$43:$K$63,11,0)</f>
        <v>0</v>
      </c>
      <c r="AH38" s="459">
        <f t="shared" si="17"/>
        <v>0</v>
      </c>
      <c r="AI38" s="81" t="s">
        <v>173</v>
      </c>
    </row>
    <row r="39" spans="1:35" x14ac:dyDescent="0.2">
      <c r="A39" s="15" t="s">
        <v>8</v>
      </c>
      <c r="B39" s="81" t="s">
        <v>27</v>
      </c>
      <c r="C39" s="81" t="s">
        <v>32</v>
      </c>
      <c r="D39" s="81"/>
      <c r="E39" s="454">
        <f>IF(B39="MAAC",ROUND($I$5*'3rd IA Load Pricing Results'!K58/'3rd IA Load Pricing Results'!$B$14,1),0)</f>
        <v>0</v>
      </c>
      <c r="F39" s="455">
        <f t="shared" si="2"/>
        <v>0</v>
      </c>
      <c r="G39" s="454">
        <f>IF(C39="EMAAC",$I$6*'3rd IA Load Pricing Results'!K58/'3rd IA Load Pricing Results'!$B$15,0)</f>
        <v>763.12446138294717</v>
      </c>
      <c r="H39" s="455">
        <f t="shared" si="3"/>
        <v>0</v>
      </c>
      <c r="I39" s="454">
        <f>IF(C39="SWMAAC",$I$7*'3rd IA Load Pricing Results'!K58/'3rd IA Load Pricing Results'!$B$16,0)</f>
        <v>0</v>
      </c>
      <c r="J39" s="455">
        <f t="shared" si="4"/>
        <v>0</v>
      </c>
      <c r="K39" s="454">
        <f>IF(D39="PS",$I$8*'3rd IA Load Pricing Results'!K58/'3rd IA Load Pricing Results'!$K$62,0)</f>
        <v>0</v>
      </c>
      <c r="L39" s="455">
        <f t="shared" si="5"/>
        <v>0</v>
      </c>
      <c r="M39" s="454">
        <f>IF(D39="DPL",$I$9*'3rd IA Load Pricing Results'!K58/'3rd IA Load Pricing Results'!$K$53,0)</f>
        <v>0</v>
      </c>
      <c r="N39" s="455">
        <f t="shared" si="6"/>
        <v>0</v>
      </c>
      <c r="O39" s="454">
        <f>IF(D39="PEPCO",$I$10*'3rd IA Load Pricing Results'!K58/'3rd IA Load Pricing Results'!$K$60,0)</f>
        <v>0</v>
      </c>
      <c r="P39" s="455">
        <f t="shared" si="7"/>
        <v>0</v>
      </c>
      <c r="Q39" s="454">
        <f>IF(D39="ATSI",$I$11*'3rd IA Load Pricing Results'!K58/'3rd IA Load Pricing Results'!$K$46,0)</f>
        <v>0</v>
      </c>
      <c r="R39" s="455">
        <f t="shared" si="8"/>
        <v>0</v>
      </c>
      <c r="S39" s="454">
        <f>IF(D39="COMED",$I$12*'3rd IA Load Pricing Results'!K58/'3rd IA Load Pricing Results'!$K$48,0)</f>
        <v>0</v>
      </c>
      <c r="T39" s="455">
        <f t="shared" si="9"/>
        <v>0</v>
      </c>
      <c r="U39" s="454">
        <f>IF(D39="BGE",$I$13*'3rd IA Load Pricing Results'!K58/'3rd IA Load Pricing Results'!$K$47,0)</f>
        <v>0</v>
      </c>
      <c r="V39" s="455">
        <f t="shared" si="10"/>
        <v>0</v>
      </c>
      <c r="W39" s="454">
        <f>IF(D39="PL",$I$14*'3rd IA Load Pricing Results'!K58/'3rd IA Load Pricing Results'!$K$61,0)</f>
        <v>0</v>
      </c>
      <c r="X39" s="456">
        <f t="shared" si="11"/>
        <v>0</v>
      </c>
      <c r="Y39" s="454">
        <f>IF(D39="DAYTON",$I$15*'3rd IA Load Pricing Results'!K58/'3rd IA Load Pricing Results'!$K$49,0)</f>
        <v>0</v>
      </c>
      <c r="Z39" s="457">
        <f t="shared" si="12"/>
        <v>0</v>
      </c>
      <c r="AA39" s="454">
        <f>IF(D39="DEOK",$I$16*'3rd IA Load Pricing Results'!K58/'3rd IA Load Pricing Results'!$K$50,0)</f>
        <v>0</v>
      </c>
      <c r="AB39" s="457">
        <f t="shared" si="13"/>
        <v>0</v>
      </c>
      <c r="AC39" s="454">
        <f>IF(D39=AC$21,$I$17*VLOOKUP(AC$21,'3rd IA Load Pricing Results'!$A$43:$K$63,11,0)/'3rd IA Load Pricing Results'!$K$52,0)</f>
        <v>0</v>
      </c>
      <c r="AD39" s="457">
        <f t="shared" si="14"/>
        <v>0</v>
      </c>
      <c r="AE39" s="458">
        <f t="shared" si="15"/>
        <v>763.12446138294717</v>
      </c>
      <c r="AF39" s="23">
        <f t="shared" si="16"/>
        <v>0</v>
      </c>
      <c r="AG39" s="134">
        <f>AF39/VLOOKUP(AI39,'3rd IA Load Pricing Results'!$A$43:$K$63,11,0)</f>
        <v>0</v>
      </c>
      <c r="AH39" s="459">
        <f t="shared" si="17"/>
        <v>0</v>
      </c>
      <c r="AI39" s="81" t="s">
        <v>8</v>
      </c>
    </row>
    <row r="40" spans="1:35" x14ac:dyDescent="0.2">
      <c r="A40" s="15" t="s">
        <v>13</v>
      </c>
      <c r="B40" s="81" t="s">
        <v>27</v>
      </c>
      <c r="C40" s="81"/>
      <c r="D40" s="81"/>
      <c r="E40" s="454">
        <f>IF(B40="MAAC",ROUND($I$5*'3rd IA Load Pricing Results'!K59/'3rd IA Load Pricing Results'!$B$14,1),0)</f>
        <v>0</v>
      </c>
      <c r="F40" s="455">
        <f t="shared" si="2"/>
        <v>0</v>
      </c>
      <c r="G40" s="454">
        <f>IF(C40="EMAAC",$I$6*'3rd IA Load Pricing Results'!K59/'3rd IA Load Pricing Results'!$B$15,0)</f>
        <v>0</v>
      </c>
      <c r="H40" s="455">
        <f t="shared" si="3"/>
        <v>0</v>
      </c>
      <c r="I40" s="454">
        <f>IF(C40="SWMAAC",$I$7*'3rd IA Load Pricing Results'!K59/'3rd IA Load Pricing Results'!$B$16,0)</f>
        <v>0</v>
      </c>
      <c r="J40" s="455">
        <f t="shared" si="4"/>
        <v>0</v>
      </c>
      <c r="K40" s="454">
        <f>IF(D40="PS",$I$8*'3rd IA Load Pricing Results'!K59/'3rd IA Load Pricing Results'!$K$62,0)</f>
        <v>0</v>
      </c>
      <c r="L40" s="455">
        <f t="shared" si="5"/>
        <v>0</v>
      </c>
      <c r="M40" s="454">
        <f>IF(D40="DPL",$I$9*'3rd IA Load Pricing Results'!K59/'3rd IA Load Pricing Results'!$K$53,0)</f>
        <v>0</v>
      </c>
      <c r="N40" s="455">
        <f t="shared" si="6"/>
        <v>0</v>
      </c>
      <c r="O40" s="454">
        <f>IF(D40="PEPCO",$I$10*'3rd IA Load Pricing Results'!K59/'3rd IA Load Pricing Results'!$K$60,0)</f>
        <v>0</v>
      </c>
      <c r="P40" s="455">
        <f t="shared" si="7"/>
        <v>0</v>
      </c>
      <c r="Q40" s="454">
        <f>IF(D40="ATSI",$I$11*'3rd IA Load Pricing Results'!K59/'3rd IA Load Pricing Results'!$K$46,0)</f>
        <v>0</v>
      </c>
      <c r="R40" s="455">
        <f t="shared" si="8"/>
        <v>0</v>
      </c>
      <c r="S40" s="454">
        <f>IF(D40="COMED",$I$12*'3rd IA Load Pricing Results'!K59/'3rd IA Load Pricing Results'!$K$48,0)</f>
        <v>0</v>
      </c>
      <c r="T40" s="455">
        <f t="shared" si="9"/>
        <v>0</v>
      </c>
      <c r="U40" s="454">
        <f>IF(D40="BGE",$I$13*'3rd IA Load Pricing Results'!K59/'3rd IA Load Pricing Results'!$K$47,0)</f>
        <v>0</v>
      </c>
      <c r="V40" s="455">
        <f t="shared" si="10"/>
        <v>0</v>
      </c>
      <c r="W40" s="454">
        <f>IF(D40="PL",$I$14*'3rd IA Load Pricing Results'!K59/'3rd IA Load Pricing Results'!$K$61,0)</f>
        <v>0</v>
      </c>
      <c r="X40" s="456">
        <f t="shared" si="11"/>
        <v>0</v>
      </c>
      <c r="Y40" s="454">
        <f>IF(D40="DAYTON",$I$15*'3rd IA Load Pricing Results'!K59/'3rd IA Load Pricing Results'!$K$49,0)</f>
        <v>0</v>
      </c>
      <c r="Z40" s="457">
        <f t="shared" si="12"/>
        <v>0</v>
      </c>
      <c r="AA40" s="454">
        <f>IF(D40="DEOK",$I$16*'3rd IA Load Pricing Results'!K59/'3rd IA Load Pricing Results'!$K$50,0)</f>
        <v>0</v>
      </c>
      <c r="AB40" s="457">
        <f t="shared" si="13"/>
        <v>0</v>
      </c>
      <c r="AC40" s="454">
        <f>IF(D40=AC$21,$I$17*VLOOKUP(AC$21,'3rd IA Load Pricing Results'!$A$43:$K$63,11,0)/'3rd IA Load Pricing Results'!$K$52,0)</f>
        <v>0</v>
      </c>
      <c r="AD40" s="457">
        <f t="shared" si="14"/>
        <v>0</v>
      </c>
      <c r="AE40" s="458">
        <f t="shared" si="15"/>
        <v>0</v>
      </c>
      <c r="AF40" s="23">
        <f t="shared" si="16"/>
        <v>0</v>
      </c>
      <c r="AG40" s="134">
        <f>AF40/VLOOKUP(AI40,'3rd IA Load Pricing Results'!$A$43:$K$63,11,0)</f>
        <v>0</v>
      </c>
      <c r="AH40" s="459">
        <f t="shared" si="17"/>
        <v>0</v>
      </c>
      <c r="AI40" s="81" t="s">
        <v>13</v>
      </c>
    </row>
    <row r="41" spans="1:35" x14ac:dyDescent="0.2">
      <c r="A41" s="15" t="s">
        <v>14</v>
      </c>
      <c r="B41" s="81" t="s">
        <v>27</v>
      </c>
      <c r="C41" s="81" t="s">
        <v>4</v>
      </c>
      <c r="D41" s="81" t="s">
        <v>14</v>
      </c>
      <c r="E41" s="454">
        <f>IF(B41="MAAC",ROUND($I$5*'3rd IA Load Pricing Results'!K60/'3rd IA Load Pricing Results'!$B$14,1),0)</f>
        <v>0</v>
      </c>
      <c r="F41" s="455">
        <f t="shared" si="2"/>
        <v>0</v>
      </c>
      <c r="G41" s="454">
        <f>IF(C41="EMAAC",$I$6*'3rd IA Load Pricing Results'!K60/'3rd IA Load Pricing Results'!$B$15,0)</f>
        <v>0</v>
      </c>
      <c r="H41" s="455">
        <f t="shared" si="3"/>
        <v>0</v>
      </c>
      <c r="I41" s="454">
        <f>IF(C41="SWMAAC",$I$7*'3rd IA Load Pricing Results'!K60/'3rd IA Load Pricing Results'!$B$16,0)</f>
        <v>2263.5492099432768</v>
      </c>
      <c r="J41" s="455">
        <f t="shared" si="4"/>
        <v>0</v>
      </c>
      <c r="K41" s="454">
        <f>IF(D41="PS",$I$8*'3rd IA Load Pricing Results'!K60/'3rd IA Load Pricing Results'!$K$62,0)</f>
        <v>0</v>
      </c>
      <c r="L41" s="455">
        <f t="shared" si="5"/>
        <v>0</v>
      </c>
      <c r="M41" s="454">
        <f>IF(D41="DPL",$I$9*'3rd IA Load Pricing Results'!K60/'3rd IA Load Pricing Results'!$K$53,0)</f>
        <v>0</v>
      </c>
      <c r="N41" s="455">
        <f t="shared" si="6"/>
        <v>0</v>
      </c>
      <c r="O41" s="454">
        <f>IF(D41="PEPCO",$I$10*'3rd IA Load Pricing Results'!K60/'3rd IA Load Pricing Results'!$K$60,0)</f>
        <v>3046.8872706890165</v>
      </c>
      <c r="P41" s="455">
        <f t="shared" si="7"/>
        <v>0</v>
      </c>
      <c r="Q41" s="454">
        <f>IF(D41="ATSI",$I$11*'3rd IA Load Pricing Results'!K60/'3rd IA Load Pricing Results'!$K$46,0)</f>
        <v>0</v>
      </c>
      <c r="R41" s="455">
        <f t="shared" si="8"/>
        <v>0</v>
      </c>
      <c r="S41" s="454">
        <f>IF(D41="COMED",$I$12*'3rd IA Load Pricing Results'!K60/'3rd IA Load Pricing Results'!$K$48,0)</f>
        <v>0</v>
      </c>
      <c r="T41" s="455">
        <f t="shared" si="9"/>
        <v>0</v>
      </c>
      <c r="U41" s="454">
        <f>IF(D41="BGE",$I$13*'3rd IA Load Pricing Results'!K60/'3rd IA Load Pricing Results'!$K$47,0)</f>
        <v>0</v>
      </c>
      <c r="V41" s="455">
        <f t="shared" si="10"/>
        <v>0</v>
      </c>
      <c r="W41" s="454">
        <f>IF(D41="PL",$I$14*'3rd IA Load Pricing Results'!K60/'3rd IA Load Pricing Results'!$K$61,0)</f>
        <v>0</v>
      </c>
      <c r="X41" s="456">
        <f t="shared" si="11"/>
        <v>0</v>
      </c>
      <c r="Y41" s="454">
        <f>IF(D41="DAYTON",$I$15*'3rd IA Load Pricing Results'!K60/'3rd IA Load Pricing Results'!$K$49,0)</f>
        <v>0</v>
      </c>
      <c r="Z41" s="457">
        <f t="shared" si="12"/>
        <v>0</v>
      </c>
      <c r="AA41" s="454">
        <f>IF(D41="DEOK",$I$16*'3rd IA Load Pricing Results'!K60/'3rd IA Load Pricing Results'!$K$50,0)</f>
        <v>0</v>
      </c>
      <c r="AB41" s="457">
        <f t="shared" si="13"/>
        <v>0</v>
      </c>
      <c r="AC41" s="454">
        <f>IF(D41=AC$21,$I$17*VLOOKUP(AC$21,'3rd IA Load Pricing Results'!$A$43:$K$63,11,0)/'3rd IA Load Pricing Results'!$K$52,0)</f>
        <v>0</v>
      </c>
      <c r="AD41" s="457">
        <f t="shared" si="14"/>
        <v>0</v>
      </c>
      <c r="AE41" s="458">
        <f t="shared" si="15"/>
        <v>3046.8872706890165</v>
      </c>
      <c r="AF41" s="23">
        <f t="shared" si="16"/>
        <v>0</v>
      </c>
      <c r="AG41" s="134">
        <f>AF41/VLOOKUP(AI41,'3rd IA Load Pricing Results'!$A$43:$K$63,11,0)</f>
        <v>0</v>
      </c>
      <c r="AH41" s="459">
        <f t="shared" si="17"/>
        <v>0</v>
      </c>
      <c r="AI41" s="81" t="s">
        <v>14</v>
      </c>
    </row>
    <row r="42" spans="1:35" x14ac:dyDescent="0.2">
      <c r="A42" s="15" t="s">
        <v>9</v>
      </c>
      <c r="B42" s="81" t="s">
        <v>27</v>
      </c>
      <c r="C42" s="81"/>
      <c r="D42" s="81" t="s">
        <v>9</v>
      </c>
      <c r="E42" s="454">
        <f>IF(B42="MAAC",ROUND($I$5*'3rd IA Load Pricing Results'!K61/'3rd IA Load Pricing Results'!$B$14,1),0)</f>
        <v>0</v>
      </c>
      <c r="F42" s="455">
        <f t="shared" si="2"/>
        <v>0</v>
      </c>
      <c r="G42" s="454">
        <f>IF(C42="EMAAC",$I$6*'3rd IA Load Pricing Results'!K61/'3rd IA Load Pricing Results'!$B$15,0)</f>
        <v>0</v>
      </c>
      <c r="H42" s="455">
        <f t="shared" si="3"/>
        <v>0</v>
      </c>
      <c r="I42" s="454">
        <f>IF(C42="SWMAAC",$I$7*'3rd IA Load Pricing Results'!K61/'3rd IA Load Pricing Results'!$B$16,0)</f>
        <v>0</v>
      </c>
      <c r="J42" s="455">
        <f t="shared" si="4"/>
        <v>0</v>
      </c>
      <c r="K42" s="454">
        <f>IF(D42="PS",$I$8*'3rd IA Load Pricing Results'!K61/'3rd IA Load Pricing Results'!$K$62,0)</f>
        <v>0</v>
      </c>
      <c r="L42" s="455">
        <f t="shared" si="5"/>
        <v>0</v>
      </c>
      <c r="M42" s="454">
        <f>IF(D42="DPL",$I$9*'3rd IA Load Pricing Results'!K61/'3rd IA Load Pricing Results'!$K$53,0)</f>
        <v>0</v>
      </c>
      <c r="N42" s="455">
        <f t="shared" si="6"/>
        <v>0</v>
      </c>
      <c r="O42" s="454">
        <f>IF(D42="PEPCO",$I$10*'3rd IA Load Pricing Results'!K61/'3rd IA Load Pricing Results'!$K$60,0)</f>
        <v>0</v>
      </c>
      <c r="P42" s="455">
        <f t="shared" si="7"/>
        <v>0</v>
      </c>
      <c r="Q42" s="454">
        <f>IF(D42="ATSI",$I$11*'3rd IA Load Pricing Results'!K61/'3rd IA Load Pricing Results'!$K$46,0)</f>
        <v>0</v>
      </c>
      <c r="R42" s="455">
        <f t="shared" si="8"/>
        <v>0</v>
      </c>
      <c r="S42" s="454">
        <f>IF(D42="COMED",$I$12*'3rd IA Load Pricing Results'!K61/'3rd IA Load Pricing Results'!$K$48,0)</f>
        <v>0</v>
      </c>
      <c r="T42" s="455">
        <f t="shared" si="9"/>
        <v>0</v>
      </c>
      <c r="U42" s="454">
        <f>IF(D42="BGE",$I$13*'3rd IA Load Pricing Results'!K61/'3rd IA Load Pricing Results'!$K$47,0)</f>
        <v>0</v>
      </c>
      <c r="V42" s="455">
        <f t="shared" si="10"/>
        <v>0</v>
      </c>
      <c r="W42" s="454">
        <f>IF(D42="PL",$I$14*'3rd IA Load Pricing Results'!K61/'3rd IA Load Pricing Results'!$K$61,0)</f>
        <v>-1716.0083528400974</v>
      </c>
      <c r="X42" s="456">
        <f t="shared" si="11"/>
        <v>0</v>
      </c>
      <c r="Y42" s="454">
        <f>IF(D42="DAYTON",$I$15*'3rd IA Load Pricing Results'!K61/'3rd IA Load Pricing Results'!$K$49,0)</f>
        <v>0</v>
      </c>
      <c r="Z42" s="457">
        <f t="shared" si="12"/>
        <v>0</v>
      </c>
      <c r="AA42" s="454">
        <f>IF(D42="DEOK",$I$16*'3rd IA Load Pricing Results'!K61/'3rd IA Load Pricing Results'!$K$50,0)</f>
        <v>0</v>
      </c>
      <c r="AB42" s="457">
        <f t="shared" si="13"/>
        <v>0</v>
      </c>
      <c r="AC42" s="454">
        <f>IF(D42=AC$21,$I$17*VLOOKUP(AC$21,'3rd IA Load Pricing Results'!$A$43:$K$63,11,0)/'3rd IA Load Pricing Results'!$K$52,0)</f>
        <v>0</v>
      </c>
      <c r="AD42" s="457">
        <f t="shared" si="14"/>
        <v>0</v>
      </c>
      <c r="AE42" s="458">
        <f t="shared" si="15"/>
        <v>0</v>
      </c>
      <c r="AF42" s="23">
        <f t="shared" si="16"/>
        <v>0</v>
      </c>
      <c r="AG42" s="134">
        <f>AF42/VLOOKUP(AI42,'3rd IA Load Pricing Results'!$A$43:$K$63,11,0)</f>
        <v>0</v>
      </c>
      <c r="AH42" s="459">
        <f t="shared" si="17"/>
        <v>0</v>
      </c>
      <c r="AI42" s="81" t="s">
        <v>9</v>
      </c>
    </row>
    <row r="43" spans="1:35" x14ac:dyDescent="0.2">
      <c r="A43" s="15" t="s">
        <v>7</v>
      </c>
      <c r="B43" s="81" t="s">
        <v>27</v>
      </c>
      <c r="C43" s="81" t="s">
        <v>32</v>
      </c>
      <c r="D43" s="81" t="s">
        <v>7</v>
      </c>
      <c r="E43" s="454">
        <f>IF(B43="MAAC",ROUND($I$5*'3rd IA Load Pricing Results'!K62/'3rd IA Load Pricing Results'!$B$14,1),0)</f>
        <v>0</v>
      </c>
      <c r="F43" s="455">
        <f t="shared" si="2"/>
        <v>0</v>
      </c>
      <c r="G43" s="454">
        <f>IF(C43="EMAAC",$I$6*'3rd IA Load Pricing Results'!K62/'3rd IA Load Pricing Results'!$B$15,0)</f>
        <v>919.51624994485041</v>
      </c>
      <c r="H43" s="455">
        <f t="shared" si="3"/>
        <v>0</v>
      </c>
      <c r="I43" s="454">
        <f>IF(C43="SWMAAC",$I$7*'3rd IA Load Pricing Results'!K62/'3rd IA Load Pricing Results'!$B$16,0)</f>
        <v>0</v>
      </c>
      <c r="J43" s="455">
        <f t="shared" si="4"/>
        <v>0</v>
      </c>
      <c r="K43" s="454">
        <f>IF(D43="PS",$I$8*'3rd IA Load Pricing Results'!K62/'3rd IA Load Pricing Results'!$K$62,0)</f>
        <v>3638.3970002177675</v>
      </c>
      <c r="L43" s="455">
        <f t="shared" si="5"/>
        <v>0</v>
      </c>
      <c r="M43" s="454">
        <f>IF(D43="DPL",$I$9*'3rd IA Load Pricing Results'!K62/'3rd IA Load Pricing Results'!$K$53,0)</f>
        <v>0</v>
      </c>
      <c r="N43" s="455">
        <f t="shared" si="6"/>
        <v>0</v>
      </c>
      <c r="O43" s="454">
        <f>IF(D43="PEPCO",$I$10*'3rd IA Load Pricing Results'!K62/'3rd IA Load Pricing Results'!$K$60,0)</f>
        <v>0</v>
      </c>
      <c r="P43" s="455">
        <f t="shared" si="7"/>
        <v>0</v>
      </c>
      <c r="Q43" s="454">
        <f>IF(D43="ATSI",$I$11*'3rd IA Load Pricing Results'!K62/'3rd IA Load Pricing Results'!$K$46,0)</f>
        <v>0</v>
      </c>
      <c r="R43" s="455">
        <f t="shared" si="8"/>
        <v>0</v>
      </c>
      <c r="S43" s="454">
        <f>IF(D43="COMED",$I$12*'3rd IA Load Pricing Results'!K62/'3rd IA Load Pricing Results'!$K$48,0)</f>
        <v>0</v>
      </c>
      <c r="T43" s="455">
        <f t="shared" si="9"/>
        <v>0</v>
      </c>
      <c r="U43" s="454">
        <f>IF(D43="BGE",$I$13*'3rd IA Load Pricing Results'!K62/'3rd IA Load Pricing Results'!$K$47,0)</f>
        <v>0</v>
      </c>
      <c r="V43" s="455">
        <f t="shared" si="10"/>
        <v>0</v>
      </c>
      <c r="W43" s="454">
        <f>IF(D43="PL",$I$14*'3rd IA Load Pricing Results'!K62/'3rd IA Load Pricing Results'!$K$61,0)</f>
        <v>0</v>
      </c>
      <c r="X43" s="456">
        <f t="shared" si="11"/>
        <v>0</v>
      </c>
      <c r="Y43" s="454">
        <f>IF(D43="DAYTON",$I$15*'3rd IA Load Pricing Results'!K62/'3rd IA Load Pricing Results'!$K$49,0)</f>
        <v>0</v>
      </c>
      <c r="Z43" s="457">
        <f t="shared" si="12"/>
        <v>0</v>
      </c>
      <c r="AA43" s="454">
        <f>IF(D43="DEOK",$I$16*'3rd IA Load Pricing Results'!K62/'3rd IA Load Pricing Results'!$K$50,0)</f>
        <v>0</v>
      </c>
      <c r="AB43" s="457">
        <f t="shared" si="13"/>
        <v>0</v>
      </c>
      <c r="AC43" s="454">
        <f>IF(D43=AC$21,$I$17*VLOOKUP(AC$21,'3rd IA Load Pricing Results'!$A$43:$K$63,11,0)/'3rd IA Load Pricing Results'!$K$52,0)</f>
        <v>0</v>
      </c>
      <c r="AD43" s="457">
        <f t="shared" si="14"/>
        <v>0</v>
      </c>
      <c r="AE43" s="458">
        <f t="shared" si="15"/>
        <v>3638.3970002177675</v>
      </c>
      <c r="AF43" s="23">
        <f t="shared" si="16"/>
        <v>0</v>
      </c>
      <c r="AG43" s="134">
        <f>AF43/VLOOKUP(AI43,'3rd IA Load Pricing Results'!$A$43:$K$63,11,0)</f>
        <v>0</v>
      </c>
      <c r="AH43" s="459">
        <f t="shared" si="17"/>
        <v>0</v>
      </c>
      <c r="AI43" s="81" t="s">
        <v>7</v>
      </c>
    </row>
    <row r="44" spans="1:35" x14ac:dyDescent="0.2">
      <c r="A44" s="15" t="s">
        <v>17</v>
      </c>
      <c r="B44" s="81" t="s">
        <v>27</v>
      </c>
      <c r="C44" s="81" t="s">
        <v>32</v>
      </c>
      <c r="D44" s="81"/>
      <c r="E44" s="454">
        <f>IF(B44="MAAC",ROUND($I$5*'3rd IA Load Pricing Results'!K63/'3rd IA Load Pricing Results'!$B$14,1),0)</f>
        <v>0</v>
      </c>
      <c r="F44" s="455">
        <f t="shared" si="2"/>
        <v>0</v>
      </c>
      <c r="G44" s="454">
        <f>IF(C44="EMAAC",$I$6*'3rd IA Load Pricing Results'!K63/'3rd IA Load Pricing Results'!$B$15,0)</f>
        <v>36.638220088498564</v>
      </c>
      <c r="H44" s="455">
        <f t="shared" si="3"/>
        <v>0</v>
      </c>
      <c r="I44" s="454">
        <f>IF(C44="SWMAAC",$I$7*'3rd IA Load Pricing Results'!K63/'3rd IA Load Pricing Results'!$B$16,0)</f>
        <v>0</v>
      </c>
      <c r="J44" s="455">
        <f t="shared" si="4"/>
        <v>0</v>
      </c>
      <c r="K44" s="454">
        <f>IF(D44="PS",$I$8*'3rd IA Load Pricing Results'!K63/'3rd IA Load Pricing Results'!$K$62,0)</f>
        <v>0</v>
      </c>
      <c r="L44" s="455">
        <f t="shared" si="5"/>
        <v>0</v>
      </c>
      <c r="M44" s="454">
        <f>IF(D44="DPL",$I$9*'3rd IA Load Pricing Results'!K63/'3rd IA Load Pricing Results'!$K$53,0)</f>
        <v>0</v>
      </c>
      <c r="N44" s="455">
        <f t="shared" si="6"/>
        <v>0</v>
      </c>
      <c r="O44" s="454">
        <f>IF(D44="PEPCO",$I$10*'3rd IA Load Pricing Results'!K63/'3rd IA Load Pricing Results'!$K$60,0)</f>
        <v>0</v>
      </c>
      <c r="P44" s="455">
        <f t="shared" si="7"/>
        <v>0</v>
      </c>
      <c r="Q44" s="454">
        <f>IF(D44="ATSI",$I$11*'3rd IA Load Pricing Results'!K63/'3rd IA Load Pricing Results'!$K$46,0)</f>
        <v>0</v>
      </c>
      <c r="R44" s="455">
        <f t="shared" si="8"/>
        <v>0</v>
      </c>
      <c r="S44" s="454">
        <f>IF(D44="COMED",$I$12*'3rd IA Load Pricing Results'!K63/'3rd IA Load Pricing Results'!$K$48,0)</f>
        <v>0</v>
      </c>
      <c r="T44" s="455">
        <f t="shared" si="9"/>
        <v>0</v>
      </c>
      <c r="U44" s="454">
        <f>IF(D44="BGE",$I$13*'3rd IA Load Pricing Results'!K63/'3rd IA Load Pricing Results'!$K$47,0)</f>
        <v>0</v>
      </c>
      <c r="V44" s="455">
        <f t="shared" si="10"/>
        <v>0</v>
      </c>
      <c r="W44" s="454">
        <f>IF(D44="PL",$I$14*'3rd IA Load Pricing Results'!K63/'3rd IA Load Pricing Results'!$K$61,0)</f>
        <v>0</v>
      </c>
      <c r="X44" s="456">
        <f t="shared" si="11"/>
        <v>0</v>
      </c>
      <c r="Y44" s="454">
        <f>IF(D44="DAYTON",$I$15*'3rd IA Load Pricing Results'!K63/'3rd IA Load Pricing Results'!$K$49,0)</f>
        <v>0</v>
      </c>
      <c r="Z44" s="457">
        <f t="shared" si="12"/>
        <v>0</v>
      </c>
      <c r="AA44" s="454">
        <f>IF(D44="DEOK",$I$16*'3rd IA Load Pricing Results'!K63/'3rd IA Load Pricing Results'!$K$50,0)</f>
        <v>0</v>
      </c>
      <c r="AB44" s="457">
        <f t="shared" si="13"/>
        <v>0</v>
      </c>
      <c r="AC44" s="454">
        <f>IF(D44=AC$21,$I$17*VLOOKUP(AC$21,'3rd IA Load Pricing Results'!$A$43:$K$63,11,0)/'3rd IA Load Pricing Results'!$K$52,0)</f>
        <v>0</v>
      </c>
      <c r="AD44" s="457">
        <f t="shared" si="14"/>
        <v>0</v>
      </c>
      <c r="AE44" s="458">
        <f t="shared" si="15"/>
        <v>36.638220088498564</v>
      </c>
      <c r="AF44" s="23">
        <f t="shared" si="16"/>
        <v>0</v>
      </c>
      <c r="AG44" s="134">
        <f>AF44/VLOOKUP(AI44,'3rd IA Load Pricing Results'!$A$43:$K$63,11,0)</f>
        <v>0</v>
      </c>
      <c r="AH44" s="459">
        <f t="shared" si="17"/>
        <v>0</v>
      </c>
      <c r="AI44" s="81" t="s">
        <v>17</v>
      </c>
    </row>
    <row r="45" spans="1:35" x14ac:dyDescent="0.2">
      <c r="A45" s="600" t="s">
        <v>63</v>
      </c>
      <c r="B45" s="600"/>
      <c r="C45" s="600"/>
      <c r="D45" s="600"/>
      <c r="E45" s="454">
        <f>SUM(E24:E44)</f>
        <v>0</v>
      </c>
      <c r="F45" s="460">
        <f t="shared" ref="F45:AB45" si="18">SUM(F24:F44)</f>
        <v>0</v>
      </c>
      <c r="G45" s="460">
        <f t="shared" si="18"/>
        <v>2832.5748211131036</v>
      </c>
      <c r="H45" s="460">
        <f t="shared" si="18"/>
        <v>0</v>
      </c>
      <c r="I45" s="460">
        <f t="shared" si="18"/>
        <v>4710.4932085647251</v>
      </c>
      <c r="J45" s="460">
        <f t="shared" si="18"/>
        <v>0</v>
      </c>
      <c r="K45" s="460">
        <f t="shared" si="18"/>
        <v>3638.3970002177675</v>
      </c>
      <c r="L45" s="460">
        <f t="shared" si="18"/>
        <v>0</v>
      </c>
      <c r="M45" s="460">
        <f t="shared" si="18"/>
        <v>-435.37341375512369</v>
      </c>
      <c r="N45" s="460">
        <f t="shared" si="18"/>
        <v>0</v>
      </c>
      <c r="O45" s="460">
        <f t="shared" si="18"/>
        <v>3046.8872706890165</v>
      </c>
      <c r="P45" s="460">
        <f t="shared" si="18"/>
        <v>0</v>
      </c>
      <c r="Q45" s="460">
        <f t="shared" si="18"/>
        <v>3864.6381052378019</v>
      </c>
      <c r="R45" s="460">
        <f t="shared" si="18"/>
        <v>0</v>
      </c>
      <c r="S45" s="460">
        <f t="shared" si="18"/>
        <v>-4839.8254222809192</v>
      </c>
      <c r="T45" s="460">
        <f t="shared" si="18"/>
        <v>0</v>
      </c>
      <c r="U45" s="460">
        <f t="shared" si="18"/>
        <v>5024.2059378757085</v>
      </c>
      <c r="V45" s="460">
        <f t="shared" si="18"/>
        <v>987844.02205339621</v>
      </c>
      <c r="W45" s="460">
        <f t="shared" si="18"/>
        <v>-1716.0083528400974</v>
      </c>
      <c r="X45" s="460">
        <f t="shared" si="18"/>
        <v>0</v>
      </c>
      <c r="Y45" s="460">
        <f t="shared" si="18"/>
        <v>2093.0385320175869</v>
      </c>
      <c r="Z45" s="460">
        <f t="shared" si="18"/>
        <v>0</v>
      </c>
      <c r="AA45" s="460">
        <f t="shared" si="18"/>
        <v>2261.048881374827</v>
      </c>
      <c r="AB45" s="460">
        <f t="shared" si="18"/>
        <v>0</v>
      </c>
      <c r="AC45" s="460">
        <f>SUM(AC24:AC44)</f>
        <v>1752.5858966611777</v>
      </c>
      <c r="AD45" s="460">
        <f t="shared" ref="AD45" si="19">SUM(AD24:AD44)</f>
        <v>309118.09916334727</v>
      </c>
      <c r="AE45" s="458"/>
      <c r="AF45" s="461">
        <f>SUM(AF24:AF44)</f>
        <v>1296962.1212167435</v>
      </c>
      <c r="AG45" s="462"/>
      <c r="AH45" s="462"/>
    </row>
    <row r="46" spans="1:35" x14ac:dyDescent="0.2">
      <c r="A46" s="16" t="s">
        <v>64</v>
      </c>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43"/>
      <c r="AE46" s="14"/>
      <c r="AF46" s="14"/>
    </row>
    <row r="47" spans="1:35" x14ac:dyDescent="0.2">
      <c r="A47" s="16" t="s">
        <v>393</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43" t="s">
        <v>23</v>
      </c>
      <c r="AE47" s="14"/>
      <c r="AF47" s="14"/>
    </row>
    <row r="48" spans="1:35" x14ac:dyDescent="0.2">
      <c r="A48" s="16" t="s">
        <v>394</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row>
    <row r="49" spans="1:32" x14ac:dyDescent="0.2">
      <c r="A49" s="16" t="s">
        <v>395</v>
      </c>
      <c r="AF49" s="233"/>
    </row>
    <row r="50" spans="1:32" x14ac:dyDescent="0.2">
      <c r="A50" s="16" t="s">
        <v>396</v>
      </c>
      <c r="AF50" s="233"/>
    </row>
    <row r="51" spans="1:32" x14ac:dyDescent="0.2">
      <c r="AF51" s="233"/>
    </row>
    <row r="52" spans="1:32" x14ac:dyDescent="0.2">
      <c r="AF52" s="233"/>
    </row>
    <row r="53" spans="1:32" x14ac:dyDescent="0.2">
      <c r="AF53" s="233"/>
    </row>
    <row r="54" spans="1:32" x14ac:dyDescent="0.2">
      <c r="AF54" s="233"/>
    </row>
    <row r="55" spans="1:32" x14ac:dyDescent="0.2">
      <c r="AF55" s="233"/>
    </row>
    <row r="56" spans="1:32" x14ac:dyDescent="0.2">
      <c r="AF56" s="233"/>
    </row>
    <row r="57" spans="1:32" x14ac:dyDescent="0.2">
      <c r="AF57" s="233"/>
    </row>
    <row r="58" spans="1:32" x14ac:dyDescent="0.2">
      <c r="AF58" s="233"/>
    </row>
    <row r="59" spans="1:32" x14ac:dyDescent="0.2">
      <c r="AF59" s="233"/>
    </row>
    <row r="60" spans="1:32" x14ac:dyDescent="0.2">
      <c r="AF60" s="233"/>
    </row>
    <row r="61" spans="1:32" x14ac:dyDescent="0.2">
      <c r="AF61" s="233"/>
    </row>
    <row r="62" spans="1:32" x14ac:dyDescent="0.2">
      <c r="AF62" s="233"/>
    </row>
    <row r="63" spans="1:32" x14ac:dyDescent="0.2">
      <c r="AF63" s="233"/>
    </row>
    <row r="64" spans="1:32" x14ac:dyDescent="0.2">
      <c r="AF64" s="233"/>
    </row>
    <row r="65" spans="32:32" x14ac:dyDescent="0.2">
      <c r="AF65" s="233"/>
    </row>
    <row r="66" spans="32:32" x14ac:dyDescent="0.2">
      <c r="AF66" s="233"/>
    </row>
    <row r="67" spans="32:32" x14ac:dyDescent="0.2">
      <c r="AF67" s="233"/>
    </row>
    <row r="68" spans="32:32" x14ac:dyDescent="0.2">
      <c r="AF68" s="233"/>
    </row>
    <row r="69" spans="32:32" x14ac:dyDescent="0.2">
      <c r="AF69" s="233"/>
    </row>
    <row r="70" spans="32:32" x14ac:dyDescent="0.2">
      <c r="AF70" s="233"/>
    </row>
    <row r="71" spans="32:32" x14ac:dyDescent="0.2">
      <c r="AF71" s="233"/>
    </row>
    <row r="72" spans="32:32" x14ac:dyDescent="0.2">
      <c r="AF72" s="233"/>
    </row>
    <row r="73" spans="32:32" x14ac:dyDescent="0.2">
      <c r="AF73" s="233"/>
    </row>
    <row r="74" spans="32:32" x14ac:dyDescent="0.2">
      <c r="AF74" s="233"/>
    </row>
    <row r="75" spans="32:32" x14ac:dyDescent="0.2">
      <c r="AF75" s="233"/>
    </row>
    <row r="76" spans="32:32" x14ac:dyDescent="0.2">
      <c r="AF76" s="233"/>
    </row>
    <row r="77" spans="32:32" x14ac:dyDescent="0.2">
      <c r="AF77" s="233"/>
    </row>
    <row r="78" spans="32:32" x14ac:dyDescent="0.2">
      <c r="AF78" s="233"/>
    </row>
    <row r="79" spans="32:32" x14ac:dyDescent="0.2">
      <c r="AF79" s="233"/>
    </row>
    <row r="80" spans="32:32" x14ac:dyDescent="0.2">
      <c r="AF80" s="233"/>
    </row>
  </sheetData>
  <mergeCells count="15">
    <mergeCell ref="AC21:AD21"/>
    <mergeCell ref="AA21:AB21"/>
    <mergeCell ref="A45:D45"/>
    <mergeCell ref="O21:P21"/>
    <mergeCell ref="Q21:R21"/>
    <mergeCell ref="S21:T21"/>
    <mergeCell ref="U21:V21"/>
    <mergeCell ref="W21:X21"/>
    <mergeCell ref="Y21:Z21"/>
    <mergeCell ref="A20:D22"/>
    <mergeCell ref="E21:F21"/>
    <mergeCell ref="G21:H21"/>
    <mergeCell ref="I21:J21"/>
    <mergeCell ref="K21:L21"/>
    <mergeCell ref="M21:N21"/>
  </mergeCells>
  <conditionalFormatting sqref="J5:J17">
    <cfRule type="cellIs" dxfId="1" priority="1" operator="equal">
      <formula>"Not OK"</formula>
    </cfRule>
    <cfRule type="cellIs" dxfId="0" priority="2" operator="equal">
      <formula>"OK"</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N101"/>
  <sheetViews>
    <sheetView zoomScale="85" zoomScaleNormal="85" workbookViewId="0">
      <pane ySplit="5" topLeftCell="A6" activePane="bottomLeft" state="frozen"/>
      <selection pane="bottomLeft"/>
    </sheetView>
  </sheetViews>
  <sheetFormatPr defaultRowHeight="12.75" x14ac:dyDescent="0.2"/>
  <cols>
    <col min="1" max="1" width="55.7109375" style="360" customWidth="1"/>
    <col min="2" max="17" width="15.7109375" style="360" customWidth="1"/>
    <col min="18" max="16384" width="9.140625" style="360"/>
  </cols>
  <sheetData>
    <row r="1" spans="1:14" ht="18.75" x14ac:dyDescent="0.3">
      <c r="A1" s="89" t="s">
        <v>436</v>
      </c>
      <c r="B1" s="7" t="s">
        <v>23</v>
      </c>
    </row>
    <row r="2" spans="1:14" ht="19.5" thickBot="1" x14ac:dyDescent="0.35">
      <c r="A2" s="3"/>
      <c r="C2" s="7"/>
      <c r="E2" s="292"/>
      <c r="F2" s="292"/>
      <c r="G2" s="292"/>
      <c r="H2" s="277" t="s">
        <v>23</v>
      </c>
    </row>
    <row r="3" spans="1:14" ht="13.5" customHeight="1" thickBot="1" x14ac:dyDescent="0.25">
      <c r="A3" s="581" t="s">
        <v>55</v>
      </c>
      <c r="B3" s="14"/>
      <c r="C3" s="122" t="s">
        <v>103</v>
      </c>
      <c r="D3" s="14"/>
      <c r="E3" s="14"/>
      <c r="F3" s="14"/>
      <c r="G3" s="14"/>
      <c r="H3" s="14"/>
      <c r="I3" s="122" t="s">
        <v>103</v>
      </c>
      <c r="J3" s="14"/>
      <c r="K3" s="14"/>
      <c r="L3" s="14"/>
      <c r="M3" s="14"/>
      <c r="N3" s="122" t="s">
        <v>103</v>
      </c>
    </row>
    <row r="4" spans="1:14" ht="13.5" customHeight="1" thickBot="1" x14ac:dyDescent="0.25">
      <c r="A4" s="582"/>
      <c r="B4" s="177" t="s">
        <v>27</v>
      </c>
      <c r="C4" s="177" t="s">
        <v>27</v>
      </c>
      <c r="D4" s="178" t="s">
        <v>32</v>
      </c>
      <c r="E4" s="178" t="s">
        <v>4</v>
      </c>
      <c r="F4" s="178" t="s">
        <v>7</v>
      </c>
      <c r="G4" s="178" t="s">
        <v>33</v>
      </c>
      <c r="H4" s="178" t="s">
        <v>34</v>
      </c>
      <c r="I4" s="178" t="s">
        <v>34</v>
      </c>
      <c r="J4" s="178" t="s">
        <v>14</v>
      </c>
      <c r="K4" s="178" t="s">
        <v>10</v>
      </c>
      <c r="L4" s="178" t="s">
        <v>49</v>
      </c>
      <c r="M4" s="178" t="s">
        <v>19</v>
      </c>
      <c r="N4" s="178" t="s">
        <v>19</v>
      </c>
    </row>
    <row r="5" spans="1:14" ht="26.25" thickBot="1" x14ac:dyDescent="0.25">
      <c r="A5" s="230" t="s">
        <v>84</v>
      </c>
      <c r="B5" s="257" t="s">
        <v>87</v>
      </c>
      <c r="C5" s="257" t="s">
        <v>104</v>
      </c>
      <c r="D5" s="258" t="s">
        <v>105</v>
      </c>
      <c r="E5" s="258" t="s">
        <v>105</v>
      </c>
      <c r="F5" s="258" t="s">
        <v>105</v>
      </c>
      <c r="G5" s="258" t="s">
        <v>105</v>
      </c>
      <c r="H5" s="258" t="s">
        <v>87</v>
      </c>
      <c r="I5" s="258" t="s">
        <v>87</v>
      </c>
      <c r="J5" s="258" t="s">
        <v>105</v>
      </c>
      <c r="K5" s="258" t="s">
        <v>105</v>
      </c>
      <c r="L5" s="258" t="s">
        <v>105</v>
      </c>
      <c r="M5" s="258" t="s">
        <v>105</v>
      </c>
      <c r="N5" s="258" t="s">
        <v>104</v>
      </c>
    </row>
    <row r="6" spans="1:14" x14ac:dyDescent="0.2">
      <c r="A6" s="179" t="s">
        <v>118</v>
      </c>
      <c r="B6" s="260"/>
      <c r="C6" s="260"/>
      <c r="D6" s="261"/>
      <c r="E6" s="261"/>
      <c r="F6" s="261"/>
      <c r="G6" s="261"/>
      <c r="H6" s="261"/>
      <c r="I6" s="261"/>
      <c r="J6" s="261"/>
      <c r="K6" s="261"/>
      <c r="L6" s="261"/>
      <c r="M6" s="261"/>
      <c r="N6" s="261"/>
    </row>
    <row r="7" spans="1:14" x14ac:dyDescent="0.2">
      <c r="A7" s="180" t="s">
        <v>79</v>
      </c>
      <c r="B7" s="164">
        <v>160</v>
      </c>
      <c r="C7" s="165">
        <f>'3rd IA CTRs'!$F$5*'3rd IA ICTRs'!B7/'3rd IA ICTRs'!$B$49</f>
        <v>100.77703308652475</v>
      </c>
      <c r="D7" s="165">
        <v>0</v>
      </c>
      <c r="E7" s="165">
        <v>0</v>
      </c>
      <c r="F7" s="165">
        <v>0</v>
      </c>
      <c r="G7" s="165">
        <v>0</v>
      </c>
      <c r="H7" s="165">
        <v>0</v>
      </c>
      <c r="I7" s="165">
        <v>0</v>
      </c>
      <c r="J7" s="165">
        <v>0</v>
      </c>
      <c r="K7" s="165">
        <v>0</v>
      </c>
      <c r="L7" s="165">
        <v>0</v>
      </c>
      <c r="M7" s="165">
        <v>0</v>
      </c>
      <c r="N7" s="165">
        <v>0</v>
      </c>
    </row>
    <row r="8" spans="1:14" ht="25.5" x14ac:dyDescent="0.2">
      <c r="A8" s="180" t="s">
        <v>80</v>
      </c>
      <c r="B8" s="164">
        <v>106</v>
      </c>
      <c r="C8" s="165">
        <f>'3rd IA CTRs'!$F$5*'3rd IA ICTRs'!B8/'3rd IA ICTRs'!$B$49</f>
        <v>66.764784419822661</v>
      </c>
      <c r="D8" s="165">
        <v>0</v>
      </c>
      <c r="E8" s="165">
        <v>0</v>
      </c>
      <c r="F8" s="165">
        <v>0</v>
      </c>
      <c r="G8" s="165">
        <v>0</v>
      </c>
      <c r="H8" s="165">
        <v>0</v>
      </c>
      <c r="I8" s="165">
        <v>0</v>
      </c>
      <c r="J8" s="165">
        <v>0</v>
      </c>
      <c r="K8" s="165">
        <v>0</v>
      </c>
      <c r="L8" s="165">
        <v>0</v>
      </c>
      <c r="M8" s="165">
        <v>0</v>
      </c>
      <c r="N8" s="165">
        <v>0</v>
      </c>
    </row>
    <row r="9" spans="1:14" x14ac:dyDescent="0.2">
      <c r="A9" s="180" t="s">
        <v>82</v>
      </c>
      <c r="B9" s="164">
        <v>117</v>
      </c>
      <c r="C9" s="165">
        <f>'3rd IA CTRs'!$F$5*'3rd IA ICTRs'!B9/'3rd IA ICTRs'!$B$49</f>
        <v>73.693205444521226</v>
      </c>
      <c r="D9" s="165">
        <v>0</v>
      </c>
      <c r="E9" s="165">
        <v>0</v>
      </c>
      <c r="F9" s="165">
        <v>0</v>
      </c>
      <c r="G9" s="165">
        <v>0</v>
      </c>
      <c r="H9" s="165">
        <v>0</v>
      </c>
      <c r="I9" s="165">
        <v>0</v>
      </c>
      <c r="J9" s="165">
        <v>0</v>
      </c>
      <c r="K9" s="165">
        <v>0</v>
      </c>
      <c r="L9" s="165">
        <v>0</v>
      </c>
      <c r="M9" s="165">
        <v>0</v>
      </c>
      <c r="N9" s="165">
        <v>0</v>
      </c>
    </row>
    <row r="10" spans="1:14" ht="25.5" x14ac:dyDescent="0.2">
      <c r="A10" s="180" t="s">
        <v>83</v>
      </c>
      <c r="B10" s="164">
        <v>0</v>
      </c>
      <c r="C10" s="165">
        <f>'3rd IA CTRs'!$F$5*'3rd IA ICTRs'!B10/'3rd IA ICTRs'!$B$49</f>
        <v>0</v>
      </c>
      <c r="D10" s="165">
        <v>898</v>
      </c>
      <c r="E10" s="165">
        <v>0</v>
      </c>
      <c r="F10" s="165">
        <v>68.900000000000006</v>
      </c>
      <c r="G10" s="165">
        <v>105.5</v>
      </c>
      <c r="H10" s="165">
        <v>0</v>
      </c>
      <c r="I10" s="165">
        <v>0</v>
      </c>
      <c r="J10" s="165">
        <v>0</v>
      </c>
      <c r="K10" s="165">
        <v>0</v>
      </c>
      <c r="L10" s="165">
        <v>0</v>
      </c>
      <c r="M10" s="165">
        <v>0</v>
      </c>
      <c r="N10" s="165">
        <v>0</v>
      </c>
    </row>
    <row r="11" spans="1:14" x14ac:dyDescent="0.2">
      <c r="A11" s="180" t="s">
        <v>100</v>
      </c>
      <c r="B11" s="164">
        <v>339</v>
      </c>
      <c r="C11" s="165">
        <f>'3rd IA CTRs'!$F$5*'3rd IA ICTRs'!B11/'3rd IA ICTRs'!$B$49</f>
        <v>213.52133885207434</v>
      </c>
      <c r="D11" s="165">
        <v>0</v>
      </c>
      <c r="E11" s="165">
        <v>0</v>
      </c>
      <c r="F11" s="165">
        <v>0</v>
      </c>
      <c r="G11" s="165">
        <v>0</v>
      </c>
      <c r="H11" s="165">
        <v>0</v>
      </c>
      <c r="I11" s="165">
        <v>0</v>
      </c>
      <c r="J11" s="165">
        <v>0</v>
      </c>
      <c r="K11" s="165">
        <v>0</v>
      </c>
      <c r="L11" s="165">
        <v>0</v>
      </c>
      <c r="M11" s="165">
        <v>0</v>
      </c>
      <c r="N11" s="165">
        <v>0</v>
      </c>
    </row>
    <row r="12" spans="1:14" ht="25.5" x14ac:dyDescent="0.2">
      <c r="A12" s="180" t="s">
        <v>119</v>
      </c>
      <c r="B12" s="164">
        <v>0</v>
      </c>
      <c r="C12" s="165">
        <f>'3rd IA CTRs'!$F$5*'3rd IA ICTRs'!B12/'3rd IA ICTRs'!$B$49</f>
        <v>0</v>
      </c>
      <c r="D12" s="165">
        <v>0</v>
      </c>
      <c r="E12" s="165">
        <v>256</v>
      </c>
      <c r="F12" s="165">
        <v>0</v>
      </c>
      <c r="G12" s="165">
        <v>0</v>
      </c>
      <c r="H12" s="165">
        <v>0</v>
      </c>
      <c r="I12" s="165">
        <v>0</v>
      </c>
      <c r="J12" s="165">
        <v>0</v>
      </c>
      <c r="K12" s="165">
        <v>0</v>
      </c>
      <c r="L12" s="165">
        <v>0</v>
      </c>
      <c r="M12" s="165">
        <v>0</v>
      </c>
      <c r="N12" s="165">
        <v>0</v>
      </c>
    </row>
    <row r="13" spans="1:14" ht="25.5" x14ac:dyDescent="0.2">
      <c r="A13" s="278" t="s">
        <v>240</v>
      </c>
      <c r="B13" s="279">
        <v>0</v>
      </c>
      <c r="C13" s="280">
        <v>0</v>
      </c>
      <c r="D13" s="281">
        <v>0</v>
      </c>
      <c r="E13" s="281">
        <v>1229</v>
      </c>
      <c r="F13" s="281">
        <v>0</v>
      </c>
      <c r="G13" s="281">
        <v>0</v>
      </c>
      <c r="H13" s="281">
        <v>0</v>
      </c>
      <c r="I13" s="281">
        <v>0</v>
      </c>
      <c r="J13" s="281">
        <v>0</v>
      </c>
      <c r="K13" s="281">
        <v>0</v>
      </c>
      <c r="L13" s="281">
        <v>0</v>
      </c>
      <c r="M13" s="281">
        <v>0</v>
      </c>
      <c r="N13" s="281">
        <v>0</v>
      </c>
    </row>
    <row r="14" spans="1:14" ht="13.5" thickBot="1" x14ac:dyDescent="0.25">
      <c r="A14" s="245" t="s">
        <v>150</v>
      </c>
      <c r="B14" s="246">
        <f t="shared" ref="B14:N14" si="0">SUM(B7:B13)</f>
        <v>722</v>
      </c>
      <c r="C14" s="246">
        <f t="shared" si="0"/>
        <v>454.75636180294293</v>
      </c>
      <c r="D14" s="262">
        <f t="shared" si="0"/>
        <v>898</v>
      </c>
      <c r="E14" s="262">
        <f t="shared" si="0"/>
        <v>1485</v>
      </c>
      <c r="F14" s="262">
        <f t="shared" si="0"/>
        <v>68.900000000000006</v>
      </c>
      <c r="G14" s="262">
        <f t="shared" si="0"/>
        <v>105.5</v>
      </c>
      <c r="H14" s="262">
        <f t="shared" si="0"/>
        <v>0</v>
      </c>
      <c r="I14" s="262">
        <f t="shared" si="0"/>
        <v>0</v>
      </c>
      <c r="J14" s="262">
        <f t="shared" si="0"/>
        <v>0</v>
      </c>
      <c r="K14" s="262">
        <f t="shared" si="0"/>
        <v>0</v>
      </c>
      <c r="L14" s="262">
        <f t="shared" si="0"/>
        <v>0</v>
      </c>
      <c r="M14" s="262">
        <f t="shared" si="0"/>
        <v>0</v>
      </c>
      <c r="N14" s="262">
        <f t="shared" si="0"/>
        <v>0</v>
      </c>
    </row>
    <row r="15" spans="1:14" x14ac:dyDescent="0.2">
      <c r="A15" s="179" t="s">
        <v>115</v>
      </c>
      <c r="B15" s="263" t="s">
        <v>23</v>
      </c>
      <c r="C15" s="263" t="s">
        <v>23</v>
      </c>
      <c r="D15" s="264"/>
      <c r="E15" s="264"/>
      <c r="F15" s="264"/>
      <c r="G15" s="264"/>
      <c r="H15" s="264"/>
      <c r="I15" s="264"/>
      <c r="J15" s="264"/>
      <c r="K15" s="264"/>
      <c r="L15" s="264"/>
      <c r="M15" s="264"/>
      <c r="N15" s="264"/>
    </row>
    <row r="16" spans="1:14" ht="25.5" x14ac:dyDescent="0.2">
      <c r="A16" s="180" t="s">
        <v>127</v>
      </c>
      <c r="B16" s="164">
        <v>16</v>
      </c>
      <c r="C16" s="165">
        <f>'3rd IA CTRs'!$F$5*'3rd IA ICTRs'!B16/'3rd IA ICTRs'!$B$49</f>
        <v>10.077703308652476</v>
      </c>
      <c r="D16" s="165">
        <v>0</v>
      </c>
      <c r="E16" s="165">
        <v>237</v>
      </c>
      <c r="F16" s="165">
        <v>0</v>
      </c>
      <c r="G16" s="165">
        <v>0</v>
      </c>
      <c r="H16" s="165">
        <v>0</v>
      </c>
      <c r="I16" s="165">
        <v>0</v>
      </c>
      <c r="J16" s="165">
        <v>0</v>
      </c>
      <c r="K16" s="165">
        <v>124</v>
      </c>
      <c r="L16" s="165">
        <v>0</v>
      </c>
      <c r="M16" s="165">
        <v>0</v>
      </c>
      <c r="N16" s="165">
        <v>0</v>
      </c>
    </row>
    <row r="17" spans="1:14" ht="25.5" x14ac:dyDescent="0.2">
      <c r="A17" s="180" t="s">
        <v>95</v>
      </c>
      <c r="B17" s="164">
        <v>0</v>
      </c>
      <c r="C17" s="165">
        <f>'3rd IA CTRs'!$F$5*'3rd IA ICTRs'!B17/'3rd IA ICTRs'!$B$49</f>
        <v>0</v>
      </c>
      <c r="D17" s="165">
        <v>0</v>
      </c>
      <c r="E17" s="165">
        <v>0</v>
      </c>
      <c r="F17" s="165">
        <v>340.2</v>
      </c>
      <c r="G17" s="165">
        <v>494.5</v>
      </c>
      <c r="H17" s="165">
        <v>0</v>
      </c>
      <c r="I17" s="165">
        <v>0</v>
      </c>
      <c r="J17" s="165">
        <v>0</v>
      </c>
      <c r="K17" s="165">
        <v>0</v>
      </c>
      <c r="L17" s="165">
        <v>0</v>
      </c>
      <c r="M17" s="165">
        <v>0</v>
      </c>
      <c r="N17" s="165">
        <v>0</v>
      </c>
    </row>
    <row r="18" spans="1:14" ht="25.5" x14ac:dyDescent="0.2">
      <c r="A18" s="180" t="s">
        <v>81</v>
      </c>
      <c r="B18" s="164">
        <v>0</v>
      </c>
      <c r="C18" s="165">
        <f>'3rd IA CTRs'!$F$5*'3rd IA ICTRs'!B18/'3rd IA ICTRs'!$B$49</f>
        <v>0</v>
      </c>
      <c r="D18" s="165">
        <v>0</v>
      </c>
      <c r="E18" s="165">
        <v>0</v>
      </c>
      <c r="F18" s="165">
        <v>90.3</v>
      </c>
      <c r="G18" s="165">
        <v>0</v>
      </c>
      <c r="H18" s="165">
        <v>0</v>
      </c>
      <c r="I18" s="165">
        <v>0</v>
      </c>
      <c r="J18" s="165">
        <v>0</v>
      </c>
      <c r="K18" s="165">
        <v>0</v>
      </c>
      <c r="L18" s="165">
        <v>0</v>
      </c>
      <c r="M18" s="165">
        <v>0</v>
      </c>
      <c r="N18" s="165">
        <v>0</v>
      </c>
    </row>
    <row r="19" spans="1:14" ht="25.5" x14ac:dyDescent="0.2">
      <c r="A19" s="180" t="s">
        <v>128</v>
      </c>
      <c r="B19" s="164">
        <v>0</v>
      </c>
      <c r="C19" s="165">
        <f>'3rd IA CTRs'!$F$5*'3rd IA ICTRs'!B19/'3rd IA ICTRs'!$B$49</f>
        <v>0</v>
      </c>
      <c r="D19" s="165">
        <v>0</v>
      </c>
      <c r="E19" s="165">
        <v>0</v>
      </c>
      <c r="F19" s="165">
        <v>0</v>
      </c>
      <c r="G19" s="165">
        <v>0</v>
      </c>
      <c r="H19" s="165">
        <v>0</v>
      </c>
      <c r="I19" s="165">
        <v>0</v>
      </c>
      <c r="J19" s="165">
        <v>0</v>
      </c>
      <c r="K19" s="165">
        <v>182</v>
      </c>
      <c r="L19" s="165">
        <v>0</v>
      </c>
      <c r="M19" s="165">
        <v>0</v>
      </c>
      <c r="N19" s="165">
        <v>0</v>
      </c>
    </row>
    <row r="20" spans="1:14" ht="63.75" x14ac:dyDescent="0.2">
      <c r="A20" s="180" t="s">
        <v>139</v>
      </c>
      <c r="B20" s="164">
        <v>0</v>
      </c>
      <c r="C20" s="165">
        <f>'3rd IA CTRs'!$F$5*'3rd IA ICTRs'!B20/'3rd IA ICTRs'!$B$49</f>
        <v>0</v>
      </c>
      <c r="D20" s="165">
        <v>50</v>
      </c>
      <c r="E20" s="165">
        <v>0</v>
      </c>
      <c r="F20" s="165">
        <v>0</v>
      </c>
      <c r="G20" s="165">
        <v>0</v>
      </c>
      <c r="H20" s="165">
        <v>0</v>
      </c>
      <c r="I20" s="165">
        <v>0</v>
      </c>
      <c r="J20" s="165">
        <v>175</v>
      </c>
      <c r="K20" s="165">
        <v>0</v>
      </c>
      <c r="L20" s="165">
        <v>0</v>
      </c>
      <c r="M20" s="165">
        <v>0</v>
      </c>
      <c r="N20" s="165">
        <v>0</v>
      </c>
    </row>
    <row r="21" spans="1:14" ht="38.25" x14ac:dyDescent="0.2">
      <c r="A21" s="180" t="s">
        <v>206</v>
      </c>
      <c r="B21" s="164">
        <v>0</v>
      </c>
      <c r="C21" s="165">
        <f>'3rd IA CTRs'!$F$5*'3rd IA ICTRs'!B21/'3rd IA ICTRs'!$B$49</f>
        <v>0</v>
      </c>
      <c r="D21" s="165">
        <v>0</v>
      </c>
      <c r="E21" s="165">
        <v>0</v>
      </c>
      <c r="F21" s="165">
        <v>30</v>
      </c>
      <c r="G21" s="165">
        <v>5</v>
      </c>
      <c r="H21" s="165">
        <v>0</v>
      </c>
      <c r="I21" s="165">
        <v>0</v>
      </c>
      <c r="J21" s="165">
        <v>0</v>
      </c>
      <c r="K21" s="165">
        <v>0</v>
      </c>
      <c r="L21" s="165">
        <v>0</v>
      </c>
      <c r="M21" s="165">
        <v>0</v>
      </c>
      <c r="N21" s="165">
        <v>0</v>
      </c>
    </row>
    <row r="22" spans="1:14" ht="38.25" x14ac:dyDescent="0.2">
      <c r="A22" s="180" t="s">
        <v>207</v>
      </c>
      <c r="B22" s="164">
        <v>0</v>
      </c>
      <c r="C22" s="165">
        <f>'3rd IA CTRs'!$F$5*'3rd IA ICTRs'!B22/'3rd IA ICTRs'!$B$49</f>
        <v>0</v>
      </c>
      <c r="D22" s="165">
        <v>0</v>
      </c>
      <c r="E22" s="165">
        <v>0</v>
      </c>
      <c r="F22" s="165">
        <v>17</v>
      </c>
      <c r="G22" s="165">
        <v>3</v>
      </c>
      <c r="H22" s="165">
        <v>0</v>
      </c>
      <c r="I22" s="165">
        <v>0</v>
      </c>
      <c r="J22" s="165">
        <v>0</v>
      </c>
      <c r="K22" s="165">
        <v>0</v>
      </c>
      <c r="L22" s="165">
        <v>0</v>
      </c>
      <c r="M22" s="165">
        <v>0</v>
      </c>
      <c r="N22" s="165">
        <v>0</v>
      </c>
    </row>
    <row r="23" spans="1:14" ht="38.25" x14ac:dyDescent="0.2">
      <c r="A23" s="180" t="s">
        <v>208</v>
      </c>
      <c r="B23" s="164">
        <v>0</v>
      </c>
      <c r="C23" s="165">
        <f>'3rd IA CTRs'!$F$5*'3rd IA ICTRs'!B23/'3rd IA ICTRs'!$B$49</f>
        <v>0</v>
      </c>
      <c r="D23" s="165">
        <v>0</v>
      </c>
      <c r="E23" s="165">
        <v>0</v>
      </c>
      <c r="F23" s="165">
        <v>5</v>
      </c>
      <c r="G23" s="165">
        <v>1</v>
      </c>
      <c r="H23" s="165">
        <v>0</v>
      </c>
      <c r="I23" s="165">
        <v>0</v>
      </c>
      <c r="J23" s="165">
        <v>0</v>
      </c>
      <c r="K23" s="165">
        <v>0</v>
      </c>
      <c r="L23" s="165">
        <v>0</v>
      </c>
      <c r="M23" s="165">
        <v>0</v>
      </c>
      <c r="N23" s="165">
        <v>0</v>
      </c>
    </row>
    <row r="24" spans="1:14" ht="38.25" x14ac:dyDescent="0.2">
      <c r="A24" s="180" t="s">
        <v>209</v>
      </c>
      <c r="B24" s="164">
        <v>0</v>
      </c>
      <c r="C24" s="165">
        <f>'3rd IA CTRs'!$F$5*'3rd IA ICTRs'!B24/'3rd IA ICTRs'!$B$49</f>
        <v>0</v>
      </c>
      <c r="D24" s="165">
        <v>0</v>
      </c>
      <c r="E24" s="165">
        <v>0</v>
      </c>
      <c r="F24" s="165">
        <v>4</v>
      </c>
      <c r="G24" s="165">
        <v>1</v>
      </c>
      <c r="H24" s="165">
        <v>0</v>
      </c>
      <c r="I24" s="165">
        <v>0</v>
      </c>
      <c r="J24" s="165">
        <v>0</v>
      </c>
      <c r="K24" s="165">
        <v>0</v>
      </c>
      <c r="L24" s="165">
        <v>0</v>
      </c>
      <c r="M24" s="165">
        <v>0</v>
      </c>
      <c r="N24" s="165">
        <v>0</v>
      </c>
    </row>
    <row r="25" spans="1:14" ht="38.25" x14ac:dyDescent="0.2">
      <c r="A25" s="180" t="s">
        <v>210</v>
      </c>
      <c r="B25" s="164">
        <v>0</v>
      </c>
      <c r="C25" s="165">
        <f>'3rd IA CTRs'!$F$5*'3rd IA ICTRs'!B25/'3rd IA ICTRs'!$B$49</f>
        <v>0</v>
      </c>
      <c r="D25" s="165">
        <v>0</v>
      </c>
      <c r="E25" s="165">
        <v>0</v>
      </c>
      <c r="F25" s="165">
        <v>19</v>
      </c>
      <c r="G25" s="165">
        <v>3</v>
      </c>
      <c r="H25" s="165">
        <v>0</v>
      </c>
      <c r="I25" s="165">
        <v>0</v>
      </c>
      <c r="J25" s="165">
        <v>0</v>
      </c>
      <c r="K25" s="165">
        <v>0</v>
      </c>
      <c r="L25" s="165">
        <v>0</v>
      </c>
      <c r="M25" s="165">
        <v>0</v>
      </c>
      <c r="N25" s="165">
        <v>0</v>
      </c>
    </row>
    <row r="26" spans="1:14" ht="38.25" x14ac:dyDescent="0.2">
      <c r="A26" s="180" t="s">
        <v>211</v>
      </c>
      <c r="B26" s="164">
        <v>0</v>
      </c>
      <c r="C26" s="165">
        <f>'3rd IA CTRs'!$F$5*'3rd IA ICTRs'!B26/'3rd IA ICTRs'!$B$49</f>
        <v>0</v>
      </c>
      <c r="D26" s="165">
        <v>0</v>
      </c>
      <c r="E26" s="165">
        <v>0</v>
      </c>
      <c r="F26" s="165">
        <v>21</v>
      </c>
      <c r="G26" s="165">
        <v>3</v>
      </c>
      <c r="H26" s="165">
        <v>0</v>
      </c>
      <c r="I26" s="165">
        <v>0</v>
      </c>
      <c r="J26" s="165">
        <v>0</v>
      </c>
      <c r="K26" s="165">
        <v>0</v>
      </c>
      <c r="L26" s="165">
        <v>0</v>
      </c>
      <c r="M26" s="165">
        <v>0</v>
      </c>
      <c r="N26" s="165">
        <v>0</v>
      </c>
    </row>
    <row r="27" spans="1:14" ht="38.25" x14ac:dyDescent="0.2">
      <c r="A27" s="180" t="s">
        <v>212</v>
      </c>
      <c r="B27" s="164">
        <v>0</v>
      </c>
      <c r="C27" s="165">
        <f>'3rd IA CTRs'!$F$5*'3rd IA ICTRs'!B27/'3rd IA ICTRs'!$B$49</f>
        <v>0</v>
      </c>
      <c r="D27" s="165">
        <v>0</v>
      </c>
      <c r="E27" s="165">
        <v>0</v>
      </c>
      <c r="F27" s="165">
        <v>17</v>
      </c>
      <c r="G27" s="165">
        <v>3</v>
      </c>
      <c r="H27" s="165">
        <v>0</v>
      </c>
      <c r="I27" s="165">
        <v>0</v>
      </c>
      <c r="J27" s="165">
        <v>0</v>
      </c>
      <c r="K27" s="165">
        <v>0</v>
      </c>
      <c r="L27" s="165">
        <v>0</v>
      </c>
      <c r="M27" s="165">
        <v>0</v>
      </c>
      <c r="N27" s="165">
        <v>0</v>
      </c>
    </row>
    <row r="28" spans="1:14" ht="38.25" x14ac:dyDescent="0.2">
      <c r="A28" s="180" t="s">
        <v>213</v>
      </c>
      <c r="B28" s="164">
        <v>0</v>
      </c>
      <c r="C28" s="165">
        <f>'3rd IA CTRs'!$F$5*'3rd IA ICTRs'!B28/'3rd IA ICTRs'!$B$49</f>
        <v>0</v>
      </c>
      <c r="D28" s="165">
        <v>0</v>
      </c>
      <c r="E28" s="165">
        <v>0</v>
      </c>
      <c r="F28" s="165">
        <v>5</v>
      </c>
      <c r="G28" s="165">
        <v>1</v>
      </c>
      <c r="H28" s="165">
        <v>0</v>
      </c>
      <c r="I28" s="165">
        <v>0</v>
      </c>
      <c r="J28" s="165">
        <v>0</v>
      </c>
      <c r="K28" s="165">
        <v>0</v>
      </c>
      <c r="L28" s="165">
        <v>0</v>
      </c>
      <c r="M28" s="165">
        <v>0</v>
      </c>
      <c r="N28" s="165">
        <v>0</v>
      </c>
    </row>
    <row r="29" spans="1:14" ht="38.25" x14ac:dyDescent="0.2">
      <c r="A29" s="180" t="s">
        <v>214</v>
      </c>
      <c r="B29" s="164">
        <v>0</v>
      </c>
      <c r="C29" s="165">
        <f>'3rd IA CTRs'!$F$5*'3rd IA ICTRs'!B29/'3rd IA ICTRs'!$B$49</f>
        <v>0</v>
      </c>
      <c r="D29" s="165">
        <v>0</v>
      </c>
      <c r="E29" s="165">
        <v>0</v>
      </c>
      <c r="F29" s="165">
        <v>4</v>
      </c>
      <c r="G29" s="165">
        <v>1</v>
      </c>
      <c r="H29" s="165">
        <v>0</v>
      </c>
      <c r="I29" s="165">
        <v>0</v>
      </c>
      <c r="J29" s="165">
        <v>0</v>
      </c>
      <c r="K29" s="165">
        <v>0</v>
      </c>
      <c r="L29" s="165">
        <v>0</v>
      </c>
      <c r="M29" s="165">
        <v>0</v>
      </c>
      <c r="N29" s="165">
        <v>0</v>
      </c>
    </row>
    <row r="30" spans="1:14" ht="38.25" x14ac:dyDescent="0.2">
      <c r="A30" s="180" t="s">
        <v>215</v>
      </c>
      <c r="B30" s="164">
        <v>0</v>
      </c>
      <c r="C30" s="165">
        <f>'3rd IA CTRs'!$F$5*'3rd IA ICTRs'!B30/'3rd IA ICTRs'!$B$49</f>
        <v>0</v>
      </c>
      <c r="D30" s="165">
        <v>0</v>
      </c>
      <c r="E30" s="165">
        <v>0</v>
      </c>
      <c r="F30" s="165">
        <v>2</v>
      </c>
      <c r="G30" s="165">
        <v>0</v>
      </c>
      <c r="H30" s="165">
        <v>0</v>
      </c>
      <c r="I30" s="165">
        <v>0</v>
      </c>
      <c r="J30" s="165">
        <v>0</v>
      </c>
      <c r="K30" s="165">
        <v>0</v>
      </c>
      <c r="L30" s="165">
        <v>0</v>
      </c>
      <c r="M30" s="165">
        <v>0</v>
      </c>
      <c r="N30" s="165">
        <v>0</v>
      </c>
    </row>
    <row r="31" spans="1:14" ht="38.25" x14ac:dyDescent="0.2">
      <c r="A31" s="180" t="s">
        <v>216</v>
      </c>
      <c r="B31" s="164">
        <v>0</v>
      </c>
      <c r="C31" s="165">
        <f>'3rd IA CTRs'!$F$5*'3rd IA ICTRs'!B31/'3rd IA ICTRs'!$B$49</f>
        <v>0</v>
      </c>
      <c r="D31" s="165">
        <v>0</v>
      </c>
      <c r="E31" s="165">
        <v>0</v>
      </c>
      <c r="F31" s="165">
        <v>18</v>
      </c>
      <c r="G31" s="165">
        <v>3</v>
      </c>
      <c r="H31" s="165">
        <v>0</v>
      </c>
      <c r="I31" s="165">
        <v>0</v>
      </c>
      <c r="J31" s="165">
        <v>0</v>
      </c>
      <c r="K31" s="165">
        <v>0</v>
      </c>
      <c r="L31" s="165">
        <v>0</v>
      </c>
      <c r="M31" s="165">
        <v>0</v>
      </c>
      <c r="N31" s="165">
        <v>0</v>
      </c>
    </row>
    <row r="32" spans="1:14" ht="38.25" x14ac:dyDescent="0.2">
      <c r="A32" s="180" t="s">
        <v>217</v>
      </c>
      <c r="B32" s="164">
        <v>0</v>
      </c>
      <c r="C32" s="165">
        <f>'3rd IA CTRs'!$F$5*'3rd IA ICTRs'!B32/'3rd IA ICTRs'!$B$49</f>
        <v>0</v>
      </c>
      <c r="D32" s="165">
        <v>0</v>
      </c>
      <c r="E32" s="165">
        <v>0</v>
      </c>
      <c r="F32" s="165">
        <v>21</v>
      </c>
      <c r="G32" s="165">
        <v>3</v>
      </c>
      <c r="H32" s="165">
        <v>0</v>
      </c>
      <c r="I32" s="165">
        <v>0</v>
      </c>
      <c r="J32" s="165">
        <v>0</v>
      </c>
      <c r="K32" s="165">
        <v>0</v>
      </c>
      <c r="L32" s="165">
        <v>0</v>
      </c>
      <c r="M32" s="165">
        <v>0</v>
      </c>
      <c r="N32" s="165">
        <v>0</v>
      </c>
    </row>
    <row r="33" spans="1:14" ht="13.5" thickBot="1" x14ac:dyDescent="0.25">
      <c r="A33" s="245" t="s">
        <v>85</v>
      </c>
      <c r="B33" s="262">
        <f>SUM(B16:B32)</f>
        <v>16</v>
      </c>
      <c r="C33" s="262">
        <f t="shared" ref="C33:E33" si="1">SUM(C16:C32)</f>
        <v>10.077703308652476</v>
      </c>
      <c r="D33" s="262">
        <f t="shared" si="1"/>
        <v>50</v>
      </c>
      <c r="E33" s="262">
        <f t="shared" si="1"/>
        <v>237</v>
      </c>
      <c r="F33" s="262">
        <f>SUM(F16:F32)</f>
        <v>593.5</v>
      </c>
      <c r="G33" s="262">
        <f t="shared" ref="G33:I33" si="2">SUM(G16:G32)</f>
        <v>521.5</v>
      </c>
      <c r="H33" s="262">
        <f t="shared" si="2"/>
        <v>0</v>
      </c>
      <c r="I33" s="262">
        <f t="shared" si="2"/>
        <v>0</v>
      </c>
      <c r="J33" s="262">
        <f>SUM(J16:J32)</f>
        <v>175</v>
      </c>
      <c r="K33" s="262">
        <f>SUM(K16:K32)</f>
        <v>306</v>
      </c>
      <c r="L33" s="262">
        <f>SUM(L16:L32)</f>
        <v>0</v>
      </c>
      <c r="M33" s="262">
        <f>SUM(M16:M32)</f>
        <v>0</v>
      </c>
      <c r="N33" s="262">
        <f t="shared" ref="N33" si="3">SUM(N16:N32)</f>
        <v>0</v>
      </c>
    </row>
    <row r="34" spans="1:14" x14ac:dyDescent="0.2">
      <c r="A34" s="179" t="s">
        <v>69</v>
      </c>
      <c r="B34" s="268"/>
      <c r="C34" s="268"/>
      <c r="D34" s="269"/>
      <c r="E34" s="269"/>
      <c r="F34" s="269"/>
      <c r="G34" s="269"/>
      <c r="H34" s="269"/>
      <c r="I34" s="269"/>
      <c r="J34" s="269"/>
      <c r="K34" s="269"/>
      <c r="L34" s="269"/>
      <c r="M34" s="269"/>
      <c r="N34" s="269"/>
    </row>
    <row r="35" spans="1:14" ht="25.5" x14ac:dyDescent="0.2">
      <c r="A35" s="180" t="s">
        <v>219</v>
      </c>
      <c r="B35" s="164">
        <v>159</v>
      </c>
      <c r="C35" s="165">
        <f>'3rd IA CTRs'!$F$5*'3rd IA ICTRs'!B35/'3rd IA ICTRs'!$B$49</f>
        <v>100.14717662973398</v>
      </c>
      <c r="D35" s="165">
        <v>0</v>
      </c>
      <c r="E35" s="165">
        <v>0</v>
      </c>
      <c r="F35" s="165">
        <v>0</v>
      </c>
      <c r="G35" s="165">
        <v>0</v>
      </c>
      <c r="H35" s="165">
        <v>0</v>
      </c>
      <c r="I35" s="165">
        <v>0</v>
      </c>
      <c r="J35" s="165">
        <v>0</v>
      </c>
      <c r="K35" s="165">
        <v>0</v>
      </c>
      <c r="L35" s="165">
        <v>0</v>
      </c>
      <c r="M35" s="165">
        <v>0</v>
      </c>
      <c r="N35" s="165">
        <v>0</v>
      </c>
    </row>
    <row r="36" spans="1:14" ht="25.5" x14ac:dyDescent="0.2">
      <c r="A36" s="180" t="s">
        <v>220</v>
      </c>
      <c r="B36" s="164">
        <v>0</v>
      </c>
      <c r="C36" s="165">
        <f>'3rd IA CTRs'!$F$5*'3rd IA ICTRs'!B36/'3rd IA ICTRs'!$B$49</f>
        <v>0</v>
      </c>
      <c r="D36" s="165">
        <v>0</v>
      </c>
      <c r="E36" s="165">
        <v>0</v>
      </c>
      <c r="F36" s="165">
        <v>0</v>
      </c>
      <c r="G36" s="165">
        <v>0</v>
      </c>
      <c r="H36" s="165">
        <v>37</v>
      </c>
      <c r="I36" s="165">
        <v>0</v>
      </c>
      <c r="J36" s="165">
        <v>0</v>
      </c>
      <c r="K36" s="165">
        <v>0</v>
      </c>
      <c r="L36" s="165">
        <v>0</v>
      </c>
      <c r="M36" s="165">
        <v>0</v>
      </c>
      <c r="N36" s="165">
        <v>0</v>
      </c>
    </row>
    <row r="37" spans="1:14" ht="25.5" x14ac:dyDescent="0.2">
      <c r="A37" s="180" t="s">
        <v>221</v>
      </c>
      <c r="B37" s="164">
        <v>0</v>
      </c>
      <c r="C37" s="165">
        <f>'3rd IA CTRs'!$F$5*'3rd IA ICTRs'!B37/'3rd IA ICTRs'!$B$49</f>
        <v>0</v>
      </c>
      <c r="D37" s="165">
        <v>0</v>
      </c>
      <c r="E37" s="166">
        <v>0</v>
      </c>
      <c r="F37" s="166">
        <v>0</v>
      </c>
      <c r="G37" s="166">
        <v>0</v>
      </c>
      <c r="H37" s="166">
        <v>35</v>
      </c>
      <c r="I37" s="166">
        <v>0</v>
      </c>
      <c r="J37" s="166">
        <v>0</v>
      </c>
      <c r="K37" s="165">
        <v>0</v>
      </c>
      <c r="L37" s="165">
        <v>0</v>
      </c>
      <c r="M37" s="165">
        <v>0</v>
      </c>
      <c r="N37" s="165">
        <v>0</v>
      </c>
    </row>
    <row r="38" spans="1:14" ht="25.5" x14ac:dyDescent="0.2">
      <c r="A38" s="180" t="s">
        <v>222</v>
      </c>
      <c r="B38" s="164">
        <v>0</v>
      </c>
      <c r="C38" s="165">
        <f>'3rd IA CTRs'!$F$5*'3rd IA ICTRs'!B38/'3rd IA ICTRs'!$B$49</f>
        <v>0</v>
      </c>
      <c r="D38" s="165">
        <v>0</v>
      </c>
      <c r="E38" s="166">
        <v>0</v>
      </c>
      <c r="F38" s="166">
        <v>0</v>
      </c>
      <c r="G38" s="166">
        <v>0</v>
      </c>
      <c r="H38" s="166">
        <v>0</v>
      </c>
      <c r="I38" s="166">
        <v>0</v>
      </c>
      <c r="J38" s="166">
        <v>0</v>
      </c>
      <c r="K38" s="165">
        <v>0</v>
      </c>
      <c r="L38" s="165">
        <v>155</v>
      </c>
      <c r="M38" s="165">
        <v>0</v>
      </c>
      <c r="N38" s="165">
        <v>0</v>
      </c>
    </row>
    <row r="39" spans="1:14" ht="25.5" x14ac:dyDescent="0.2">
      <c r="A39" s="180" t="s">
        <v>223</v>
      </c>
      <c r="B39" s="164">
        <v>733</v>
      </c>
      <c r="C39" s="165">
        <f>'3rd IA CTRs'!$F$5*'3rd IA ICTRs'!B39/'3rd IA ICTRs'!$B$49</f>
        <v>461.68478282764158</v>
      </c>
      <c r="D39" s="165">
        <v>0</v>
      </c>
      <c r="E39" s="166">
        <v>0</v>
      </c>
      <c r="F39" s="166">
        <v>0</v>
      </c>
      <c r="G39" s="166">
        <v>0</v>
      </c>
      <c r="H39" s="166">
        <v>0</v>
      </c>
      <c r="I39" s="166">
        <v>0</v>
      </c>
      <c r="J39" s="166">
        <v>0</v>
      </c>
      <c r="K39" s="165">
        <v>0</v>
      </c>
      <c r="L39" s="165">
        <v>0</v>
      </c>
      <c r="M39" s="165">
        <v>0</v>
      </c>
      <c r="N39" s="165">
        <v>0</v>
      </c>
    </row>
    <row r="40" spans="1:14" ht="25.5" x14ac:dyDescent="0.2">
      <c r="A40" s="180" t="s">
        <v>224</v>
      </c>
      <c r="B40" s="164">
        <v>0</v>
      </c>
      <c r="C40" s="165">
        <f>'3rd IA CTRs'!$F$5*'3rd IA ICTRs'!B40/'3rd IA ICTRs'!$B$49</f>
        <v>0</v>
      </c>
      <c r="D40" s="165">
        <v>0</v>
      </c>
      <c r="E40" s="166">
        <v>0</v>
      </c>
      <c r="F40" s="166">
        <v>0</v>
      </c>
      <c r="G40" s="166">
        <v>0</v>
      </c>
      <c r="H40" s="166">
        <v>0</v>
      </c>
      <c r="I40" s="166">
        <v>0</v>
      </c>
      <c r="J40" s="166">
        <v>0</v>
      </c>
      <c r="K40" s="165">
        <v>65.7</v>
      </c>
      <c r="L40" s="165">
        <v>0</v>
      </c>
      <c r="M40" s="165">
        <v>0</v>
      </c>
      <c r="N40" s="165">
        <v>0</v>
      </c>
    </row>
    <row r="41" spans="1:14" ht="25.5" x14ac:dyDescent="0.2">
      <c r="A41" s="180" t="s">
        <v>225</v>
      </c>
      <c r="B41" s="164">
        <v>0</v>
      </c>
      <c r="C41" s="165">
        <f>'3rd IA CTRs'!$F$5*'3rd IA ICTRs'!B41/'3rd IA ICTRs'!$B$49</f>
        <v>0</v>
      </c>
      <c r="D41" s="165">
        <v>0</v>
      </c>
      <c r="E41" s="166">
        <v>0</v>
      </c>
      <c r="F41" s="166">
        <v>41</v>
      </c>
      <c r="G41" s="166">
        <v>21</v>
      </c>
      <c r="H41" s="166">
        <v>0</v>
      </c>
      <c r="I41" s="166">
        <v>0</v>
      </c>
      <c r="J41" s="166">
        <v>0</v>
      </c>
      <c r="K41" s="165">
        <v>0</v>
      </c>
      <c r="L41" s="165">
        <v>0</v>
      </c>
      <c r="M41" s="165">
        <v>0</v>
      </c>
      <c r="N41" s="165">
        <v>0</v>
      </c>
    </row>
    <row r="42" spans="1:14" ht="25.5" x14ac:dyDescent="0.2">
      <c r="A42" s="180" t="s">
        <v>226</v>
      </c>
      <c r="B42" s="164">
        <v>665</v>
      </c>
      <c r="C42" s="165">
        <f>'3rd IA CTRs'!$F$5*'3rd IA ICTRs'!B42/'3rd IA ICTRs'!$B$49</f>
        <v>418.85454376586847</v>
      </c>
      <c r="D42" s="165">
        <v>40</v>
      </c>
      <c r="E42" s="166">
        <v>0</v>
      </c>
      <c r="F42" s="166">
        <v>0</v>
      </c>
      <c r="G42" s="166">
        <v>0</v>
      </c>
      <c r="H42" s="166">
        <v>0</v>
      </c>
      <c r="I42" s="166">
        <v>0</v>
      </c>
      <c r="J42" s="166">
        <v>0</v>
      </c>
      <c r="K42" s="165">
        <v>0</v>
      </c>
      <c r="L42" s="165">
        <v>0</v>
      </c>
      <c r="M42" s="165">
        <v>0</v>
      </c>
      <c r="N42" s="165">
        <v>0</v>
      </c>
    </row>
    <row r="43" spans="1:14" ht="25.5" x14ac:dyDescent="0.2">
      <c r="A43" s="278" t="s">
        <v>218</v>
      </c>
      <c r="B43" s="279">
        <v>0</v>
      </c>
      <c r="C43" s="165">
        <f>'3rd IA CTRs'!$F$5*'3rd IA ICTRs'!B43/'3rd IA ICTRs'!$B$49</f>
        <v>0</v>
      </c>
      <c r="D43" s="281">
        <v>0</v>
      </c>
      <c r="E43" s="280">
        <v>0</v>
      </c>
      <c r="F43" s="280">
        <v>0</v>
      </c>
      <c r="G43" s="280">
        <v>0</v>
      </c>
      <c r="H43" s="280">
        <v>0</v>
      </c>
      <c r="I43" s="280">
        <v>0</v>
      </c>
      <c r="J43" s="280">
        <v>0</v>
      </c>
      <c r="K43" s="281">
        <v>0</v>
      </c>
      <c r="L43" s="281">
        <v>0</v>
      </c>
      <c r="M43" s="281">
        <v>1097</v>
      </c>
      <c r="N43" s="281">
        <v>0</v>
      </c>
    </row>
    <row r="44" spans="1:14" ht="25.5" x14ac:dyDescent="0.2">
      <c r="A44" s="180" t="s">
        <v>227</v>
      </c>
      <c r="B44" s="164">
        <v>0</v>
      </c>
      <c r="C44" s="165">
        <f>'3rd IA CTRs'!$F$5*'3rd IA ICTRs'!B44/'3rd IA ICTRs'!$B$49</f>
        <v>0</v>
      </c>
      <c r="D44" s="165">
        <v>0</v>
      </c>
      <c r="E44" s="166">
        <v>0</v>
      </c>
      <c r="F44" s="166">
        <v>0</v>
      </c>
      <c r="G44" s="166">
        <v>0</v>
      </c>
      <c r="H44" s="166">
        <v>0</v>
      </c>
      <c r="I44" s="166">
        <v>0</v>
      </c>
      <c r="J44" s="166">
        <v>0</v>
      </c>
      <c r="K44" s="165">
        <v>0</v>
      </c>
      <c r="L44" s="165">
        <v>0</v>
      </c>
      <c r="M44" s="165">
        <v>279</v>
      </c>
      <c r="N44" s="165">
        <v>0</v>
      </c>
    </row>
    <row r="45" spans="1:14" ht="25.5" x14ac:dyDescent="0.2">
      <c r="A45" s="278" t="s">
        <v>228</v>
      </c>
      <c r="B45" s="279">
        <v>0</v>
      </c>
      <c r="C45" s="165">
        <f>'3rd IA CTRs'!$F$5*'3rd IA ICTRs'!B45/'3rd IA ICTRs'!$B$49</f>
        <v>0</v>
      </c>
      <c r="D45" s="280">
        <v>0</v>
      </c>
      <c r="E45" s="280">
        <v>0</v>
      </c>
      <c r="F45" s="280">
        <v>1029</v>
      </c>
      <c r="G45" s="280">
        <v>0</v>
      </c>
      <c r="H45" s="280">
        <v>0</v>
      </c>
      <c r="I45" s="280">
        <v>0</v>
      </c>
      <c r="J45" s="280">
        <v>0</v>
      </c>
      <c r="K45" s="280">
        <v>0</v>
      </c>
      <c r="L45" s="280">
        <v>0</v>
      </c>
      <c r="M45" s="280">
        <v>0</v>
      </c>
      <c r="N45" s="165">
        <v>0</v>
      </c>
    </row>
    <row r="46" spans="1:14" ht="25.5" x14ac:dyDescent="0.2">
      <c r="A46" s="278" t="s">
        <v>229</v>
      </c>
      <c r="B46" s="279">
        <v>0</v>
      </c>
      <c r="C46" s="165">
        <f>'3rd IA CTRs'!$F$5*'3rd IA ICTRs'!B46/'3rd IA ICTRs'!$B$49</f>
        <v>0</v>
      </c>
      <c r="D46" s="280">
        <v>0</v>
      </c>
      <c r="E46" s="280">
        <v>0</v>
      </c>
      <c r="F46" s="280">
        <v>0</v>
      </c>
      <c r="G46" s="280">
        <v>618</v>
      </c>
      <c r="H46" s="280">
        <v>0</v>
      </c>
      <c r="I46" s="280">
        <v>0</v>
      </c>
      <c r="J46" s="280">
        <v>0</v>
      </c>
      <c r="K46" s="280">
        <v>0</v>
      </c>
      <c r="L46" s="280">
        <v>0</v>
      </c>
      <c r="M46" s="280">
        <v>0</v>
      </c>
      <c r="N46" s="165">
        <v>0</v>
      </c>
    </row>
    <row r="47" spans="1:14" ht="13.5" thickBot="1" x14ac:dyDescent="0.25">
      <c r="A47" s="245" t="s">
        <v>73</v>
      </c>
      <c r="B47" s="246">
        <f t="shared" ref="B47:E47" si="4">SUM(B35:B46)</f>
        <v>1557</v>
      </c>
      <c r="C47" s="246">
        <f>SUM(C35:C46)</f>
        <v>980.68650322324402</v>
      </c>
      <c r="D47" s="246">
        <f t="shared" si="4"/>
        <v>40</v>
      </c>
      <c r="E47" s="246">
        <f t="shared" si="4"/>
        <v>0</v>
      </c>
      <c r="F47" s="246">
        <f>SUM(F35:F46)</f>
        <v>1070</v>
      </c>
      <c r="G47" s="246">
        <f t="shared" ref="G47:M47" si="5">SUM(G35:G46)</f>
        <v>639</v>
      </c>
      <c r="H47" s="246">
        <f t="shared" si="5"/>
        <v>72</v>
      </c>
      <c r="I47" s="246">
        <f t="shared" si="5"/>
        <v>0</v>
      </c>
      <c r="J47" s="246">
        <f t="shared" si="5"/>
        <v>0</v>
      </c>
      <c r="K47" s="246">
        <f>SUM(K35:K46)</f>
        <v>65.7</v>
      </c>
      <c r="L47" s="246">
        <f t="shared" si="5"/>
        <v>155</v>
      </c>
      <c r="M47" s="246">
        <f t="shared" si="5"/>
        <v>1376</v>
      </c>
      <c r="N47" s="246">
        <f>SUM(N35:N46)</f>
        <v>0</v>
      </c>
    </row>
    <row r="48" spans="1:14" x14ac:dyDescent="0.2">
      <c r="A48" s="266"/>
      <c r="B48" s="259"/>
      <c r="C48" s="259"/>
      <c r="D48" s="267"/>
      <c r="E48" s="267"/>
      <c r="F48" s="267"/>
      <c r="G48" s="267"/>
      <c r="H48" s="267"/>
      <c r="I48" s="267"/>
      <c r="J48" s="267"/>
      <c r="K48" s="267"/>
      <c r="L48" s="267"/>
      <c r="M48" s="267"/>
      <c r="N48" s="267"/>
    </row>
    <row r="49" spans="1:14" ht="13.5" thickBot="1" x14ac:dyDescent="0.25">
      <c r="A49" s="245" t="s">
        <v>74</v>
      </c>
      <c r="B49" s="246">
        <f>B14+B33+B47</f>
        <v>2295</v>
      </c>
      <c r="C49" s="246">
        <f t="shared" ref="C49:I49" si="6">C14+C33+C47</f>
        <v>1445.5205683348395</v>
      </c>
      <c r="D49" s="247">
        <f t="shared" si="6"/>
        <v>988</v>
      </c>
      <c r="E49" s="247">
        <f t="shared" si="6"/>
        <v>1722</v>
      </c>
      <c r="F49" s="247">
        <f t="shared" si="6"/>
        <v>1732.4</v>
      </c>
      <c r="G49" s="247">
        <f>G14+G33+G47</f>
        <v>1266</v>
      </c>
      <c r="H49" s="247">
        <f t="shared" si="6"/>
        <v>72</v>
      </c>
      <c r="I49" s="247">
        <f t="shared" si="6"/>
        <v>0</v>
      </c>
      <c r="J49" s="247">
        <f>J14+J33+J47</f>
        <v>175</v>
      </c>
      <c r="K49" s="247">
        <f>K14+K33+K47</f>
        <v>371.7</v>
      </c>
      <c r="L49" s="247">
        <f>L14+L33+L47</f>
        <v>155</v>
      </c>
      <c r="M49" s="247">
        <f>M14+M33+M47</f>
        <v>1376</v>
      </c>
      <c r="N49" s="247">
        <f t="shared" ref="N49" si="7">N14+N33+N47</f>
        <v>0</v>
      </c>
    </row>
    <row r="50" spans="1:14" x14ac:dyDescent="0.2">
      <c r="A50" s="256" t="s">
        <v>90</v>
      </c>
      <c r="B50" s="282"/>
      <c r="C50" s="282"/>
      <c r="D50" s="282"/>
      <c r="E50" s="282"/>
      <c r="F50" s="282"/>
      <c r="G50" s="282"/>
      <c r="H50" s="282"/>
      <c r="I50" s="282"/>
      <c r="J50" s="282"/>
      <c r="K50" s="282"/>
      <c r="L50" s="282"/>
      <c r="M50" s="130"/>
    </row>
    <row r="51" spans="1:14" x14ac:dyDescent="0.2">
      <c r="A51" s="16"/>
      <c r="B51" s="131"/>
      <c r="C51" s="131"/>
      <c r="D51" s="32"/>
      <c r="E51" s="130"/>
      <c r="F51" s="130"/>
      <c r="G51" s="130"/>
      <c r="H51" s="130"/>
      <c r="I51" s="130"/>
      <c r="J51" s="26"/>
      <c r="K51" s="130"/>
      <c r="L51" s="130"/>
      <c r="M51" s="130"/>
    </row>
    <row r="52" spans="1:14" x14ac:dyDescent="0.2">
      <c r="A52" s="132"/>
      <c r="B52" s="131"/>
      <c r="C52" s="131"/>
      <c r="D52" s="32"/>
      <c r="E52" s="130"/>
      <c r="F52" s="130"/>
      <c r="G52" s="130"/>
      <c r="H52" s="130"/>
      <c r="I52" s="130"/>
      <c r="J52" s="26"/>
      <c r="K52" s="130"/>
      <c r="L52" s="130"/>
      <c r="M52" s="130"/>
    </row>
    <row r="53" spans="1:14" ht="14.25" x14ac:dyDescent="0.2">
      <c r="A53" s="255"/>
      <c r="B53" s="255"/>
      <c r="C53" s="255"/>
      <c r="D53" s="255"/>
      <c r="E53" s="255"/>
      <c r="F53" s="255"/>
      <c r="G53" s="255"/>
      <c r="H53" s="14"/>
      <c r="I53" s="319"/>
      <c r="J53" s="319"/>
      <c r="K53" s="319"/>
      <c r="L53" s="181"/>
      <c r="M53" s="130"/>
    </row>
    <row r="54" spans="1:14" ht="13.5" customHeight="1" thickBot="1" x14ac:dyDescent="0.25">
      <c r="A54" s="577" t="s">
        <v>174</v>
      </c>
      <c r="B54" s="513" t="s">
        <v>440</v>
      </c>
      <c r="C54" s="255"/>
      <c r="D54" s="255"/>
      <c r="E54" s="255"/>
      <c r="F54" s="255"/>
      <c r="G54" s="255"/>
      <c r="H54" s="14"/>
      <c r="I54" s="319"/>
      <c r="J54" s="319"/>
      <c r="K54" s="319"/>
      <c r="L54" s="200"/>
      <c r="M54" s="200"/>
    </row>
    <row r="55" spans="1:14" ht="13.5" customHeight="1" thickBot="1" x14ac:dyDescent="0.25">
      <c r="A55" s="577"/>
      <c r="B55" s="320" t="s">
        <v>27</v>
      </c>
      <c r="C55" s="320" t="s">
        <v>32</v>
      </c>
      <c r="D55" s="320" t="s">
        <v>4</v>
      </c>
      <c r="E55" s="320" t="s">
        <v>7</v>
      </c>
      <c r="F55" s="320" t="s">
        <v>33</v>
      </c>
      <c r="G55" s="320" t="s">
        <v>34</v>
      </c>
      <c r="H55" s="320" t="s">
        <v>14</v>
      </c>
      <c r="I55" s="320" t="s">
        <v>10</v>
      </c>
      <c r="J55" s="320" t="s">
        <v>49</v>
      </c>
      <c r="K55" s="320" t="s">
        <v>19</v>
      </c>
      <c r="L55" s="463"/>
      <c r="M55" s="463"/>
    </row>
    <row r="56" spans="1:14" ht="13.5" thickBot="1" x14ac:dyDescent="0.25">
      <c r="A56" s="321" t="s">
        <v>175</v>
      </c>
      <c r="B56" s="322">
        <f>'3rd IA Load Pricing Results'!D14</f>
        <v>0</v>
      </c>
      <c r="C56" s="323">
        <f>'3rd IA Load Pricing Results'!D15-'3rd IA Load Pricing Results'!D14</f>
        <v>0</v>
      </c>
      <c r="D56" s="323">
        <f>'3rd IA Load Pricing Results'!D16-'3rd IA Load Pricing Results'!D14</f>
        <v>0</v>
      </c>
      <c r="E56" s="324">
        <f>'3rd IA Load Pricing Results'!D30</f>
        <v>0</v>
      </c>
      <c r="F56" s="324">
        <f>'3rd IA Load Pricing Results'!D31-'3rd IA Load Pricing Results'!D30</f>
        <v>0</v>
      </c>
      <c r="G56" s="324">
        <f>'3rd IA Load Pricing Results'!D34</f>
        <v>0</v>
      </c>
      <c r="H56" s="323">
        <f>'3rd IA Load Pricing Results'!D17-'3rd IA Load Pricing Results'!D16</f>
        <v>0</v>
      </c>
      <c r="I56" s="323">
        <f>'3rd IA Load Pricing Results'!D19-'3rd IA Load Pricing Results'!D16</f>
        <v>196.61694489996719</v>
      </c>
      <c r="J56" s="323">
        <f>'3rd IA Load Pricing Results'!D22</f>
        <v>0</v>
      </c>
      <c r="K56" s="325">
        <f>'3rd IA Load Pricing Results'!D18</f>
        <v>0</v>
      </c>
      <c r="L56" s="463"/>
      <c r="M56" s="463"/>
    </row>
    <row r="57" spans="1:14" ht="13.5" thickBot="1" x14ac:dyDescent="0.25">
      <c r="A57" s="326" t="s">
        <v>176</v>
      </c>
      <c r="B57" s="578" t="s">
        <v>177</v>
      </c>
      <c r="C57" s="579"/>
      <c r="D57" s="579"/>
      <c r="E57" s="579"/>
      <c r="F57" s="579"/>
      <c r="G57" s="579"/>
      <c r="H57" s="579"/>
      <c r="I57" s="579"/>
      <c r="J57" s="579"/>
      <c r="K57" s="580"/>
      <c r="L57" s="463"/>
      <c r="M57" s="463"/>
    </row>
    <row r="58" spans="1:14" x14ac:dyDescent="0.2">
      <c r="A58" s="327" t="s">
        <v>178</v>
      </c>
      <c r="B58" s="328">
        <f>C7*B$56</f>
        <v>0</v>
      </c>
      <c r="C58" s="328">
        <f t="shared" ref="B58:F64" si="8">D7*C$56</f>
        <v>0</v>
      </c>
      <c r="D58" s="328">
        <f t="shared" si="8"/>
        <v>0</v>
      </c>
      <c r="E58" s="328">
        <f t="shared" si="8"/>
        <v>0</v>
      </c>
      <c r="F58" s="328">
        <f t="shared" si="8"/>
        <v>0</v>
      </c>
      <c r="G58" s="328">
        <f>H7*G$56</f>
        <v>0</v>
      </c>
      <c r="H58" s="328">
        <f t="shared" ref="H58:K64" si="9">J7*H$56</f>
        <v>0</v>
      </c>
      <c r="I58" s="328">
        <f t="shared" si="9"/>
        <v>0</v>
      </c>
      <c r="J58" s="328">
        <f t="shared" si="9"/>
        <v>0</v>
      </c>
      <c r="K58" s="328">
        <f t="shared" si="9"/>
        <v>0</v>
      </c>
      <c r="L58" s="463"/>
      <c r="M58" s="463"/>
    </row>
    <row r="59" spans="1:14" x14ac:dyDescent="0.2">
      <c r="A59" s="329" t="s">
        <v>179</v>
      </c>
      <c r="B59" s="330">
        <f t="shared" si="8"/>
        <v>0</v>
      </c>
      <c r="C59" s="330">
        <f t="shared" si="8"/>
        <v>0</v>
      </c>
      <c r="D59" s="330">
        <f t="shared" si="8"/>
        <v>0</v>
      </c>
      <c r="E59" s="330">
        <f t="shared" si="8"/>
        <v>0</v>
      </c>
      <c r="F59" s="330">
        <f t="shared" si="8"/>
        <v>0</v>
      </c>
      <c r="G59" s="331">
        <f t="shared" ref="G59:G81" si="10">H8*G$56</f>
        <v>0</v>
      </c>
      <c r="H59" s="331">
        <f t="shared" si="9"/>
        <v>0</v>
      </c>
      <c r="I59" s="331">
        <f t="shared" si="9"/>
        <v>0</v>
      </c>
      <c r="J59" s="331">
        <f t="shared" si="9"/>
        <v>0</v>
      </c>
      <c r="K59" s="331">
        <f t="shared" si="9"/>
        <v>0</v>
      </c>
      <c r="L59" s="463"/>
      <c r="M59" s="463"/>
    </row>
    <row r="60" spans="1:14" x14ac:dyDescent="0.2">
      <c r="A60" s="329" t="s">
        <v>180</v>
      </c>
      <c r="B60" s="330">
        <f t="shared" si="8"/>
        <v>0</v>
      </c>
      <c r="C60" s="330">
        <f t="shared" si="8"/>
        <v>0</v>
      </c>
      <c r="D60" s="330">
        <f t="shared" si="8"/>
        <v>0</v>
      </c>
      <c r="E60" s="330">
        <f t="shared" si="8"/>
        <v>0</v>
      </c>
      <c r="F60" s="330">
        <f t="shared" si="8"/>
        <v>0</v>
      </c>
      <c r="G60" s="331">
        <f t="shared" si="10"/>
        <v>0</v>
      </c>
      <c r="H60" s="331">
        <f t="shared" si="9"/>
        <v>0</v>
      </c>
      <c r="I60" s="331">
        <f t="shared" si="9"/>
        <v>0</v>
      </c>
      <c r="J60" s="331">
        <f t="shared" si="9"/>
        <v>0</v>
      </c>
      <c r="K60" s="331">
        <f t="shared" si="9"/>
        <v>0</v>
      </c>
      <c r="L60" s="463"/>
      <c r="M60" s="463"/>
    </row>
    <row r="61" spans="1:14" x14ac:dyDescent="0.2">
      <c r="A61" s="329" t="s">
        <v>181</v>
      </c>
      <c r="B61" s="330">
        <f>C10*B$56</f>
        <v>0</v>
      </c>
      <c r="C61" s="330">
        <f t="shared" si="8"/>
        <v>0</v>
      </c>
      <c r="D61" s="330">
        <f t="shared" si="8"/>
        <v>0</v>
      </c>
      <c r="E61" s="330">
        <f t="shared" si="8"/>
        <v>0</v>
      </c>
      <c r="F61" s="330">
        <f t="shared" si="8"/>
        <v>0</v>
      </c>
      <c r="G61" s="331">
        <f t="shared" si="10"/>
        <v>0</v>
      </c>
      <c r="H61" s="331">
        <f t="shared" si="9"/>
        <v>0</v>
      </c>
      <c r="I61" s="331">
        <f t="shared" si="9"/>
        <v>0</v>
      </c>
      <c r="J61" s="331">
        <f t="shared" si="9"/>
        <v>0</v>
      </c>
      <c r="K61" s="331">
        <f t="shared" si="9"/>
        <v>0</v>
      </c>
      <c r="L61" s="463"/>
      <c r="M61" s="463"/>
    </row>
    <row r="62" spans="1:14" x14ac:dyDescent="0.2">
      <c r="A62" s="329" t="s">
        <v>182</v>
      </c>
      <c r="B62" s="330">
        <f t="shared" si="8"/>
        <v>0</v>
      </c>
      <c r="C62" s="330">
        <f t="shared" si="8"/>
        <v>0</v>
      </c>
      <c r="D62" s="330">
        <f t="shared" si="8"/>
        <v>0</v>
      </c>
      <c r="E62" s="330">
        <f t="shared" si="8"/>
        <v>0</v>
      </c>
      <c r="F62" s="330">
        <f t="shared" si="8"/>
        <v>0</v>
      </c>
      <c r="G62" s="331">
        <f t="shared" si="10"/>
        <v>0</v>
      </c>
      <c r="H62" s="331">
        <f t="shared" si="9"/>
        <v>0</v>
      </c>
      <c r="I62" s="331">
        <f t="shared" si="9"/>
        <v>0</v>
      </c>
      <c r="J62" s="331">
        <f t="shared" si="9"/>
        <v>0</v>
      </c>
      <c r="K62" s="331">
        <f t="shared" si="9"/>
        <v>0</v>
      </c>
      <c r="L62" s="463"/>
      <c r="M62" s="463"/>
    </row>
    <row r="63" spans="1:14" x14ac:dyDescent="0.2">
      <c r="A63" s="329" t="s">
        <v>183</v>
      </c>
      <c r="B63" s="330">
        <f t="shared" si="8"/>
        <v>0</v>
      </c>
      <c r="C63" s="330">
        <f t="shared" si="8"/>
        <v>0</v>
      </c>
      <c r="D63" s="330">
        <f t="shared" si="8"/>
        <v>0</v>
      </c>
      <c r="E63" s="330">
        <f t="shared" si="8"/>
        <v>0</v>
      </c>
      <c r="F63" s="330">
        <f t="shared" si="8"/>
        <v>0</v>
      </c>
      <c r="G63" s="331">
        <f t="shared" si="10"/>
        <v>0</v>
      </c>
      <c r="H63" s="331">
        <f t="shared" si="9"/>
        <v>0</v>
      </c>
      <c r="I63" s="331">
        <f t="shared" si="9"/>
        <v>0</v>
      </c>
      <c r="J63" s="331">
        <f t="shared" si="9"/>
        <v>0</v>
      </c>
      <c r="K63" s="331">
        <f t="shared" si="9"/>
        <v>0</v>
      </c>
      <c r="L63" s="463"/>
      <c r="M63" s="463"/>
    </row>
    <row r="64" spans="1:14" ht="13.5" thickBot="1" x14ac:dyDescent="0.25">
      <c r="A64" s="519" t="s">
        <v>417</v>
      </c>
      <c r="B64" s="520">
        <f t="shared" si="8"/>
        <v>0</v>
      </c>
      <c r="C64" s="520">
        <f t="shared" si="8"/>
        <v>0</v>
      </c>
      <c r="D64" s="520">
        <f t="shared" si="8"/>
        <v>0</v>
      </c>
      <c r="E64" s="520">
        <f t="shared" si="8"/>
        <v>0</v>
      </c>
      <c r="F64" s="520">
        <f t="shared" si="8"/>
        <v>0</v>
      </c>
      <c r="G64" s="521">
        <f t="shared" si="10"/>
        <v>0</v>
      </c>
      <c r="H64" s="521">
        <f t="shared" si="9"/>
        <v>0</v>
      </c>
      <c r="I64" s="521">
        <f t="shared" si="9"/>
        <v>0</v>
      </c>
      <c r="J64" s="521">
        <f t="shared" si="9"/>
        <v>0</v>
      </c>
      <c r="K64" s="521">
        <f t="shared" si="9"/>
        <v>0</v>
      </c>
      <c r="L64" s="463"/>
      <c r="M64" s="463"/>
    </row>
    <row r="65" spans="1:13" x14ac:dyDescent="0.2">
      <c r="A65" s="517" t="s">
        <v>184</v>
      </c>
      <c r="B65" s="518">
        <f t="shared" ref="B65:F74" si="11">C16*B$56</f>
        <v>0</v>
      </c>
      <c r="C65" s="518">
        <f t="shared" si="11"/>
        <v>0</v>
      </c>
      <c r="D65" s="518">
        <f t="shared" si="11"/>
        <v>0</v>
      </c>
      <c r="E65" s="518">
        <f t="shared" si="11"/>
        <v>0</v>
      </c>
      <c r="F65" s="518">
        <f t="shared" si="11"/>
        <v>0</v>
      </c>
      <c r="G65" s="518">
        <f t="shared" si="10"/>
        <v>0</v>
      </c>
      <c r="H65" s="518">
        <f t="shared" ref="H65:H81" si="12">J16*H$56</f>
        <v>0</v>
      </c>
      <c r="I65" s="518">
        <f t="shared" ref="I65:I81" si="13">K16*I$56</f>
        <v>24380.501167595932</v>
      </c>
      <c r="J65" s="518">
        <f t="shared" ref="J65:J81" si="14">L16*J$56</f>
        <v>0</v>
      </c>
      <c r="K65" s="518">
        <f t="shared" ref="K65:K81" si="15">M16*K$56</f>
        <v>0</v>
      </c>
      <c r="L65" s="463"/>
      <c r="M65" s="463"/>
    </row>
    <row r="66" spans="1:13" x14ac:dyDescent="0.2">
      <c r="A66" s="329" t="s">
        <v>185</v>
      </c>
      <c r="B66" s="330">
        <f t="shared" si="11"/>
        <v>0</v>
      </c>
      <c r="C66" s="330">
        <f t="shared" si="11"/>
        <v>0</v>
      </c>
      <c r="D66" s="330">
        <f t="shared" si="11"/>
        <v>0</v>
      </c>
      <c r="E66" s="330">
        <f t="shared" si="11"/>
        <v>0</v>
      </c>
      <c r="F66" s="330">
        <f t="shared" si="11"/>
        <v>0</v>
      </c>
      <c r="G66" s="330">
        <f t="shared" si="10"/>
        <v>0</v>
      </c>
      <c r="H66" s="330">
        <f t="shared" si="12"/>
        <v>0</v>
      </c>
      <c r="I66" s="330">
        <f t="shared" si="13"/>
        <v>0</v>
      </c>
      <c r="J66" s="330">
        <f t="shared" si="14"/>
        <v>0</v>
      </c>
      <c r="K66" s="330">
        <f t="shared" si="15"/>
        <v>0</v>
      </c>
      <c r="L66" s="463"/>
      <c r="M66" s="463"/>
    </row>
    <row r="67" spans="1:13" x14ac:dyDescent="0.2">
      <c r="A67" s="329" t="s">
        <v>186</v>
      </c>
      <c r="B67" s="330">
        <f t="shared" si="11"/>
        <v>0</v>
      </c>
      <c r="C67" s="330">
        <f t="shared" si="11"/>
        <v>0</v>
      </c>
      <c r="D67" s="330">
        <f t="shared" si="11"/>
        <v>0</v>
      </c>
      <c r="E67" s="330">
        <f t="shared" si="11"/>
        <v>0</v>
      </c>
      <c r="F67" s="330">
        <f t="shared" si="11"/>
        <v>0</v>
      </c>
      <c r="G67" s="330">
        <f t="shared" si="10"/>
        <v>0</v>
      </c>
      <c r="H67" s="330">
        <f t="shared" si="12"/>
        <v>0</v>
      </c>
      <c r="I67" s="330">
        <f t="shared" si="13"/>
        <v>0</v>
      </c>
      <c r="J67" s="330">
        <f t="shared" si="14"/>
        <v>0</v>
      </c>
      <c r="K67" s="330">
        <f t="shared" si="15"/>
        <v>0</v>
      </c>
      <c r="L67" s="463"/>
      <c r="M67" s="463"/>
    </row>
    <row r="68" spans="1:13" x14ac:dyDescent="0.2">
      <c r="A68" s="329" t="s">
        <v>187</v>
      </c>
      <c r="B68" s="330">
        <f t="shared" si="11"/>
        <v>0</v>
      </c>
      <c r="C68" s="330">
        <f t="shared" si="11"/>
        <v>0</v>
      </c>
      <c r="D68" s="330">
        <f t="shared" si="11"/>
        <v>0</v>
      </c>
      <c r="E68" s="330">
        <f t="shared" si="11"/>
        <v>0</v>
      </c>
      <c r="F68" s="330">
        <f t="shared" si="11"/>
        <v>0</v>
      </c>
      <c r="G68" s="330">
        <f t="shared" si="10"/>
        <v>0</v>
      </c>
      <c r="H68" s="330">
        <f t="shared" si="12"/>
        <v>0</v>
      </c>
      <c r="I68" s="330">
        <f t="shared" si="13"/>
        <v>35784.28397179403</v>
      </c>
      <c r="J68" s="330">
        <f t="shared" si="14"/>
        <v>0</v>
      </c>
      <c r="K68" s="330">
        <f t="shared" si="15"/>
        <v>0</v>
      </c>
      <c r="L68" s="463"/>
      <c r="M68" s="463"/>
    </row>
    <row r="69" spans="1:13" x14ac:dyDescent="0.2">
      <c r="A69" s="329" t="s">
        <v>188</v>
      </c>
      <c r="B69" s="330">
        <f t="shared" si="11"/>
        <v>0</v>
      </c>
      <c r="C69" s="330">
        <f t="shared" si="11"/>
        <v>0</v>
      </c>
      <c r="D69" s="330">
        <f t="shared" si="11"/>
        <v>0</v>
      </c>
      <c r="E69" s="330">
        <f t="shared" si="11"/>
        <v>0</v>
      </c>
      <c r="F69" s="330">
        <f t="shared" si="11"/>
        <v>0</v>
      </c>
      <c r="G69" s="330">
        <f t="shared" si="10"/>
        <v>0</v>
      </c>
      <c r="H69" s="330">
        <f t="shared" si="12"/>
        <v>0</v>
      </c>
      <c r="I69" s="330">
        <f t="shared" si="13"/>
        <v>0</v>
      </c>
      <c r="J69" s="330">
        <f t="shared" si="14"/>
        <v>0</v>
      </c>
      <c r="K69" s="330">
        <f t="shared" si="15"/>
        <v>0</v>
      </c>
      <c r="L69" s="463"/>
      <c r="M69" s="463"/>
    </row>
    <row r="70" spans="1:13" x14ac:dyDescent="0.2">
      <c r="A70" s="329" t="s">
        <v>194</v>
      </c>
      <c r="B70" s="330">
        <f t="shared" si="11"/>
        <v>0</v>
      </c>
      <c r="C70" s="330">
        <f t="shared" si="11"/>
        <v>0</v>
      </c>
      <c r="D70" s="330">
        <f t="shared" si="11"/>
        <v>0</v>
      </c>
      <c r="E70" s="330">
        <f t="shared" si="11"/>
        <v>0</v>
      </c>
      <c r="F70" s="330">
        <f t="shared" si="11"/>
        <v>0</v>
      </c>
      <c r="G70" s="330">
        <f t="shared" si="10"/>
        <v>0</v>
      </c>
      <c r="H70" s="330">
        <f t="shared" si="12"/>
        <v>0</v>
      </c>
      <c r="I70" s="330">
        <f t="shared" si="13"/>
        <v>0</v>
      </c>
      <c r="J70" s="330">
        <f t="shared" si="14"/>
        <v>0</v>
      </c>
      <c r="K70" s="330">
        <f t="shared" si="15"/>
        <v>0</v>
      </c>
      <c r="L70" s="463"/>
      <c r="M70" s="463"/>
    </row>
    <row r="71" spans="1:13" x14ac:dyDescent="0.2">
      <c r="A71" s="329" t="s">
        <v>195</v>
      </c>
      <c r="B71" s="330">
        <f t="shared" si="11"/>
        <v>0</v>
      </c>
      <c r="C71" s="330">
        <f t="shared" si="11"/>
        <v>0</v>
      </c>
      <c r="D71" s="330">
        <f t="shared" si="11"/>
        <v>0</v>
      </c>
      <c r="E71" s="330">
        <f t="shared" si="11"/>
        <v>0</v>
      </c>
      <c r="F71" s="330">
        <f t="shared" si="11"/>
        <v>0</v>
      </c>
      <c r="G71" s="330">
        <f t="shared" si="10"/>
        <v>0</v>
      </c>
      <c r="H71" s="330">
        <f t="shared" si="12"/>
        <v>0</v>
      </c>
      <c r="I71" s="330">
        <f t="shared" si="13"/>
        <v>0</v>
      </c>
      <c r="J71" s="330">
        <f t="shared" si="14"/>
        <v>0</v>
      </c>
      <c r="K71" s="330">
        <f t="shared" si="15"/>
        <v>0</v>
      </c>
      <c r="L71" s="463"/>
      <c r="M71" s="463"/>
    </row>
    <row r="72" spans="1:13" x14ac:dyDescent="0.2">
      <c r="A72" s="329" t="s">
        <v>196</v>
      </c>
      <c r="B72" s="330">
        <f t="shared" si="11"/>
        <v>0</v>
      </c>
      <c r="C72" s="330">
        <f t="shared" si="11"/>
        <v>0</v>
      </c>
      <c r="D72" s="330">
        <f t="shared" si="11"/>
        <v>0</v>
      </c>
      <c r="E72" s="330">
        <f t="shared" si="11"/>
        <v>0</v>
      </c>
      <c r="F72" s="330">
        <f t="shared" si="11"/>
        <v>0</v>
      </c>
      <c r="G72" s="330">
        <f t="shared" si="10"/>
        <v>0</v>
      </c>
      <c r="H72" s="330">
        <f t="shared" si="12"/>
        <v>0</v>
      </c>
      <c r="I72" s="330">
        <f t="shared" si="13"/>
        <v>0</v>
      </c>
      <c r="J72" s="330">
        <f t="shared" si="14"/>
        <v>0</v>
      </c>
      <c r="K72" s="330">
        <f t="shared" si="15"/>
        <v>0</v>
      </c>
      <c r="L72" s="463"/>
      <c r="M72" s="463"/>
    </row>
    <row r="73" spans="1:13" x14ac:dyDescent="0.2">
      <c r="A73" s="329" t="s">
        <v>197</v>
      </c>
      <c r="B73" s="330">
        <f t="shared" si="11"/>
        <v>0</v>
      </c>
      <c r="C73" s="330">
        <f t="shared" si="11"/>
        <v>0</v>
      </c>
      <c r="D73" s="330">
        <f t="shared" si="11"/>
        <v>0</v>
      </c>
      <c r="E73" s="330">
        <f t="shared" si="11"/>
        <v>0</v>
      </c>
      <c r="F73" s="330">
        <f t="shared" si="11"/>
        <v>0</v>
      </c>
      <c r="G73" s="330">
        <f t="shared" si="10"/>
        <v>0</v>
      </c>
      <c r="H73" s="330">
        <f t="shared" si="12"/>
        <v>0</v>
      </c>
      <c r="I73" s="330">
        <f t="shared" si="13"/>
        <v>0</v>
      </c>
      <c r="J73" s="330">
        <f t="shared" si="14"/>
        <v>0</v>
      </c>
      <c r="K73" s="330">
        <f t="shared" si="15"/>
        <v>0</v>
      </c>
      <c r="L73" s="463"/>
      <c r="M73" s="463"/>
    </row>
    <row r="74" spans="1:13" x14ac:dyDescent="0.2">
      <c r="A74" s="329" t="s">
        <v>198</v>
      </c>
      <c r="B74" s="330">
        <f t="shared" si="11"/>
        <v>0</v>
      </c>
      <c r="C74" s="330">
        <f t="shared" si="11"/>
        <v>0</v>
      </c>
      <c r="D74" s="330">
        <f t="shared" si="11"/>
        <v>0</v>
      </c>
      <c r="E74" s="330">
        <f t="shared" si="11"/>
        <v>0</v>
      </c>
      <c r="F74" s="330">
        <f t="shared" si="11"/>
        <v>0</v>
      </c>
      <c r="G74" s="330">
        <f t="shared" si="10"/>
        <v>0</v>
      </c>
      <c r="H74" s="330">
        <f t="shared" si="12"/>
        <v>0</v>
      </c>
      <c r="I74" s="330">
        <f t="shared" si="13"/>
        <v>0</v>
      </c>
      <c r="J74" s="330">
        <f t="shared" si="14"/>
        <v>0</v>
      </c>
      <c r="K74" s="330">
        <f t="shared" si="15"/>
        <v>0</v>
      </c>
      <c r="L74" s="463"/>
      <c r="M74" s="463"/>
    </row>
    <row r="75" spans="1:13" x14ac:dyDescent="0.2">
      <c r="A75" s="329" t="s">
        <v>199</v>
      </c>
      <c r="B75" s="330">
        <f t="shared" ref="B75:F80" si="16">C26*B$56</f>
        <v>0</v>
      </c>
      <c r="C75" s="330">
        <f t="shared" si="16"/>
        <v>0</v>
      </c>
      <c r="D75" s="330">
        <f t="shared" si="16"/>
        <v>0</v>
      </c>
      <c r="E75" s="330">
        <f t="shared" si="16"/>
        <v>0</v>
      </c>
      <c r="F75" s="330">
        <f t="shared" si="16"/>
        <v>0</v>
      </c>
      <c r="G75" s="330">
        <f t="shared" si="10"/>
        <v>0</v>
      </c>
      <c r="H75" s="330">
        <f t="shared" si="12"/>
        <v>0</v>
      </c>
      <c r="I75" s="330">
        <f t="shared" si="13"/>
        <v>0</v>
      </c>
      <c r="J75" s="330">
        <f t="shared" si="14"/>
        <v>0</v>
      </c>
      <c r="K75" s="330">
        <f t="shared" si="15"/>
        <v>0</v>
      </c>
      <c r="L75" s="463"/>
      <c r="M75" s="463"/>
    </row>
    <row r="76" spans="1:13" x14ac:dyDescent="0.2">
      <c r="A76" s="329" t="s">
        <v>200</v>
      </c>
      <c r="B76" s="330">
        <f t="shared" si="16"/>
        <v>0</v>
      </c>
      <c r="C76" s="330">
        <f t="shared" si="16"/>
        <v>0</v>
      </c>
      <c r="D76" s="330">
        <f t="shared" si="16"/>
        <v>0</v>
      </c>
      <c r="E76" s="330">
        <f t="shared" si="16"/>
        <v>0</v>
      </c>
      <c r="F76" s="330">
        <f t="shared" si="16"/>
        <v>0</v>
      </c>
      <c r="G76" s="330">
        <f t="shared" si="10"/>
        <v>0</v>
      </c>
      <c r="H76" s="330">
        <f t="shared" si="12"/>
        <v>0</v>
      </c>
      <c r="I76" s="330">
        <f t="shared" si="13"/>
        <v>0</v>
      </c>
      <c r="J76" s="330">
        <f t="shared" si="14"/>
        <v>0</v>
      </c>
      <c r="K76" s="330">
        <f t="shared" si="15"/>
        <v>0</v>
      </c>
      <c r="L76" s="463"/>
      <c r="M76" s="463"/>
    </row>
    <row r="77" spans="1:13" x14ac:dyDescent="0.2">
      <c r="A77" s="329" t="s">
        <v>201</v>
      </c>
      <c r="B77" s="330">
        <f t="shared" si="16"/>
        <v>0</v>
      </c>
      <c r="C77" s="330">
        <f t="shared" si="16"/>
        <v>0</v>
      </c>
      <c r="D77" s="330">
        <f t="shared" si="16"/>
        <v>0</v>
      </c>
      <c r="E77" s="330">
        <f t="shared" si="16"/>
        <v>0</v>
      </c>
      <c r="F77" s="330">
        <f t="shared" si="16"/>
        <v>0</v>
      </c>
      <c r="G77" s="330">
        <f t="shared" si="10"/>
        <v>0</v>
      </c>
      <c r="H77" s="330">
        <f t="shared" si="12"/>
        <v>0</v>
      </c>
      <c r="I77" s="330">
        <f t="shared" si="13"/>
        <v>0</v>
      </c>
      <c r="J77" s="330">
        <f t="shared" si="14"/>
        <v>0</v>
      </c>
      <c r="K77" s="330">
        <f t="shared" si="15"/>
        <v>0</v>
      </c>
      <c r="L77" s="463"/>
      <c r="M77" s="463"/>
    </row>
    <row r="78" spans="1:13" x14ac:dyDescent="0.2">
      <c r="A78" s="329" t="s">
        <v>202</v>
      </c>
      <c r="B78" s="330">
        <f t="shared" si="16"/>
        <v>0</v>
      </c>
      <c r="C78" s="330">
        <f t="shared" si="16"/>
        <v>0</v>
      </c>
      <c r="D78" s="330">
        <f t="shared" si="16"/>
        <v>0</v>
      </c>
      <c r="E78" s="330">
        <f t="shared" si="16"/>
        <v>0</v>
      </c>
      <c r="F78" s="330">
        <f t="shared" si="16"/>
        <v>0</v>
      </c>
      <c r="G78" s="330">
        <f t="shared" si="10"/>
        <v>0</v>
      </c>
      <c r="H78" s="330">
        <f t="shared" si="12"/>
        <v>0</v>
      </c>
      <c r="I78" s="330">
        <f t="shared" si="13"/>
        <v>0</v>
      </c>
      <c r="J78" s="330">
        <f t="shared" si="14"/>
        <v>0</v>
      </c>
      <c r="K78" s="330">
        <f t="shared" si="15"/>
        <v>0</v>
      </c>
      <c r="L78" s="463"/>
      <c r="M78" s="463"/>
    </row>
    <row r="79" spans="1:13" x14ac:dyDescent="0.2">
      <c r="A79" s="329" t="s">
        <v>203</v>
      </c>
      <c r="B79" s="330">
        <f t="shared" si="16"/>
        <v>0</v>
      </c>
      <c r="C79" s="330">
        <f t="shared" si="16"/>
        <v>0</v>
      </c>
      <c r="D79" s="330">
        <f t="shared" si="16"/>
        <v>0</v>
      </c>
      <c r="E79" s="330">
        <f t="shared" si="16"/>
        <v>0</v>
      </c>
      <c r="F79" s="330">
        <f t="shared" si="16"/>
        <v>0</v>
      </c>
      <c r="G79" s="330">
        <f t="shared" si="10"/>
        <v>0</v>
      </c>
      <c r="H79" s="330">
        <f t="shared" si="12"/>
        <v>0</v>
      </c>
      <c r="I79" s="330">
        <f t="shared" si="13"/>
        <v>0</v>
      </c>
      <c r="J79" s="330">
        <f t="shared" si="14"/>
        <v>0</v>
      </c>
      <c r="K79" s="330">
        <f t="shared" si="15"/>
        <v>0</v>
      </c>
      <c r="L79" s="463"/>
      <c r="M79" s="463"/>
    </row>
    <row r="80" spans="1:13" x14ac:dyDescent="0.2">
      <c r="A80" s="329" t="s">
        <v>204</v>
      </c>
      <c r="B80" s="330">
        <f t="shared" si="16"/>
        <v>0</v>
      </c>
      <c r="C80" s="330">
        <f t="shared" si="16"/>
        <v>0</v>
      </c>
      <c r="D80" s="330">
        <f t="shared" si="16"/>
        <v>0</v>
      </c>
      <c r="E80" s="330">
        <f t="shared" si="16"/>
        <v>0</v>
      </c>
      <c r="F80" s="330">
        <f t="shared" si="16"/>
        <v>0</v>
      </c>
      <c r="G80" s="330">
        <f t="shared" si="10"/>
        <v>0</v>
      </c>
      <c r="H80" s="330">
        <f t="shared" si="12"/>
        <v>0</v>
      </c>
      <c r="I80" s="330">
        <f t="shared" si="13"/>
        <v>0</v>
      </c>
      <c r="J80" s="330">
        <f t="shared" si="14"/>
        <v>0</v>
      </c>
      <c r="K80" s="330">
        <f t="shared" si="15"/>
        <v>0</v>
      </c>
      <c r="L80" s="463"/>
      <c r="M80" s="463"/>
    </row>
    <row r="81" spans="1:13" ht="13.5" thickBot="1" x14ac:dyDescent="0.25">
      <c r="A81" s="334" t="s">
        <v>205</v>
      </c>
      <c r="B81" s="330">
        <f>C32*B$56</f>
        <v>0</v>
      </c>
      <c r="C81" s="330">
        <f>D32*C$56</f>
        <v>0</v>
      </c>
      <c r="D81" s="330">
        <f t="shared" ref="D81:F81" si="17">E32*D$56</f>
        <v>0</v>
      </c>
      <c r="E81" s="330">
        <f t="shared" si="17"/>
        <v>0</v>
      </c>
      <c r="F81" s="330">
        <f t="shared" si="17"/>
        <v>0</v>
      </c>
      <c r="G81" s="330">
        <f t="shared" si="10"/>
        <v>0</v>
      </c>
      <c r="H81" s="330">
        <f t="shared" si="12"/>
        <v>0</v>
      </c>
      <c r="I81" s="330">
        <f t="shared" si="13"/>
        <v>0</v>
      </c>
      <c r="J81" s="330">
        <f t="shared" si="14"/>
        <v>0</v>
      </c>
      <c r="K81" s="330">
        <f t="shared" si="15"/>
        <v>0</v>
      </c>
      <c r="L81" s="463"/>
      <c r="M81" s="463"/>
    </row>
    <row r="82" spans="1:13" ht="13.5" thickBot="1" x14ac:dyDescent="0.25">
      <c r="A82" s="335" t="s">
        <v>189</v>
      </c>
      <c r="B82" s="324">
        <f>SUM(B58:B81)</f>
        <v>0</v>
      </c>
      <c r="C82" s="324">
        <f>SUM(C58:C81)</f>
        <v>0</v>
      </c>
      <c r="D82" s="324">
        <f t="shared" ref="D82:K82" si="18">SUM(D58:D81)</f>
        <v>0</v>
      </c>
      <c r="E82" s="324">
        <f t="shared" si="18"/>
        <v>0</v>
      </c>
      <c r="F82" s="324">
        <f t="shared" si="18"/>
        <v>0</v>
      </c>
      <c r="G82" s="324">
        <f t="shared" si="18"/>
        <v>0</v>
      </c>
      <c r="H82" s="324">
        <f t="shared" si="18"/>
        <v>0</v>
      </c>
      <c r="I82" s="324">
        <f t="shared" si="18"/>
        <v>60164.785139389962</v>
      </c>
      <c r="J82" s="324">
        <f t="shared" si="18"/>
        <v>0</v>
      </c>
      <c r="K82" s="464">
        <f t="shared" si="18"/>
        <v>0</v>
      </c>
      <c r="L82" s="463"/>
      <c r="M82" s="463"/>
    </row>
    <row r="83" spans="1:13" x14ac:dyDescent="0.2">
      <c r="A83" s="124" t="s">
        <v>64</v>
      </c>
      <c r="B83" s="463"/>
      <c r="C83" s="463"/>
      <c r="D83" s="463"/>
      <c r="E83" s="463"/>
      <c r="F83" s="463"/>
      <c r="G83" s="463"/>
      <c r="H83" s="463"/>
      <c r="I83" s="283"/>
      <c r="J83" s="463"/>
      <c r="K83" s="463"/>
      <c r="L83" s="463"/>
      <c r="M83" s="463"/>
    </row>
    <row r="84" spans="1:13" x14ac:dyDescent="0.2">
      <c r="A84" s="124" t="s">
        <v>190</v>
      </c>
      <c r="B84" s="463"/>
      <c r="C84" s="463"/>
      <c r="D84" s="463"/>
      <c r="E84" s="463"/>
      <c r="F84" s="463"/>
      <c r="G84" s="463"/>
      <c r="H84" s="463"/>
      <c r="I84" s="283"/>
      <c r="J84" s="463"/>
      <c r="K84" s="463"/>
      <c r="L84" s="463"/>
      <c r="M84" s="463"/>
    </row>
    <row r="85" spans="1:13" x14ac:dyDescent="0.2">
      <c r="A85" s="105" t="s">
        <v>191</v>
      </c>
      <c r="B85" s="463"/>
      <c r="C85" s="463"/>
      <c r="D85" s="463"/>
      <c r="E85" s="463"/>
      <c r="F85" s="463"/>
      <c r="G85" s="463"/>
      <c r="H85" s="463"/>
      <c r="I85" s="283"/>
      <c r="J85" s="463"/>
      <c r="K85" s="463"/>
      <c r="L85" s="463"/>
      <c r="M85" s="463"/>
    </row>
    <row r="86" spans="1:13" x14ac:dyDescent="0.2">
      <c r="A86" s="105" t="s">
        <v>192</v>
      </c>
      <c r="B86" s="463"/>
      <c r="C86" s="463"/>
      <c r="D86" s="463"/>
      <c r="E86" s="463"/>
      <c r="F86" s="463"/>
      <c r="G86" s="463"/>
      <c r="H86" s="463"/>
      <c r="I86" s="283"/>
      <c r="J86" s="463"/>
      <c r="K86" s="463"/>
      <c r="L86" s="463"/>
      <c r="M86" s="463"/>
    </row>
    <row r="87" spans="1:13" x14ac:dyDescent="0.2">
      <c r="A87" s="105" t="s">
        <v>193</v>
      </c>
      <c r="B87" s="463"/>
      <c r="C87" s="463"/>
      <c r="D87" s="463"/>
      <c r="E87" s="463"/>
      <c r="F87" s="463"/>
      <c r="G87" s="463"/>
      <c r="H87" s="463"/>
      <c r="I87" s="283"/>
      <c r="J87" s="463"/>
      <c r="K87" s="463"/>
      <c r="L87" s="463"/>
      <c r="M87" s="463"/>
    </row>
    <row r="88" spans="1:13" ht="13.5" thickBot="1" x14ac:dyDescent="0.25">
      <c r="A88" s="14"/>
      <c r="B88" s="14"/>
      <c r="C88" s="14"/>
      <c r="D88" s="14"/>
      <c r="E88" s="14"/>
      <c r="F88" s="14"/>
      <c r="G88" s="14"/>
      <c r="H88" s="14"/>
      <c r="I88" s="14"/>
      <c r="J88" s="14"/>
      <c r="K88" s="14"/>
      <c r="L88" s="14"/>
      <c r="M88" s="14"/>
    </row>
    <row r="89" spans="1:13" ht="16.5" thickBot="1" x14ac:dyDescent="0.3">
      <c r="A89" s="139" t="s">
        <v>56</v>
      </c>
      <c r="B89" s="14"/>
      <c r="C89" s="14"/>
      <c r="D89" s="14"/>
      <c r="E89" s="14"/>
      <c r="F89" s="14"/>
      <c r="G89" s="14"/>
      <c r="H89" s="14"/>
      <c r="I89" s="14"/>
      <c r="J89" s="14"/>
      <c r="K89" s="14"/>
      <c r="L89" s="14"/>
      <c r="M89" s="14"/>
    </row>
    <row r="90" spans="1:13" ht="77.25" thickBot="1" x14ac:dyDescent="0.25">
      <c r="A90" s="248" t="s">
        <v>2</v>
      </c>
      <c r="B90" s="249" t="s">
        <v>70</v>
      </c>
      <c r="C90" s="250" t="s">
        <v>86</v>
      </c>
      <c r="D90" s="22"/>
      <c r="E90" s="14"/>
      <c r="F90" s="14"/>
      <c r="G90" s="14"/>
      <c r="H90" s="14"/>
      <c r="I90" s="14"/>
      <c r="J90" s="14"/>
      <c r="K90" s="14"/>
      <c r="L90" s="14"/>
      <c r="M90" s="14"/>
    </row>
    <row r="91" spans="1:13" x14ac:dyDescent="0.2">
      <c r="A91" s="253" t="s">
        <v>27</v>
      </c>
      <c r="B91" s="286">
        <f>C47*B56</f>
        <v>0</v>
      </c>
      <c r="C91" s="231">
        <f>B82</f>
        <v>0</v>
      </c>
      <c r="D91" s="14"/>
      <c r="E91" s="14"/>
      <c r="F91" s="14"/>
      <c r="G91" s="14"/>
      <c r="H91" s="14"/>
      <c r="I91" s="14"/>
      <c r="J91" s="14"/>
      <c r="K91" s="14"/>
      <c r="L91" s="14"/>
      <c r="M91" s="14"/>
    </row>
    <row r="92" spans="1:13" x14ac:dyDescent="0.2">
      <c r="A92" s="38" t="s">
        <v>32</v>
      </c>
      <c r="B92" s="287">
        <f>D47*C56</f>
        <v>0</v>
      </c>
      <c r="C92" s="42">
        <f>C82</f>
        <v>0</v>
      </c>
      <c r="D92" s="43"/>
      <c r="E92" s="14"/>
      <c r="F92" s="14"/>
      <c r="G92" s="14"/>
      <c r="H92" s="14"/>
      <c r="I92" s="14"/>
      <c r="J92" s="14"/>
      <c r="K92" s="14"/>
      <c r="L92" s="14"/>
      <c r="M92" s="14"/>
    </row>
    <row r="93" spans="1:13" x14ac:dyDescent="0.2">
      <c r="A93" s="38" t="s">
        <v>4</v>
      </c>
      <c r="B93" s="287">
        <f>E47*D56</f>
        <v>0</v>
      </c>
      <c r="C93" s="42">
        <f>D82</f>
        <v>0</v>
      </c>
      <c r="D93" s="14"/>
      <c r="E93" s="14"/>
      <c r="F93" s="14"/>
      <c r="G93" s="14"/>
      <c r="H93" s="14"/>
      <c r="I93" s="14"/>
      <c r="J93" s="14"/>
      <c r="K93" s="14"/>
      <c r="L93" s="14"/>
      <c r="M93" s="14"/>
    </row>
    <row r="94" spans="1:13" x14ac:dyDescent="0.2">
      <c r="A94" s="125" t="s">
        <v>7</v>
      </c>
      <c r="B94" s="287">
        <f>F47*E56</f>
        <v>0</v>
      </c>
      <c r="C94" s="42">
        <f>E82</f>
        <v>0</v>
      </c>
      <c r="D94" s="14"/>
      <c r="E94" s="14"/>
      <c r="F94" s="14"/>
      <c r="G94" s="14"/>
      <c r="H94" s="14"/>
      <c r="I94" s="14"/>
      <c r="J94" s="14"/>
      <c r="K94" s="14"/>
      <c r="L94" s="14"/>
      <c r="M94" s="14"/>
    </row>
    <row r="95" spans="1:13" x14ac:dyDescent="0.2">
      <c r="A95" s="125" t="s">
        <v>33</v>
      </c>
      <c r="B95" s="287">
        <f>G47*F56</f>
        <v>0</v>
      </c>
      <c r="C95" s="42">
        <f>F82</f>
        <v>0</v>
      </c>
      <c r="D95" s="14"/>
      <c r="E95" s="14"/>
      <c r="F95" s="14"/>
      <c r="G95" s="14"/>
      <c r="H95" s="14"/>
      <c r="I95" s="14"/>
      <c r="J95" s="14"/>
      <c r="K95" s="14"/>
      <c r="L95" s="14"/>
      <c r="M95" s="14"/>
    </row>
    <row r="96" spans="1:13" x14ac:dyDescent="0.2">
      <c r="A96" s="125" t="s">
        <v>34</v>
      </c>
      <c r="B96" s="288">
        <f>I47*G56</f>
        <v>0</v>
      </c>
      <c r="C96" s="42">
        <f>G82</f>
        <v>0</v>
      </c>
      <c r="D96" s="14"/>
      <c r="E96" s="14"/>
      <c r="F96" s="14"/>
      <c r="G96" s="14"/>
      <c r="H96" s="14"/>
      <c r="I96" s="14"/>
      <c r="J96" s="14"/>
      <c r="K96" s="14"/>
      <c r="L96" s="14"/>
      <c r="M96" s="14"/>
    </row>
    <row r="97" spans="1:13" x14ac:dyDescent="0.2">
      <c r="A97" s="125" t="s">
        <v>14</v>
      </c>
      <c r="B97" s="288">
        <f>J47*H56</f>
        <v>0</v>
      </c>
      <c r="C97" s="42">
        <f>H82</f>
        <v>0</v>
      </c>
      <c r="D97" s="14"/>
      <c r="E97" s="14"/>
      <c r="F97" s="14"/>
      <c r="G97" s="14"/>
      <c r="H97" s="14"/>
      <c r="I97" s="14"/>
      <c r="J97" s="14"/>
      <c r="K97" s="14"/>
      <c r="L97" s="14"/>
      <c r="M97" s="14"/>
    </row>
    <row r="98" spans="1:13" x14ac:dyDescent="0.2">
      <c r="A98" s="125" t="s">
        <v>10</v>
      </c>
      <c r="B98" s="288">
        <f>K47*I56</f>
        <v>12917.733279927845</v>
      </c>
      <c r="C98" s="126">
        <f>I82</f>
        <v>60164.785139389962</v>
      </c>
      <c r="D98" s="14"/>
      <c r="E98" s="14"/>
      <c r="F98" s="14"/>
      <c r="G98" s="14"/>
      <c r="H98" s="14"/>
      <c r="I98" s="14"/>
      <c r="J98" s="14"/>
      <c r="K98" s="14"/>
      <c r="L98" s="14"/>
      <c r="M98" s="14"/>
    </row>
    <row r="99" spans="1:13" x14ac:dyDescent="0.2">
      <c r="A99" s="125" t="s">
        <v>49</v>
      </c>
      <c r="B99" s="288">
        <f>L47*J56</f>
        <v>0</v>
      </c>
      <c r="C99" s="126">
        <f>J82</f>
        <v>0</v>
      </c>
      <c r="D99" s="43"/>
      <c r="E99" s="14"/>
      <c r="F99" s="14"/>
      <c r="G99" s="14"/>
      <c r="H99" s="14"/>
      <c r="I99" s="14"/>
      <c r="J99" s="14"/>
      <c r="K99" s="14"/>
      <c r="L99" s="14"/>
      <c r="M99" s="14"/>
    </row>
    <row r="100" spans="1:13" ht="13.5" thickBot="1" x14ac:dyDescent="0.25">
      <c r="A100" s="254" t="s">
        <v>19</v>
      </c>
      <c r="B100" s="289">
        <f>M47*K56</f>
        <v>0</v>
      </c>
      <c r="C100" s="232">
        <f>K82</f>
        <v>0</v>
      </c>
      <c r="D100" s="43"/>
      <c r="E100" s="14"/>
      <c r="F100" s="14"/>
      <c r="G100" s="14"/>
      <c r="H100" s="14"/>
      <c r="I100" s="14"/>
      <c r="J100" s="14"/>
      <c r="K100" s="14"/>
      <c r="L100" s="14"/>
      <c r="M100" s="14"/>
    </row>
    <row r="101" spans="1:13" ht="13.5" thickBot="1" x14ac:dyDescent="0.25">
      <c r="A101" s="251" t="s">
        <v>47</v>
      </c>
      <c r="B101" s="290">
        <f>SUM(B91:B100)</f>
        <v>12917.733279927845</v>
      </c>
      <c r="C101" s="252">
        <f>SUM(C91:C100)</f>
        <v>60164.785139389962</v>
      </c>
      <c r="D101" s="14"/>
      <c r="E101" s="14"/>
      <c r="F101" s="14"/>
      <c r="G101" s="14"/>
      <c r="H101" s="14"/>
      <c r="I101" s="14"/>
      <c r="J101" s="14"/>
      <c r="K101" s="14"/>
      <c r="L101" s="14"/>
      <c r="M101" s="14"/>
    </row>
  </sheetData>
  <mergeCells count="3">
    <mergeCell ref="A3:A4"/>
    <mergeCell ref="A54:A55"/>
    <mergeCell ref="B57:K57"/>
  </mergeCells>
  <pageMargins left="0.45" right="0.45" top="0.5" bottom="0.5" header="0" footer="0"/>
  <pageSetup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P31"/>
  <sheetViews>
    <sheetView workbookViewId="0"/>
  </sheetViews>
  <sheetFormatPr defaultRowHeight="12.75" x14ac:dyDescent="0.2"/>
  <cols>
    <col min="2" max="2" width="10" bestFit="1" customWidth="1"/>
    <col min="3" max="3" width="14.7109375" bestFit="1" customWidth="1"/>
    <col min="4" max="4" width="12.85546875" bestFit="1" customWidth="1"/>
    <col min="5" max="5" width="12.7109375" bestFit="1" customWidth="1"/>
    <col min="6" max="6" width="10" bestFit="1" customWidth="1"/>
    <col min="7" max="7" width="11.7109375" bestFit="1" customWidth="1"/>
    <col min="8" max="8" width="12.85546875" bestFit="1" customWidth="1"/>
    <col min="9" max="9" width="12.5703125" bestFit="1" customWidth="1"/>
    <col min="12" max="13" width="18.7109375" bestFit="1" customWidth="1"/>
    <col min="15" max="16" width="18.7109375" bestFit="1" customWidth="1"/>
  </cols>
  <sheetData>
    <row r="1" spans="1:16" ht="18.75" x14ac:dyDescent="0.2">
      <c r="A1" s="405" t="s">
        <v>438</v>
      </c>
      <c r="B1" s="360"/>
      <c r="C1" s="360"/>
      <c r="D1" s="360"/>
      <c r="E1" s="360"/>
      <c r="F1" s="360"/>
      <c r="G1" s="360"/>
      <c r="H1" s="360"/>
      <c r="I1" s="360"/>
      <c r="J1" s="360"/>
      <c r="N1" s="337"/>
    </row>
    <row r="2" spans="1:16" x14ac:dyDescent="0.2">
      <c r="A2" s="360"/>
      <c r="B2" s="360"/>
      <c r="C2" s="360"/>
      <c r="D2" s="360"/>
      <c r="E2" s="360"/>
      <c r="F2" s="360"/>
      <c r="G2" s="360"/>
      <c r="H2" s="360"/>
      <c r="I2" s="360"/>
      <c r="J2" s="360"/>
    </row>
    <row r="3" spans="1:16" x14ac:dyDescent="0.2">
      <c r="A3" s="360"/>
      <c r="B3" s="360"/>
      <c r="C3" s="360"/>
      <c r="D3" s="360"/>
      <c r="E3" s="360"/>
      <c r="F3" s="360"/>
      <c r="G3" s="360"/>
      <c r="H3" s="360"/>
      <c r="I3" s="360"/>
      <c r="J3" s="360"/>
    </row>
    <row r="4" spans="1:16" x14ac:dyDescent="0.2">
      <c r="A4" s="540" t="s">
        <v>6</v>
      </c>
      <c r="B4" s="541" t="s">
        <v>92</v>
      </c>
      <c r="C4" s="542"/>
      <c r="D4" s="542"/>
      <c r="E4" s="543"/>
      <c r="F4" s="544" t="s">
        <v>369</v>
      </c>
      <c r="G4" s="545"/>
      <c r="H4" s="545"/>
      <c r="I4" s="546"/>
      <c r="J4" s="540" t="s">
        <v>6</v>
      </c>
    </row>
    <row r="5" spans="1:16" ht="51" x14ac:dyDescent="0.2">
      <c r="A5" s="540"/>
      <c r="B5" s="336" t="s">
        <v>166</v>
      </c>
      <c r="C5" s="336" t="s">
        <v>370</v>
      </c>
      <c r="D5" s="336" t="s">
        <v>93</v>
      </c>
      <c r="E5" s="336" t="s">
        <v>371</v>
      </c>
      <c r="F5" s="406" t="s">
        <v>372</v>
      </c>
      <c r="G5" s="406" t="s">
        <v>373</v>
      </c>
      <c r="H5" s="406" t="s">
        <v>374</v>
      </c>
      <c r="I5" s="406" t="s">
        <v>375</v>
      </c>
      <c r="J5" s="540"/>
    </row>
    <row r="6" spans="1:16" x14ac:dyDescent="0.2">
      <c r="A6" s="301" t="s">
        <v>15</v>
      </c>
      <c r="B6" s="302">
        <f>VLOOKUP(A6,Summary!$A$67:$E$87,2,0)</f>
        <v>2245.7323218479987</v>
      </c>
      <c r="C6" s="303">
        <f>VLOOKUP(A6,Summary!$A$67:$E$87,3,0)</f>
        <v>270.34597037427466</v>
      </c>
      <c r="D6" s="303">
        <f>VLOOKUP(A6,Summary!$A$67:$E$87,4,0)</f>
        <v>0</v>
      </c>
      <c r="E6" s="303">
        <f>VLOOKUP(A6,Summary!$A$67:$E$87,5,0)</f>
        <v>270.34597037427466</v>
      </c>
      <c r="F6" s="507">
        <f>VLOOKUP($A6,Summary!$A$67:$I$87,6,0)</f>
        <v>2249.6417108442679</v>
      </c>
      <c r="G6" s="508">
        <f>VLOOKUP($A6,Summary!$A$67:$I$87,7,0)</f>
        <v>270.43293267338072</v>
      </c>
      <c r="H6" s="508">
        <f>VLOOKUP($A6,Summary!$A$67:$I$87,8,0)</f>
        <v>0</v>
      </c>
      <c r="I6" s="508">
        <f>VLOOKUP($A6,Summary!$A$67:$I$87,9,0)</f>
        <v>270.43293267338072</v>
      </c>
      <c r="J6" s="301" t="s">
        <v>15</v>
      </c>
      <c r="L6" s="465"/>
      <c r="M6" s="465"/>
    </row>
    <row r="7" spans="1:16" x14ac:dyDescent="0.2">
      <c r="A7" s="301" t="s">
        <v>28</v>
      </c>
      <c r="B7" s="302">
        <f>VLOOKUP(A7,Summary!$A$67:$E$87,2,0)</f>
        <v>11969.228794440483</v>
      </c>
      <c r="C7" s="303">
        <f>VLOOKUP(A7,Summary!$A$67:$E$87,3,0)</f>
        <v>270.34597037427466</v>
      </c>
      <c r="D7" s="303">
        <f>VLOOKUP(A7,Summary!$A$67:$E$87,4,0)</f>
        <v>0</v>
      </c>
      <c r="E7" s="311">
        <f>VLOOKUP(A7,Summary!$A$67:$E$87,5,0)</f>
        <v>270.34597037427466</v>
      </c>
      <c r="F7" s="507">
        <f>VLOOKUP($A7,Summary!$A$67:$I$87,6,0)</f>
        <v>11567.28844662662</v>
      </c>
      <c r="G7" s="508">
        <f>VLOOKUP($A7,Summary!$A$67:$I$87,7,0)</f>
        <v>270.43293267338072</v>
      </c>
      <c r="H7" s="508">
        <f>VLOOKUP($A7,Summary!$A$67:$I$87,8,0)</f>
        <v>0</v>
      </c>
      <c r="I7" s="508">
        <f>VLOOKUP($A7,Summary!$A$67:$I$87,9,0)</f>
        <v>270.43293267338072</v>
      </c>
      <c r="J7" s="301" t="s">
        <v>28</v>
      </c>
      <c r="L7" s="465"/>
      <c r="M7" s="465"/>
      <c r="O7" s="360"/>
      <c r="P7" s="360"/>
    </row>
    <row r="8" spans="1:16" x14ac:dyDescent="0.2">
      <c r="A8" s="301" t="s">
        <v>18</v>
      </c>
      <c r="B8" s="302">
        <f>VLOOKUP(A8,Summary!$A$67:$E$87,2,0)</f>
        <v>8426.0258156470973</v>
      </c>
      <c r="C8" s="303">
        <f>VLOOKUP(A8,Summary!$A$67:$E$87,3,0)</f>
        <v>270.34597037427466</v>
      </c>
      <c r="D8" s="303">
        <f>VLOOKUP(A8,Summary!$A$67:$E$87,4,0)</f>
        <v>0</v>
      </c>
      <c r="E8" s="311">
        <f>VLOOKUP(A8,Summary!$A$67:$E$87,5,0)</f>
        <v>270.34597037427466</v>
      </c>
      <c r="F8" s="507">
        <f>VLOOKUP($A8,Summary!$A$67:$I$87,6,0)</f>
        <v>8169.7013906929096</v>
      </c>
      <c r="G8" s="508">
        <f>VLOOKUP($A8,Summary!$A$67:$I$87,7,0)</f>
        <v>270.43293267338072</v>
      </c>
      <c r="H8" s="508">
        <f>VLOOKUP($A8,Summary!$A$67:$I$87,8,0)</f>
        <v>0</v>
      </c>
      <c r="I8" s="508">
        <f>VLOOKUP($A8,Summary!$A$67:$I$87,9,0)</f>
        <v>270.43293267338072</v>
      </c>
      <c r="J8" s="301" t="s">
        <v>18</v>
      </c>
      <c r="L8" s="465"/>
      <c r="M8" s="465"/>
      <c r="O8" s="360"/>
      <c r="P8" s="360"/>
    </row>
    <row r="9" spans="1:16" x14ac:dyDescent="0.2">
      <c r="A9" s="301" t="s">
        <v>42</v>
      </c>
      <c r="B9" s="302">
        <f>VLOOKUP(A9,Summary!$A$67:$E$87,2,0)</f>
        <v>11422.242781781453</v>
      </c>
      <c r="C9" s="303">
        <f>VLOOKUP(A9,Summary!$A$67:$E$87,3,0)</f>
        <v>270.34597037427466</v>
      </c>
      <c r="D9" s="303">
        <f>VLOOKUP(A9,Summary!$A$67:$E$87,4,0)</f>
        <v>0</v>
      </c>
      <c r="E9" s="311">
        <f>VLOOKUP(A9,Summary!$A$67:$E$87,5,0)</f>
        <v>270.34597037427466</v>
      </c>
      <c r="F9" s="507">
        <f>VLOOKUP($A9,Summary!$A$67:$I$87,6,0)</f>
        <v>11792.538105237802</v>
      </c>
      <c r="G9" s="508">
        <f>VLOOKUP($A9,Summary!$A$67:$I$87,7,0)</f>
        <v>270.43293267338072</v>
      </c>
      <c r="H9" s="508">
        <f>VLOOKUP($A9,Summary!$A$67:$I$87,8,0)</f>
        <v>0</v>
      </c>
      <c r="I9" s="508">
        <f>VLOOKUP($A9,Summary!$A$67:$I$87,9,0)</f>
        <v>270.43293267338072</v>
      </c>
      <c r="J9" s="301" t="s">
        <v>42</v>
      </c>
      <c r="L9" s="465"/>
      <c r="M9" s="465"/>
      <c r="O9" s="360"/>
      <c r="P9" s="360"/>
    </row>
    <row r="10" spans="1:16" x14ac:dyDescent="0.2">
      <c r="A10" s="301" t="s">
        <v>10</v>
      </c>
      <c r="B10" s="302">
        <f>VLOOKUP(A10,Summary!$A$67:$E$87,2,0)</f>
        <v>5968.5938863892243</v>
      </c>
      <c r="C10" s="303">
        <f>VLOOKUP(A10,Summary!$A$67:$E$87,3,0)</f>
        <v>471.20463671940956</v>
      </c>
      <c r="D10" s="303">
        <f>VLOOKUP(A10,Summary!$A$67:$E$87,4,0)</f>
        <v>164.22368781676488</v>
      </c>
      <c r="E10" s="311">
        <f>VLOOKUP(A10,Summary!$A$67:$E$87,5,0)</f>
        <v>306.98094890264468</v>
      </c>
      <c r="F10" s="507">
        <f>VLOOKUP($A10,Summary!$A$67:$I$87,6,0)</f>
        <v>6005.7059378757085</v>
      </c>
      <c r="G10" s="508">
        <f>VLOOKUP($A10,Summary!$A$67:$I$87,7,0)</f>
        <v>471.32878150920209</v>
      </c>
      <c r="H10" s="508">
        <f>VLOOKUP($A10,Summary!$A$67:$I$87,8,0)</f>
        <v>164.48424752591345</v>
      </c>
      <c r="I10" s="508">
        <f>VLOOKUP($A10,Summary!$A$67:$I$87,9,0)</f>
        <v>306.84453398328867</v>
      </c>
      <c r="J10" s="301" t="s">
        <v>10</v>
      </c>
      <c r="L10" s="465"/>
      <c r="M10" s="465"/>
      <c r="O10" s="360"/>
      <c r="P10" s="360"/>
    </row>
    <row r="11" spans="1:16" x14ac:dyDescent="0.2">
      <c r="A11" s="301" t="s">
        <v>19</v>
      </c>
      <c r="B11" s="302">
        <f>VLOOKUP(A11,Summary!$A$67:$E$87,2,0)</f>
        <v>17964.904972948811</v>
      </c>
      <c r="C11" s="303">
        <f>VLOOKUP(A11,Summary!$A$67:$E$87,3,0)</f>
        <v>270.34597037427466</v>
      </c>
      <c r="D11" s="303">
        <f>VLOOKUP(A11,Summary!$A$67:$E$87,4,0)</f>
        <v>0</v>
      </c>
      <c r="E11" s="311">
        <f>VLOOKUP(A11,Summary!$A$67:$E$87,5,0)</f>
        <v>270.34597037427466</v>
      </c>
      <c r="F11" s="507">
        <f>VLOOKUP($A11,Summary!$A$67:$I$87,6,0)</f>
        <v>18167.474577719084</v>
      </c>
      <c r="G11" s="508">
        <f>VLOOKUP($A11,Summary!$A$67:$I$87,7,0)</f>
        <v>270.43293267338072</v>
      </c>
      <c r="H11" s="508">
        <f>VLOOKUP($A11,Summary!$A$67:$I$87,8,0)</f>
        <v>0</v>
      </c>
      <c r="I11" s="508">
        <f>VLOOKUP($A11,Summary!$A$67:$I$87,9,0)</f>
        <v>270.43293267338072</v>
      </c>
      <c r="J11" s="301" t="s">
        <v>19</v>
      </c>
      <c r="L11" s="465"/>
      <c r="M11" s="465"/>
      <c r="O11" s="360"/>
      <c r="P11" s="360"/>
    </row>
    <row r="12" spans="1:16" x14ac:dyDescent="0.2">
      <c r="A12" s="301" t="s">
        <v>20</v>
      </c>
      <c r="B12" s="302">
        <f>VLOOKUP(A12,Summary!$A$67:$E$87,2,0)</f>
        <v>2989.5417532880997</v>
      </c>
      <c r="C12" s="303">
        <f>VLOOKUP(A12,Summary!$A$67:$E$87,3,0)</f>
        <v>270.34597037427466</v>
      </c>
      <c r="D12" s="303">
        <f>VLOOKUP(A12,Summary!$A$67:$E$87,4,0)</f>
        <v>0</v>
      </c>
      <c r="E12" s="311">
        <f>VLOOKUP(A12,Summary!$A$67:$E$87,5,0)</f>
        <v>270.34597037427466</v>
      </c>
      <c r="F12" s="507">
        <f>VLOOKUP($A12,Summary!$A$67:$I$87,6,0)</f>
        <v>3009.0385320175869</v>
      </c>
      <c r="G12" s="508">
        <f>VLOOKUP($A12,Summary!$A$67:$I$87,7,0)</f>
        <v>270.43293267338072</v>
      </c>
      <c r="H12" s="508">
        <f>VLOOKUP($A12,Summary!$A$67:$I$87,8,0)</f>
        <v>0</v>
      </c>
      <c r="I12" s="508">
        <f>VLOOKUP($A12,Summary!$A$67:$I$87,9,0)</f>
        <v>270.43293267338072</v>
      </c>
      <c r="J12" s="301" t="s">
        <v>20</v>
      </c>
      <c r="L12" s="465"/>
      <c r="M12" s="465"/>
      <c r="O12" s="360"/>
      <c r="P12" s="360"/>
    </row>
    <row r="13" spans="1:16" x14ac:dyDescent="0.2">
      <c r="A13" s="301" t="s">
        <v>49</v>
      </c>
      <c r="B13" s="302">
        <f>VLOOKUP(A13,Summary!$A$67:$E$87,2,0)</f>
        <v>4047.1815486858141</v>
      </c>
      <c r="C13" s="303">
        <f>VLOOKUP(A13,Summary!$A$67:$E$87,3,0)</f>
        <v>270.34597037427466</v>
      </c>
      <c r="D13" s="303">
        <f>VLOOKUP(A13,Summary!$A$67:$E$87,4,0)</f>
        <v>0</v>
      </c>
      <c r="E13" s="311">
        <f>VLOOKUP(A13,Summary!$A$67:$E$87,5,0)</f>
        <v>270.34597037427466</v>
      </c>
      <c r="F13" s="507">
        <f>VLOOKUP($A13,Summary!$A$67:$I$87,6,0)</f>
        <v>4069.1488813748269</v>
      </c>
      <c r="G13" s="508">
        <f>VLOOKUP($A13,Summary!$A$67:$I$87,7,0)</f>
        <v>270.43293267338072</v>
      </c>
      <c r="H13" s="508">
        <f>VLOOKUP($A13,Summary!$A$67:$I$87,8,0)</f>
        <v>0</v>
      </c>
      <c r="I13" s="508">
        <f>VLOOKUP($A13,Summary!$A$67:$I$87,9,0)</f>
        <v>270.43293267338072</v>
      </c>
      <c r="J13" s="301" t="s">
        <v>49</v>
      </c>
      <c r="L13" s="465"/>
      <c r="M13" s="465"/>
      <c r="O13" s="360"/>
      <c r="P13" s="360"/>
    </row>
    <row r="14" spans="1:16" x14ac:dyDescent="0.2">
      <c r="A14" s="301" t="s">
        <v>41</v>
      </c>
      <c r="B14" s="302">
        <f>VLOOKUP(A14,Summary!$A$67:$E$87,2,0)</f>
        <v>2500.3440118409562</v>
      </c>
      <c r="C14" s="303">
        <f>VLOOKUP(A14,Summary!$A$67:$E$87,3,0)</f>
        <v>270.34597037427466</v>
      </c>
      <c r="D14" s="303">
        <f>VLOOKUP(A14,Summary!$A$67:$E$87,4,0)</f>
        <v>0</v>
      </c>
      <c r="E14" s="311">
        <f>VLOOKUP(A14,Summary!$A$67:$E$87,5,0)</f>
        <v>270.34597037427466</v>
      </c>
      <c r="F14" s="507">
        <f>VLOOKUP($A14,Summary!$A$67:$I$87,6,0)</f>
        <v>2498.9674842119493</v>
      </c>
      <c r="G14" s="508">
        <f>VLOOKUP($A14,Summary!$A$67:$I$87,7,0)</f>
        <v>270.43293267338072</v>
      </c>
      <c r="H14" s="508">
        <f>VLOOKUP($A14,Summary!$A$67:$I$87,8,0)</f>
        <v>0</v>
      </c>
      <c r="I14" s="508">
        <f>VLOOKUP($A14,Summary!$A$67:$I$87,9,0)</f>
        <v>270.43293267338072</v>
      </c>
      <c r="J14" s="301" t="s">
        <v>41</v>
      </c>
      <c r="L14" s="465"/>
      <c r="M14" s="465"/>
      <c r="O14" s="360"/>
      <c r="P14" s="360"/>
    </row>
    <row r="15" spans="1:16" x14ac:dyDescent="0.2">
      <c r="A15" s="301" t="s">
        <v>29</v>
      </c>
      <c r="B15" s="302">
        <f>VLOOKUP(A15,Summary!$A$67:$E$87,2,0)</f>
        <v>21952.867847669972</v>
      </c>
      <c r="C15" s="303">
        <f>VLOOKUP(A15,Summary!$A$67:$E$87,3,0)</f>
        <v>444.68560406808871</v>
      </c>
      <c r="D15" s="303">
        <f>VLOOKUP(A15,Summary!$A$67:$E$87,4,0)</f>
        <v>15.114914318495323</v>
      </c>
      <c r="E15" s="311">
        <f>VLOOKUP(A15,Summary!$A$67:$E$87,5,0)</f>
        <v>429.57068974959338</v>
      </c>
      <c r="F15" s="507">
        <f>VLOOKUP($A15,Summary!$A$67:$I$87,6,0)</f>
        <v>21570.485896661179</v>
      </c>
      <c r="G15" s="508">
        <f>VLOOKUP($A15,Summary!$A$67:$I$87,7,0)</f>
        <v>446.81027231931563</v>
      </c>
      <c r="H15" s="508">
        <f>VLOOKUP($A15,Summary!$A$67:$I$87,8,0)</f>
        <v>14.330604356538608</v>
      </c>
      <c r="I15" s="508">
        <f>VLOOKUP($A15,Summary!$A$67:$I$87,9,0)</f>
        <v>432.479667962777</v>
      </c>
      <c r="J15" s="301" t="s">
        <v>29</v>
      </c>
      <c r="L15" s="465"/>
      <c r="M15" s="465"/>
      <c r="O15" s="360"/>
      <c r="P15" s="360"/>
    </row>
    <row r="16" spans="1:16" x14ac:dyDescent="0.2">
      <c r="A16" s="301" t="s">
        <v>16</v>
      </c>
      <c r="B16" s="302">
        <f>VLOOKUP(A16,Summary!$A$67:$E$87,2,0)</f>
        <v>3502.5795406147345</v>
      </c>
      <c r="C16" s="303">
        <f>VLOOKUP(A16,Summary!$A$67:$E$87,3,0)</f>
        <v>270.34597037427466</v>
      </c>
      <c r="D16" s="303">
        <f>VLOOKUP(A16,Summary!$A$67:$E$87,4,0)</f>
        <v>0</v>
      </c>
      <c r="E16" s="311">
        <f>VLOOKUP(A16,Summary!$A$67:$E$87,5,0)</f>
        <v>270.34597037427466</v>
      </c>
      <c r="F16" s="507">
        <f>VLOOKUP($A16,Summary!$A$67:$I$87,6,0)</f>
        <v>3587.6265862448768</v>
      </c>
      <c r="G16" s="508">
        <f>VLOOKUP($A16,Summary!$A$67:$I$87,7,0)</f>
        <v>270.43293267338072</v>
      </c>
      <c r="H16" s="508">
        <f>VLOOKUP($A16,Summary!$A$67:$I$87,8,0)</f>
        <v>0</v>
      </c>
      <c r="I16" s="508">
        <f>VLOOKUP($A16,Summary!$A$67:$I$87,9,0)</f>
        <v>270.43293267338072</v>
      </c>
      <c r="J16" s="301" t="s">
        <v>16</v>
      </c>
      <c r="L16" s="465"/>
      <c r="M16" s="465"/>
      <c r="O16" s="360"/>
      <c r="P16" s="360"/>
    </row>
    <row r="17" spans="1:16" x14ac:dyDescent="0.2">
      <c r="A17" s="301" t="s">
        <v>99</v>
      </c>
      <c r="B17" s="302">
        <f>VLOOKUP(A17,Summary!$A$67:$E$87,2,0)</f>
        <v>2232.477256339002</v>
      </c>
      <c r="C17" s="303">
        <f>VLOOKUP(A17,Summary!$A$67:$E$87,3,0)</f>
        <v>270.34597037427466</v>
      </c>
      <c r="D17" s="303">
        <f>VLOOKUP(A17,Summary!$A$67:$E$87,4,0)</f>
        <v>0</v>
      </c>
      <c r="E17" s="311">
        <f>VLOOKUP(A17,Summary!$A$67:$E$87,5,0)</f>
        <v>270.34597037427466</v>
      </c>
      <c r="F17" s="507">
        <f>VLOOKUP($A17,Summary!$A$67:$I$87,6,0)</f>
        <v>2259.5386117718399</v>
      </c>
      <c r="G17" s="508">
        <f>VLOOKUP($A17,Summary!$A$67:$I$87,7,0)</f>
        <v>270.43293267338072</v>
      </c>
      <c r="H17" s="508">
        <f>VLOOKUP($A17,Summary!$A$67:$I$87,8,0)</f>
        <v>0</v>
      </c>
      <c r="I17" s="508">
        <f>VLOOKUP($A17,Summary!$A$67:$I$87,9,0)</f>
        <v>270.43293267338072</v>
      </c>
      <c r="J17" s="301" t="s">
        <v>99</v>
      </c>
      <c r="L17" s="465"/>
      <c r="M17" s="465"/>
      <c r="O17" s="360"/>
      <c r="P17" s="360"/>
    </row>
    <row r="18" spans="1:16" x14ac:dyDescent="0.2">
      <c r="A18" s="301" t="s">
        <v>11</v>
      </c>
      <c r="B18" s="302">
        <f>VLOOKUP(A18,Summary!$A$67:$E$87,2,0)</f>
        <v>5453.6488953922317</v>
      </c>
      <c r="C18" s="303">
        <f>VLOOKUP(A18,Summary!$A$67:$E$87,3,0)</f>
        <v>270.34597037427466</v>
      </c>
      <c r="D18" s="303">
        <f>VLOOKUP(A18,Summary!$A$67:$E$87,4,0)</f>
        <v>0</v>
      </c>
      <c r="E18" s="311">
        <f>VLOOKUP(A18,Summary!$A$67:$E$87,5,0)</f>
        <v>270.34597037427466</v>
      </c>
      <c r="F18" s="507">
        <f>VLOOKUP($A18,Summary!$A$67:$I$87,6,0)</f>
        <v>5468.9893875727612</v>
      </c>
      <c r="G18" s="508">
        <f>VLOOKUP($A18,Summary!$A$67:$I$87,7,0)</f>
        <v>270.43293267338072</v>
      </c>
      <c r="H18" s="508">
        <f>VLOOKUP($A18,Summary!$A$67:$I$87,8,0)</f>
        <v>0</v>
      </c>
      <c r="I18" s="508">
        <f>VLOOKUP($A18,Summary!$A$67:$I$87,9,0)</f>
        <v>270.43293267338072</v>
      </c>
      <c r="J18" s="301" t="s">
        <v>11</v>
      </c>
      <c r="L18" s="465"/>
      <c r="M18" s="465"/>
      <c r="O18" s="360"/>
      <c r="P18" s="360"/>
    </row>
    <row r="19" spans="1:16" x14ac:dyDescent="0.2">
      <c r="A19" s="301" t="s">
        <v>12</v>
      </c>
      <c r="B19" s="302">
        <f>VLOOKUP(A19,Summary!$A$67:$E$87,2,0)</f>
        <v>2820.7542284613078</v>
      </c>
      <c r="C19" s="303">
        <f>VLOOKUP(A19,Summary!$A$67:$E$87,3,0)</f>
        <v>270.34597037427466</v>
      </c>
      <c r="D19" s="303">
        <f>VLOOKUP(A19,Summary!$A$67:$E$87,4,0)</f>
        <v>0</v>
      </c>
      <c r="E19" s="311">
        <f>VLOOKUP(A19,Summary!$A$67:$E$87,5,0)</f>
        <v>270.34597037427466</v>
      </c>
      <c r="F19" s="507">
        <f>VLOOKUP($A19,Summary!$A$67:$I$87,6,0)</f>
        <v>2846.3106417661611</v>
      </c>
      <c r="G19" s="508">
        <f>VLOOKUP($A19,Summary!$A$67:$I$87,7,0)</f>
        <v>270.43293267338072</v>
      </c>
      <c r="H19" s="508">
        <f>VLOOKUP($A19,Summary!$A$67:$I$87,8,0)</f>
        <v>0</v>
      </c>
      <c r="I19" s="508">
        <f>VLOOKUP($A19,Summary!$A$67:$I$87,9,0)</f>
        <v>270.43293267338072</v>
      </c>
      <c r="J19" s="301" t="s">
        <v>12</v>
      </c>
      <c r="L19" s="465"/>
      <c r="M19" s="465"/>
      <c r="O19" s="360"/>
      <c r="P19" s="360"/>
    </row>
    <row r="20" spans="1:16" x14ac:dyDescent="0.2">
      <c r="A20" s="301" t="s">
        <v>173</v>
      </c>
      <c r="B20" s="302">
        <f>VLOOKUP(A20,Summary!$A$67:$E$87,2,0)</f>
        <v>57.216110110777038</v>
      </c>
      <c r="C20" s="303">
        <f>VLOOKUP(A20,Summary!$A$67:$E$87,3,0)</f>
        <v>270.34597037427466</v>
      </c>
      <c r="D20" s="303">
        <f>VLOOKUP(A20,Summary!$A$67:$E$87,4,0)</f>
        <v>0</v>
      </c>
      <c r="E20" s="311">
        <f>VLOOKUP(A20,Summary!$A$67:$E$87,5,0)</f>
        <v>270.34597037427466</v>
      </c>
      <c r="F20" s="507">
        <f>VLOOKUP($A20,Summary!$A$67:$I$87,6,0)</f>
        <v>57.097505351377357</v>
      </c>
      <c r="G20" s="508">
        <f>VLOOKUP($A20,Summary!$A$67:$I$87,7,0)</f>
        <v>270.43293267338072</v>
      </c>
      <c r="H20" s="508">
        <f>VLOOKUP($A20,Summary!$A$67:$I$87,8,0)</f>
        <v>0</v>
      </c>
      <c r="I20" s="508">
        <f>VLOOKUP($A20,Summary!$A$67:$I$87,9,0)</f>
        <v>270.43293267338072</v>
      </c>
      <c r="J20" s="301" t="s">
        <v>173</v>
      </c>
      <c r="L20" s="465"/>
      <c r="M20" s="465"/>
      <c r="O20" s="360"/>
      <c r="P20" s="360"/>
    </row>
    <row r="21" spans="1:16" x14ac:dyDescent="0.2">
      <c r="A21" s="301" t="s">
        <v>8</v>
      </c>
      <c r="B21" s="302">
        <f>VLOOKUP(A21,Summary!$A$67:$E$87,2,0)</f>
        <v>7742.2932998233127</v>
      </c>
      <c r="C21" s="303">
        <f>VLOOKUP(A21,Summary!$A$67:$E$87,3,0)</f>
        <v>270.34597037427466</v>
      </c>
      <c r="D21" s="303">
        <f>VLOOKUP(A21,Summary!$A$67:$E$87,4,0)</f>
        <v>0</v>
      </c>
      <c r="E21" s="311">
        <f>VLOOKUP(A21,Summary!$A$67:$E$87,5,0)</f>
        <v>270.34597037427466</v>
      </c>
      <c r="F21" s="507">
        <f>VLOOKUP($A21,Summary!$A$67:$I$87,6,0)</f>
        <v>7750.0347263602862</v>
      </c>
      <c r="G21" s="508">
        <f>VLOOKUP($A21,Summary!$A$67:$I$87,7,0)</f>
        <v>270.43293267338072</v>
      </c>
      <c r="H21" s="508">
        <f>VLOOKUP($A21,Summary!$A$67:$I$87,8,0)</f>
        <v>0</v>
      </c>
      <c r="I21" s="508">
        <f>VLOOKUP($A21,Summary!$A$67:$I$87,9,0)</f>
        <v>270.43293267338072</v>
      </c>
      <c r="J21" s="301" t="s">
        <v>8</v>
      </c>
      <c r="L21" s="465"/>
      <c r="M21" s="465"/>
      <c r="O21" s="360"/>
      <c r="P21" s="360"/>
    </row>
    <row r="22" spans="1:16" x14ac:dyDescent="0.2">
      <c r="A22" s="301" t="s">
        <v>13</v>
      </c>
      <c r="B22" s="302">
        <f>VLOOKUP(A22,Summary!$A$67:$E$87,2,0)</f>
        <v>2617.637037568049</v>
      </c>
      <c r="C22" s="303">
        <f>VLOOKUP(A22,Summary!$A$67:$E$87,3,0)</f>
        <v>270.34597037427466</v>
      </c>
      <c r="D22" s="303">
        <f>VLOOKUP(A22,Summary!$A$67:$E$87,4,0)</f>
        <v>0</v>
      </c>
      <c r="E22" s="311">
        <f>VLOOKUP(A22,Summary!$A$67:$E$87,5,0)</f>
        <v>270.34597037427466</v>
      </c>
      <c r="F22" s="507">
        <f>VLOOKUP($A22,Summary!$A$67:$I$87,6,0)</f>
        <v>2664.5502497309435</v>
      </c>
      <c r="G22" s="508">
        <f>VLOOKUP($A22,Summary!$A$67:$I$87,7,0)</f>
        <v>270.43293267338072</v>
      </c>
      <c r="H22" s="508">
        <f>VLOOKUP($A22,Summary!$A$67:$I$87,8,0)</f>
        <v>0</v>
      </c>
      <c r="I22" s="508">
        <f>VLOOKUP($A22,Summary!$A$67:$I$87,9,0)</f>
        <v>270.43293267338072</v>
      </c>
      <c r="J22" s="301" t="s">
        <v>13</v>
      </c>
      <c r="L22" s="465"/>
      <c r="M22" s="465"/>
      <c r="O22" s="360"/>
      <c r="P22" s="360"/>
    </row>
    <row r="23" spans="1:16" x14ac:dyDescent="0.2">
      <c r="A23" s="301" t="s">
        <v>14</v>
      </c>
      <c r="B23" s="302">
        <f>VLOOKUP(A23,Summary!$A$67:$E$87,2,0)</f>
        <v>5548.0554770750123</v>
      </c>
      <c r="C23" s="303">
        <f>VLOOKUP(A23,Summary!$A$67:$E$87,3,0)</f>
        <v>270.34597037427466</v>
      </c>
      <c r="D23" s="303">
        <f>VLOOKUP(A23,Summary!$A$67:$E$87,4,0)</f>
        <v>0</v>
      </c>
      <c r="E23" s="311">
        <f>VLOOKUP(A23,Summary!$A$67:$E$87,5,0)</f>
        <v>270.34597037427466</v>
      </c>
      <c r="F23" s="507">
        <f>VLOOKUP($A23,Summary!$A$67:$I$87,6,0)</f>
        <v>5555.5872706890168</v>
      </c>
      <c r="G23" s="508">
        <f>VLOOKUP($A23,Summary!$A$67:$I$87,7,0)</f>
        <v>270.43293267338072</v>
      </c>
      <c r="H23" s="508">
        <f>VLOOKUP($A23,Summary!$A$67:$I$87,8,0)</f>
        <v>0</v>
      </c>
      <c r="I23" s="508">
        <f>VLOOKUP($A23,Summary!$A$67:$I$87,9,0)</f>
        <v>270.43293267338072</v>
      </c>
      <c r="J23" s="301" t="s">
        <v>14</v>
      </c>
      <c r="L23" s="465"/>
      <c r="M23" s="465"/>
      <c r="O23" s="360"/>
      <c r="P23" s="360"/>
    </row>
    <row r="24" spans="1:16" x14ac:dyDescent="0.2">
      <c r="A24" s="301" t="s">
        <v>9</v>
      </c>
      <c r="B24" s="302">
        <f>VLOOKUP(A24,Summary!$A$67:$E$87,2,0)</f>
        <v>6713.3569196645058</v>
      </c>
      <c r="C24" s="303">
        <f>VLOOKUP(A24,Summary!$A$67:$E$87,3,0)</f>
        <v>270.34597037427466</v>
      </c>
      <c r="D24" s="303">
        <f>VLOOKUP(A24,Summary!$A$67:$E$87,4,0)</f>
        <v>0</v>
      </c>
      <c r="E24" s="311">
        <f>VLOOKUP(A24,Summary!$A$67:$E$87,5,0)</f>
        <v>270.34597037427466</v>
      </c>
      <c r="F24" s="507">
        <f>VLOOKUP($A24,Summary!$A$67:$I$87,6,0)</f>
        <v>6904.9916471599026</v>
      </c>
      <c r="G24" s="508">
        <f>VLOOKUP($A24,Summary!$A$67:$I$87,7,0)</f>
        <v>270.43293267338072</v>
      </c>
      <c r="H24" s="508">
        <f>VLOOKUP($A24,Summary!$A$67:$I$87,8,0)</f>
        <v>0</v>
      </c>
      <c r="I24" s="508">
        <f>VLOOKUP($A24,Summary!$A$67:$I$87,9,0)</f>
        <v>270.43293267338072</v>
      </c>
      <c r="J24" s="301" t="s">
        <v>9</v>
      </c>
      <c r="L24" s="465"/>
      <c r="M24" s="465"/>
      <c r="O24" s="360"/>
      <c r="P24" s="360"/>
    </row>
    <row r="25" spans="1:16" x14ac:dyDescent="0.2">
      <c r="A25" s="301" t="s">
        <v>7</v>
      </c>
      <c r="B25" s="302">
        <f>VLOOKUP(A25,Summary!$A$67:$E$87,2,0)</f>
        <v>9139.3199883614525</v>
      </c>
      <c r="C25" s="303">
        <f>VLOOKUP(A25,Summary!$A$67:$E$87,3,0)</f>
        <v>270.34597037427466</v>
      </c>
      <c r="D25" s="303">
        <f>VLOOKUP(A25,Summary!$A$67:$E$87,4,0)</f>
        <v>0</v>
      </c>
      <c r="E25" s="311">
        <f>VLOOKUP(A25,Summary!$A$67:$E$87,5,0)</f>
        <v>270.34597037427466</v>
      </c>
      <c r="F25" s="507">
        <f>VLOOKUP($A25,Summary!$A$67:$I$87,6,0)</f>
        <v>9338.2970002177681</v>
      </c>
      <c r="G25" s="508">
        <f>VLOOKUP($A25,Summary!$A$67:$I$87,7,0)</f>
        <v>270.43293267338072</v>
      </c>
      <c r="H25" s="508">
        <f>VLOOKUP($A25,Summary!$A$67:$I$87,8,0)</f>
        <v>0</v>
      </c>
      <c r="I25" s="508">
        <f>VLOOKUP($A25,Summary!$A$67:$I$87,9,0)</f>
        <v>270.43293267338072</v>
      </c>
      <c r="J25" s="301" t="s">
        <v>7</v>
      </c>
      <c r="L25" s="465"/>
      <c r="M25" s="465"/>
      <c r="O25" s="360"/>
      <c r="P25" s="360"/>
    </row>
    <row r="26" spans="1:16" x14ac:dyDescent="0.2">
      <c r="A26" s="301" t="s">
        <v>17</v>
      </c>
      <c r="B26" s="302">
        <f>VLOOKUP(A26,Summary!$A$67:$E$87,2,0)</f>
        <v>369.99751204969147</v>
      </c>
      <c r="C26" s="303">
        <f>VLOOKUP(A26,Summary!$A$67:$E$87,3,0)</f>
        <v>270.34597037427466</v>
      </c>
      <c r="D26" s="303">
        <f>VLOOKUP(A26,Summary!$A$67:$E$87,4,0)</f>
        <v>0</v>
      </c>
      <c r="E26" s="311">
        <f>VLOOKUP(A26,Summary!$A$67:$E$87,5,0)</f>
        <v>270.34597037427466</v>
      </c>
      <c r="F26" s="507">
        <f>VLOOKUP($A26,Summary!$A$67:$I$87,6,0)</f>
        <v>372.0854098731424</v>
      </c>
      <c r="G26" s="508">
        <f>VLOOKUP($A26,Summary!$A$67:$I$87,7,0)</f>
        <v>270.43293267338072</v>
      </c>
      <c r="H26" s="508">
        <f>VLOOKUP($A26,Summary!$A$67:$I$87,8,0)</f>
        <v>0</v>
      </c>
      <c r="I26" s="508">
        <f>VLOOKUP($A26,Summary!$A$67:$I$87,9,0)</f>
        <v>270.43293267338072</v>
      </c>
      <c r="J26" s="301" t="s">
        <v>17</v>
      </c>
      <c r="L26" s="465"/>
      <c r="M26" s="465"/>
      <c r="O26" s="360"/>
      <c r="P26" s="360"/>
    </row>
    <row r="27" spans="1:16" x14ac:dyDescent="0.2">
      <c r="A27" s="17"/>
      <c r="B27" s="407">
        <f>SUM(B6:B26)</f>
        <v>135683.99999999997</v>
      </c>
      <c r="C27" s="408"/>
      <c r="D27" s="408"/>
      <c r="E27" s="408"/>
      <c r="F27" s="409">
        <f>SUM(F6:F26)</f>
        <v>135905.10000000003</v>
      </c>
      <c r="G27" s="408"/>
      <c r="H27" s="408"/>
      <c r="I27" s="408"/>
      <c r="J27" s="360"/>
      <c r="L27" s="465"/>
      <c r="M27" s="465"/>
      <c r="O27" s="465"/>
      <c r="P27" s="465"/>
    </row>
    <row r="28" spans="1:16" x14ac:dyDescent="0.2">
      <c r="A28" s="18" t="s">
        <v>427</v>
      </c>
      <c r="B28" s="14"/>
      <c r="C28" s="14"/>
      <c r="D28" s="14"/>
      <c r="E28" s="14"/>
      <c r="F28" s="14"/>
      <c r="G28" s="14"/>
      <c r="H28" s="14"/>
      <c r="I28" s="14"/>
      <c r="J28" s="360"/>
      <c r="O28" s="360"/>
      <c r="P28" s="360"/>
    </row>
    <row r="29" spans="1:16" x14ac:dyDescent="0.2">
      <c r="L29" s="512"/>
      <c r="M29" s="512"/>
      <c r="O29" s="512"/>
      <c r="P29" s="512"/>
    </row>
    <row r="31" spans="1:16" x14ac:dyDescent="0.2">
      <c r="E31" s="360"/>
      <c r="P31" s="512"/>
    </row>
  </sheetData>
  <mergeCells count="4">
    <mergeCell ref="A4:A5"/>
    <mergeCell ref="B4:E4"/>
    <mergeCell ref="F4:I4"/>
    <mergeCell ref="J4:J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W112"/>
  <sheetViews>
    <sheetView workbookViewId="0">
      <pane xSplit="1" topLeftCell="B1" activePane="topRight" state="frozen"/>
      <selection sqref="A1:D1"/>
      <selection pane="topRight"/>
    </sheetView>
  </sheetViews>
  <sheetFormatPr defaultRowHeight="12.75" x14ac:dyDescent="0.2"/>
  <cols>
    <col min="1" max="16" width="16.7109375" customWidth="1"/>
    <col min="17" max="17" width="12.7109375" customWidth="1"/>
  </cols>
  <sheetData>
    <row r="1" spans="1:13" ht="18.75" x14ac:dyDescent="0.3">
      <c r="A1" s="305" t="s">
        <v>231</v>
      </c>
      <c r="B1" s="305"/>
      <c r="C1" s="305"/>
      <c r="D1" s="305"/>
      <c r="E1" s="531"/>
      <c r="F1" s="143"/>
      <c r="G1" s="143"/>
      <c r="H1" s="143"/>
      <c r="I1" s="143"/>
      <c r="J1" s="143"/>
      <c r="K1" s="143"/>
      <c r="L1" s="143"/>
      <c r="M1" s="143"/>
    </row>
    <row r="2" spans="1:13" x14ac:dyDescent="0.2">
      <c r="A2" s="14"/>
      <c r="B2" s="14"/>
      <c r="C2" s="14"/>
      <c r="D2" s="14"/>
      <c r="E2" s="14"/>
      <c r="F2" s="14"/>
      <c r="G2" s="14"/>
      <c r="H2" s="14"/>
      <c r="I2" s="14"/>
      <c r="J2" s="14"/>
      <c r="K2" s="14"/>
      <c r="L2" s="14"/>
      <c r="M2" s="14"/>
    </row>
    <row r="3" spans="1:13" ht="15.75" x14ac:dyDescent="0.2">
      <c r="A3" s="306" t="s">
        <v>167</v>
      </c>
      <c r="B3" s="300"/>
      <c r="C3" s="300"/>
      <c r="D3" s="300"/>
      <c r="E3" s="300"/>
      <c r="F3" s="132"/>
      <c r="G3" s="132"/>
      <c r="H3" s="132"/>
      <c r="I3" s="132"/>
      <c r="J3" s="132"/>
      <c r="K3" s="132"/>
      <c r="L3" s="132"/>
      <c r="M3" s="132"/>
    </row>
    <row r="4" spans="1:13" ht="25.5" x14ac:dyDescent="0.2">
      <c r="A4" s="307" t="s">
        <v>2</v>
      </c>
      <c r="B4" s="336" t="s">
        <v>92</v>
      </c>
    </row>
    <row r="5" spans="1:13" x14ac:dyDescent="0.2">
      <c r="A5" s="308" t="s">
        <v>5</v>
      </c>
      <c r="B5" s="358">
        <f>VLOOKUP(A5,'BRA Resource Clearing Results'!$A$5:$D$20,4,0)</f>
        <v>269.92</v>
      </c>
    </row>
    <row r="6" spans="1:13" x14ac:dyDescent="0.2">
      <c r="A6" s="308" t="s">
        <v>27</v>
      </c>
      <c r="B6" s="358">
        <f>VLOOKUP(A6,'BRA Resource Clearing Results'!$A$5:$D$20,4,0)</f>
        <v>269.92</v>
      </c>
    </row>
    <row r="7" spans="1:13" x14ac:dyDescent="0.2">
      <c r="A7" s="308" t="s">
        <v>32</v>
      </c>
      <c r="B7" s="358">
        <f>VLOOKUP(A7,'BRA Resource Clearing Results'!$A$5:$D$20,4,0)</f>
        <v>269.92</v>
      </c>
    </row>
    <row r="8" spans="1:13" x14ac:dyDescent="0.2">
      <c r="A8" s="308" t="s">
        <v>4</v>
      </c>
      <c r="B8" s="358">
        <f>VLOOKUP(A8,'BRA Resource Clearing Results'!$A$5:$D$20,4,0)</f>
        <v>269.92</v>
      </c>
    </row>
    <row r="9" spans="1:13" x14ac:dyDescent="0.2">
      <c r="A9" s="308" t="s">
        <v>7</v>
      </c>
      <c r="B9" s="358">
        <f>VLOOKUP(A9,'BRA Resource Clearing Results'!$A$5:$D$20,4,0)</f>
        <v>269.92</v>
      </c>
    </row>
    <row r="10" spans="1:13" x14ac:dyDescent="0.2">
      <c r="A10" s="308" t="s">
        <v>33</v>
      </c>
      <c r="B10" s="358">
        <f>VLOOKUP(A10,'BRA Resource Clearing Results'!$A$5:$D$20,4,0)</f>
        <v>269.92</v>
      </c>
    </row>
    <row r="11" spans="1:13" x14ac:dyDescent="0.2">
      <c r="A11" s="308" t="s">
        <v>34</v>
      </c>
      <c r="B11" s="358">
        <f>VLOOKUP(A11,'BRA Resource Clearing Results'!$A$5:$D$20,4,0)</f>
        <v>269.92</v>
      </c>
    </row>
    <row r="12" spans="1:13" x14ac:dyDescent="0.2">
      <c r="A12" s="308" t="s">
        <v>14</v>
      </c>
      <c r="B12" s="358">
        <f>VLOOKUP(A12,'BRA Resource Clearing Results'!$A$5:$D$20,4,0)</f>
        <v>269.92</v>
      </c>
    </row>
    <row r="13" spans="1:13" x14ac:dyDescent="0.2">
      <c r="A13" s="308" t="s">
        <v>42</v>
      </c>
      <c r="B13" s="358">
        <f>VLOOKUP(A13,'BRA Resource Clearing Results'!$A$5:$D$20,4,0)</f>
        <v>269.92</v>
      </c>
    </row>
    <row r="14" spans="1:13" x14ac:dyDescent="0.2">
      <c r="A14" s="308" t="s">
        <v>96</v>
      </c>
      <c r="B14" s="358">
        <f>VLOOKUP(A14,'BRA Resource Clearing Results'!$A$5:$D$20,4,0)</f>
        <v>269.92</v>
      </c>
    </row>
    <row r="15" spans="1:13" x14ac:dyDescent="0.2">
      <c r="A15" s="308" t="s">
        <v>19</v>
      </c>
      <c r="B15" s="358">
        <f>VLOOKUP(A15,'BRA Resource Clearing Results'!$A$5:$D$20,4,0)</f>
        <v>269.92</v>
      </c>
    </row>
    <row r="16" spans="1:13" x14ac:dyDescent="0.2">
      <c r="A16" s="308" t="s">
        <v>10</v>
      </c>
      <c r="B16" s="358">
        <f>VLOOKUP(A16,'BRA Resource Clearing Results'!$A$5:$D$20,4,0)</f>
        <v>466.35</v>
      </c>
    </row>
    <row r="17" spans="1:13" x14ac:dyDescent="0.2">
      <c r="A17" s="308" t="s">
        <v>9</v>
      </c>
      <c r="B17" s="358">
        <f>VLOOKUP(A17,'BRA Resource Clearing Results'!$A$5:$D$20,4,0)</f>
        <v>269.92</v>
      </c>
    </row>
    <row r="18" spans="1:13" x14ac:dyDescent="0.2">
      <c r="A18" s="308" t="s">
        <v>20</v>
      </c>
      <c r="B18" s="358">
        <f>VLOOKUP(A18,'BRA Resource Clearing Results'!$A$5:$D$20,4,0)</f>
        <v>269.92</v>
      </c>
    </row>
    <row r="19" spans="1:13" x14ac:dyDescent="0.2">
      <c r="A19" s="308" t="s">
        <v>49</v>
      </c>
      <c r="B19" s="358">
        <f>VLOOKUP(A19,'BRA Resource Clearing Results'!$A$5:$D$20,4,0)</f>
        <v>269.92</v>
      </c>
    </row>
    <row r="20" spans="1:13" s="360" customFormat="1" x14ac:dyDescent="0.2">
      <c r="A20" s="372" t="s">
        <v>29</v>
      </c>
      <c r="B20" s="358">
        <f>VLOOKUP(A20,'BRA Resource Clearing Results'!$A$5:$D$20,4,0)</f>
        <v>444.26</v>
      </c>
    </row>
    <row r="21" spans="1:13" x14ac:dyDescent="0.2">
      <c r="A21" s="184" t="s">
        <v>23</v>
      </c>
      <c r="B21" s="184"/>
      <c r="D21" s="102"/>
      <c r="E21" s="102"/>
      <c r="F21" s="102"/>
      <c r="G21" s="102"/>
      <c r="H21" s="102"/>
      <c r="I21" s="102"/>
      <c r="J21" s="102"/>
      <c r="K21" s="102"/>
      <c r="L21" s="102"/>
      <c r="M21" s="102"/>
    </row>
    <row r="22" spans="1:13" ht="15.75" x14ac:dyDescent="0.2">
      <c r="A22" s="306" t="s">
        <v>168</v>
      </c>
      <c r="B22" s="132"/>
      <c r="C22" s="132"/>
      <c r="D22" s="132"/>
      <c r="E22" s="132"/>
      <c r="F22" s="14"/>
      <c r="G22" s="14"/>
      <c r="H22" s="14"/>
      <c r="I22" s="14"/>
      <c r="J22" s="14"/>
      <c r="K22" s="14"/>
      <c r="L22" s="14"/>
      <c r="M22" s="102"/>
    </row>
    <row r="23" spans="1:13" ht="25.5" x14ac:dyDescent="0.2">
      <c r="A23" s="547" t="s">
        <v>2</v>
      </c>
      <c r="B23" s="336" t="s">
        <v>92</v>
      </c>
      <c r="C23" s="406" t="s">
        <v>369</v>
      </c>
    </row>
    <row r="24" spans="1:13" ht="38.25" x14ac:dyDescent="0.2">
      <c r="A24" s="547"/>
      <c r="B24" s="336" t="s">
        <v>169</v>
      </c>
      <c r="C24" s="406" t="s">
        <v>418</v>
      </c>
    </row>
    <row r="25" spans="1:13" x14ac:dyDescent="0.2">
      <c r="A25" s="308" t="s">
        <v>5</v>
      </c>
      <c r="B25" s="359">
        <f>VLOOKUP(A25,'BRA Resource Clearing Results'!$A$27:$F$42,6,0)</f>
        <v>135684</v>
      </c>
      <c r="C25" s="500">
        <f>VLOOKUP(A25,'3rdIA Resource Clearing Results'!$A$26:$D$41,4,0)</f>
        <v>-221.10000000000173</v>
      </c>
    </row>
    <row r="26" spans="1:13" x14ac:dyDescent="0.2">
      <c r="A26" s="308" t="s">
        <v>27</v>
      </c>
      <c r="B26" s="359">
        <f>VLOOKUP(A26,'BRA Resource Clearing Results'!$A$27:$F$42,6,0)</f>
        <v>51303.199999999997</v>
      </c>
      <c r="C26" s="500">
        <f>VLOOKUP(A26,'3rdIA Resource Clearing Results'!$A$26:$D$41,4,0)</f>
        <v>4.9000000000005457</v>
      </c>
    </row>
    <row r="27" spans="1:13" x14ac:dyDescent="0.2">
      <c r="A27" s="308" t="s">
        <v>32</v>
      </c>
      <c r="B27" s="359">
        <f>VLOOKUP(A27,'BRA Resource Clearing Results'!$A$27:$F$42,6,0)</f>
        <v>24373.3</v>
      </c>
      <c r="C27" s="500">
        <f>VLOOKUP(A27,'3rdIA Resource Clearing Results'!$A$26:$D$41,4,0)</f>
        <v>-572.79999999999995</v>
      </c>
    </row>
    <row r="28" spans="1:13" x14ac:dyDescent="0.2">
      <c r="A28" s="308" t="s">
        <v>4</v>
      </c>
      <c r="B28" s="359">
        <f>VLOOKUP(A28,'BRA Resource Clearing Results'!$A$27:$F$42,6,0)</f>
        <v>5060.8</v>
      </c>
      <c r="C28" s="500">
        <f>VLOOKUP(A28,'3rdIA Resource Clearing Results'!$A$26:$D$41,4,0)</f>
        <v>-68</v>
      </c>
    </row>
    <row r="29" spans="1:13" x14ac:dyDescent="0.2">
      <c r="A29" s="308" t="s">
        <v>7</v>
      </c>
      <c r="B29" s="359">
        <f>VLOOKUP(A29,'BRA Resource Clearing Results'!$A$27:$F$42,6,0)</f>
        <v>4390.3</v>
      </c>
      <c r="C29" s="500">
        <f>VLOOKUP(A29,'3rdIA Resource Clearing Results'!$A$26:$D$41,4,0)</f>
        <v>-20.200000000000003</v>
      </c>
    </row>
    <row r="30" spans="1:13" x14ac:dyDescent="0.2">
      <c r="A30" s="308" t="s">
        <v>33</v>
      </c>
      <c r="B30" s="359">
        <f>VLOOKUP(A30,'BRA Resource Clearing Results'!$A$27:$F$42,6,0)</f>
        <v>2507.4</v>
      </c>
      <c r="C30" s="500">
        <f>VLOOKUP(A30,'3rdIA Resource Clearing Results'!$A$26:$D$41,4,0)</f>
        <v>-26.7</v>
      </c>
    </row>
    <row r="31" spans="1:13" x14ac:dyDescent="0.2">
      <c r="A31" s="308" t="s">
        <v>34</v>
      </c>
      <c r="B31" s="359">
        <f>VLOOKUP(A31,'BRA Resource Clearing Results'!$A$27:$F$42,6,0)</f>
        <v>956.9</v>
      </c>
      <c r="C31" s="500">
        <f>VLOOKUP(A31,'3rdIA Resource Clearing Results'!$A$26:$D$41,4,0)</f>
        <v>-25.1</v>
      </c>
    </row>
    <row r="32" spans="1:13" x14ac:dyDescent="0.2">
      <c r="A32" s="308" t="s">
        <v>14</v>
      </c>
      <c r="B32" s="359">
        <f>VLOOKUP(A32,'BRA Resource Clearing Results'!$A$27:$F$42,6,0)</f>
        <v>2263.1999999999998</v>
      </c>
      <c r="C32" s="500">
        <f>VLOOKUP(A32,'3rdIA Resource Clearing Results'!$A$26:$D$41,4,0)</f>
        <v>-70.5</v>
      </c>
    </row>
    <row r="33" spans="1:13" x14ac:dyDescent="0.2">
      <c r="A33" s="308" t="s">
        <v>42</v>
      </c>
      <c r="B33" s="359">
        <f>VLOOKUP(A33,'BRA Resource Clearing Results'!$A$27:$F$42,6,0)</f>
        <v>7764.9</v>
      </c>
      <c r="C33" s="500">
        <f>VLOOKUP(A33,'3rdIA Resource Clearing Results'!$A$26:$D$41,4,0)</f>
        <v>-163</v>
      </c>
    </row>
    <row r="34" spans="1:13" x14ac:dyDescent="0.2">
      <c r="A34" s="308" t="s">
        <v>96</v>
      </c>
      <c r="B34" s="359">
        <f>VLOOKUP(A34,'BRA Resource Clearing Results'!$A$27:$F$42,6,0)</f>
        <v>1614</v>
      </c>
      <c r="C34" s="500">
        <f>VLOOKUP(A34,'3rdIA Resource Clearing Results'!$A$26:$D$41,4,0)</f>
        <v>-29.8</v>
      </c>
    </row>
    <row r="35" spans="1:13" x14ac:dyDescent="0.2">
      <c r="A35" s="308" t="s">
        <v>19</v>
      </c>
      <c r="B35" s="359">
        <f>VLOOKUP(A35,'BRA Resource Clearing Results'!$A$27:$F$42,6,0)</f>
        <v>21813.9</v>
      </c>
      <c r="C35" s="500">
        <f>VLOOKUP(A35,'3rdIA Resource Clearing Results'!$A$26:$D$41,4,0)</f>
        <v>182.60000000000005</v>
      </c>
    </row>
    <row r="36" spans="1:13" x14ac:dyDescent="0.2">
      <c r="A36" s="308" t="s">
        <v>10</v>
      </c>
      <c r="B36" s="359">
        <f>VLOOKUP(A36,'BRA Resource Clearing Results'!$A$27:$F$42,6,0)</f>
        <v>606.9</v>
      </c>
      <c r="C36" s="500">
        <f>VLOOKUP(A36,'3rdIA Resource Clearing Results'!$A$26:$D$41,4,0)</f>
        <v>-2.9000000000000004</v>
      </c>
    </row>
    <row r="37" spans="1:13" x14ac:dyDescent="0.2">
      <c r="A37" s="308" t="s">
        <v>9</v>
      </c>
      <c r="B37" s="359">
        <f>VLOOKUP(A37,'BRA Resource Clearing Results'!$A$27:$F$42,6,0)</f>
        <v>8757.6</v>
      </c>
      <c r="C37" s="500">
        <f>VLOOKUP(A37,'3rdIA Resource Clearing Results'!$A$26:$D$41,4,0)</f>
        <v>136.60000000000002</v>
      </c>
    </row>
    <row r="38" spans="1:13" x14ac:dyDescent="0.2">
      <c r="A38" s="308" t="s">
        <v>20</v>
      </c>
      <c r="B38" s="359">
        <f>VLOOKUP(A38,'BRA Resource Clearing Results'!$A$27:$F$42,6,0)</f>
        <v>488.6</v>
      </c>
      <c r="C38" s="500">
        <f>VLOOKUP(A38,'3rdIA Resource Clearing Results'!$A$26:$D$41,4,0)</f>
        <v>-427.40000000000003</v>
      </c>
    </row>
    <row r="39" spans="1:13" x14ac:dyDescent="0.2">
      <c r="A39" s="308" t="s">
        <v>49</v>
      </c>
      <c r="B39" s="359">
        <f>VLOOKUP(A39,'BRA Resource Clearing Results'!$A$27:$F$42,6,0)</f>
        <v>1633.8</v>
      </c>
      <c r="C39" s="500">
        <f>VLOOKUP(A39,'3rdIA Resource Clearing Results'!$A$26:$D$41,4,0)</f>
        <v>-19.3</v>
      </c>
    </row>
    <row r="40" spans="1:13" s="360" customFormat="1" x14ac:dyDescent="0.2">
      <c r="A40" s="308" t="s">
        <v>29</v>
      </c>
      <c r="B40" s="359">
        <f>VLOOKUP(A40,'BRA Resource Clearing Results'!$A$27:$F$42,6,0)</f>
        <v>20049.600000000002</v>
      </c>
      <c r="C40" s="500">
        <f>VLOOKUP(A40,'3rdIA Resource Clearing Results'!$A$26:$D$41,4,0)</f>
        <v>231.70000000000024</v>
      </c>
    </row>
    <row r="41" spans="1:13" x14ac:dyDescent="0.2">
      <c r="A41" s="18" t="s">
        <v>170</v>
      </c>
      <c r="B41" s="309"/>
      <c r="C41" s="309"/>
      <c r="D41" s="309"/>
      <c r="E41" s="309"/>
      <c r="F41" s="309"/>
      <c r="G41" s="309"/>
      <c r="H41" s="309"/>
      <c r="I41" s="309"/>
      <c r="J41" s="309"/>
      <c r="K41" s="309"/>
      <c r="L41" s="309"/>
      <c r="M41" s="14"/>
    </row>
    <row r="42" spans="1:13" x14ac:dyDescent="0.2">
      <c r="A42" s="18" t="s">
        <v>171</v>
      </c>
      <c r="B42" s="309"/>
      <c r="C42" s="309"/>
      <c r="D42" s="309"/>
      <c r="E42" s="309"/>
      <c r="F42" s="309"/>
      <c r="G42" s="309"/>
      <c r="H42" s="309"/>
      <c r="I42" s="309"/>
      <c r="J42" s="309"/>
      <c r="K42" s="309"/>
      <c r="L42" s="309"/>
      <c r="M42" s="300"/>
    </row>
    <row r="43" spans="1:13" x14ac:dyDescent="0.2">
      <c r="A43" s="18"/>
      <c r="B43" s="309"/>
      <c r="C43" s="309"/>
      <c r="D43" s="309"/>
      <c r="E43" s="309"/>
      <c r="F43" s="309"/>
      <c r="G43" s="309"/>
      <c r="H43" s="309"/>
      <c r="I43" s="309"/>
      <c r="J43" s="309"/>
      <c r="K43" s="309"/>
      <c r="L43" s="309"/>
      <c r="M43" s="300"/>
    </row>
    <row r="44" spans="1:13" s="360" customFormat="1" ht="15.75" x14ac:dyDescent="0.2">
      <c r="A44" s="306" t="s">
        <v>419</v>
      </c>
      <c r="B44" s="501"/>
      <c r="C44" s="501"/>
      <c r="D44" s="309"/>
      <c r="E44" s="309"/>
      <c r="F44" s="309"/>
      <c r="G44" s="309"/>
      <c r="H44" s="309"/>
      <c r="I44" s="309"/>
      <c r="J44" s="309"/>
      <c r="K44" s="309"/>
      <c r="L44" s="309"/>
      <c r="M44" s="300"/>
    </row>
    <row r="45" spans="1:13" s="360" customFormat="1" ht="25.5" x14ac:dyDescent="0.2">
      <c r="A45" s="499" t="s">
        <v>2</v>
      </c>
      <c r="B45" s="502" t="s">
        <v>92</v>
      </c>
      <c r="C45" s="503" t="s">
        <v>420</v>
      </c>
      <c r="D45" s="309"/>
      <c r="E45" s="309"/>
      <c r="F45" s="309"/>
      <c r="G45" s="309"/>
      <c r="H45" s="309"/>
      <c r="I45" s="309"/>
      <c r="J45" s="309"/>
      <c r="K45" s="309"/>
      <c r="L45" s="309"/>
      <c r="M45" s="300"/>
    </row>
    <row r="46" spans="1:13" s="360" customFormat="1" x14ac:dyDescent="0.2">
      <c r="A46" s="504" t="s">
        <v>5</v>
      </c>
      <c r="B46" s="548"/>
      <c r="C46" s="500">
        <f>VLOOKUP(A46,'3rdIA Resource Clearing Results'!$A$45:$D$60,4,0)</f>
        <v>221.09999999999997</v>
      </c>
      <c r="D46" s="309"/>
      <c r="E46" s="309"/>
      <c r="F46" s="309"/>
      <c r="G46" s="309"/>
      <c r="H46" s="309"/>
      <c r="I46" s="309"/>
      <c r="J46" s="309"/>
      <c r="K46" s="309"/>
      <c r="L46" s="309"/>
      <c r="M46" s="300"/>
    </row>
    <row r="47" spans="1:13" s="360" customFormat="1" x14ac:dyDescent="0.2">
      <c r="A47" s="504" t="s">
        <v>27</v>
      </c>
      <c r="B47" s="549"/>
      <c r="C47" s="500">
        <f>VLOOKUP(A47,'3rdIA Resource Clearing Results'!$A$45:$D$60,4,0)</f>
        <v>171.2</v>
      </c>
      <c r="D47" s="309"/>
      <c r="E47" s="309"/>
      <c r="F47" s="309"/>
      <c r="G47" s="309"/>
      <c r="H47" s="309"/>
      <c r="I47" s="309"/>
      <c r="J47" s="309"/>
      <c r="K47" s="309"/>
      <c r="L47" s="309"/>
      <c r="M47" s="300"/>
    </row>
    <row r="48" spans="1:13" s="360" customFormat="1" x14ac:dyDescent="0.2">
      <c r="A48" s="504" t="s">
        <v>32</v>
      </c>
      <c r="B48" s="549"/>
      <c r="C48" s="500">
        <f>VLOOKUP(A48,'3rdIA Resource Clearing Results'!$A$45:$D$60,4,0)</f>
        <v>121.79999999999998</v>
      </c>
      <c r="D48" s="309"/>
      <c r="E48" s="309"/>
      <c r="F48" s="309"/>
      <c r="G48" s="309"/>
      <c r="H48" s="309"/>
      <c r="I48" s="309"/>
      <c r="J48" s="309"/>
      <c r="K48" s="309"/>
      <c r="L48" s="309"/>
      <c r="M48" s="300"/>
    </row>
    <row r="49" spans="1:13" s="360" customFormat="1" x14ac:dyDescent="0.2">
      <c r="A49" s="504" t="s">
        <v>4</v>
      </c>
      <c r="B49" s="549"/>
      <c r="C49" s="500">
        <f>VLOOKUP(A49,'3rdIA Resource Clearing Results'!$A$45:$D$60,4,0)</f>
        <v>2.9</v>
      </c>
      <c r="D49" s="309"/>
      <c r="E49" s="309"/>
      <c r="F49" s="309"/>
      <c r="G49" s="309"/>
      <c r="H49" s="309"/>
      <c r="I49" s="309"/>
      <c r="J49" s="309"/>
      <c r="K49" s="309"/>
      <c r="L49" s="309"/>
      <c r="M49" s="300"/>
    </row>
    <row r="50" spans="1:13" s="360" customFormat="1" x14ac:dyDescent="0.2">
      <c r="A50" s="504" t="s">
        <v>7</v>
      </c>
      <c r="B50" s="549"/>
      <c r="C50" s="500">
        <f>VLOOKUP(A50,'3rdIA Resource Clearing Results'!$A$45:$D$60,4,0)</f>
        <v>99.899999999999991</v>
      </c>
      <c r="D50" s="309"/>
      <c r="E50" s="309"/>
      <c r="F50" s="309"/>
      <c r="G50" s="309"/>
      <c r="H50" s="309"/>
      <c r="I50" s="309"/>
      <c r="J50" s="309"/>
      <c r="K50" s="309"/>
      <c r="L50" s="309"/>
      <c r="M50" s="300"/>
    </row>
    <row r="51" spans="1:13" s="360" customFormat="1" x14ac:dyDescent="0.2">
      <c r="A51" s="504" t="s">
        <v>33</v>
      </c>
      <c r="B51" s="549"/>
      <c r="C51" s="500">
        <f>VLOOKUP(A51,'3rdIA Resource Clearing Results'!$A$45:$D$60,4,0)</f>
        <v>11.6</v>
      </c>
      <c r="D51" s="309"/>
      <c r="E51" s="309"/>
      <c r="F51" s="309"/>
      <c r="G51" s="309"/>
      <c r="H51" s="309"/>
      <c r="I51" s="309"/>
      <c r="J51" s="309"/>
      <c r="K51" s="309"/>
      <c r="L51" s="309"/>
      <c r="M51" s="300"/>
    </row>
    <row r="52" spans="1:13" s="360" customFormat="1" x14ac:dyDescent="0.2">
      <c r="A52" s="504" t="s">
        <v>34</v>
      </c>
      <c r="B52" s="549"/>
      <c r="C52" s="500">
        <f>VLOOKUP(A52,'3rdIA Resource Clearing Results'!$A$45:$D$60,4,0)</f>
        <v>0</v>
      </c>
      <c r="D52" s="309"/>
      <c r="E52" s="309"/>
      <c r="F52" s="309"/>
      <c r="G52" s="309"/>
      <c r="H52" s="309"/>
      <c r="I52" s="309"/>
      <c r="J52" s="309"/>
      <c r="K52" s="309"/>
      <c r="L52" s="309"/>
      <c r="M52" s="300"/>
    </row>
    <row r="53" spans="1:13" s="360" customFormat="1" x14ac:dyDescent="0.2">
      <c r="A53" s="504" t="s">
        <v>14</v>
      </c>
      <c r="B53" s="549"/>
      <c r="C53" s="500">
        <f>VLOOKUP(A53,'3rdIA Resource Clearing Results'!$A$45:$D$60,4,0)</f>
        <v>0</v>
      </c>
      <c r="D53" s="309"/>
      <c r="E53" s="309"/>
      <c r="F53" s="309"/>
      <c r="G53" s="309"/>
      <c r="H53" s="309"/>
      <c r="I53" s="309"/>
      <c r="J53" s="309"/>
      <c r="K53" s="309"/>
      <c r="L53" s="309"/>
      <c r="M53" s="300"/>
    </row>
    <row r="54" spans="1:13" s="360" customFormat="1" x14ac:dyDescent="0.2">
      <c r="A54" s="504" t="s">
        <v>42</v>
      </c>
      <c r="B54" s="549"/>
      <c r="C54" s="500">
        <f>VLOOKUP(A54,'3rdIA Resource Clearing Results'!$A$45:$D$60,4,0)</f>
        <v>41.400000000000006</v>
      </c>
      <c r="D54" s="309"/>
      <c r="E54" s="309"/>
      <c r="F54" s="309"/>
      <c r="G54" s="309"/>
      <c r="H54" s="309"/>
      <c r="I54" s="309"/>
      <c r="J54" s="309"/>
      <c r="K54" s="309"/>
      <c r="L54" s="309"/>
      <c r="M54" s="300"/>
    </row>
    <row r="55" spans="1:13" s="360" customFormat="1" x14ac:dyDescent="0.2">
      <c r="A55" s="308" t="s">
        <v>96</v>
      </c>
      <c r="B55" s="549"/>
      <c r="C55" s="500">
        <f>VLOOKUP(A55,'3rdIA Resource Clearing Results'!$A$45:$D$60,4,0)</f>
        <v>11.8</v>
      </c>
      <c r="D55" s="309"/>
      <c r="E55" s="309"/>
      <c r="F55" s="309"/>
      <c r="G55" s="309"/>
      <c r="H55" s="309"/>
      <c r="I55" s="309"/>
      <c r="J55" s="309"/>
      <c r="K55" s="309"/>
      <c r="L55" s="309"/>
      <c r="M55" s="300"/>
    </row>
    <row r="56" spans="1:13" s="360" customFormat="1" x14ac:dyDescent="0.2">
      <c r="A56" s="308" t="s">
        <v>19</v>
      </c>
      <c r="B56" s="549"/>
      <c r="C56" s="500">
        <f>VLOOKUP(A56,'3rdIA Resource Clearing Results'!$A$45:$D$60,4,0)</f>
        <v>0</v>
      </c>
      <c r="D56" s="309"/>
      <c r="E56" s="309"/>
      <c r="F56" s="309"/>
      <c r="G56" s="309"/>
      <c r="H56" s="309"/>
      <c r="I56" s="309"/>
      <c r="J56" s="309"/>
      <c r="K56" s="309"/>
      <c r="L56" s="309"/>
      <c r="M56" s="300"/>
    </row>
    <row r="57" spans="1:13" s="360" customFormat="1" x14ac:dyDescent="0.2">
      <c r="A57" s="308" t="s">
        <v>10</v>
      </c>
      <c r="B57" s="549"/>
      <c r="C57" s="500">
        <f>VLOOKUP(A57,'3rdIA Resource Clearing Results'!$A$45:$D$60,4,0)</f>
        <v>2.9</v>
      </c>
      <c r="D57" s="309"/>
      <c r="E57" s="309"/>
      <c r="F57" s="309"/>
      <c r="G57" s="309"/>
      <c r="H57" s="309"/>
      <c r="I57" s="309"/>
      <c r="J57" s="309"/>
      <c r="K57" s="309"/>
      <c r="L57" s="309"/>
      <c r="M57" s="300"/>
    </row>
    <row r="58" spans="1:13" s="360" customFormat="1" x14ac:dyDescent="0.2">
      <c r="A58" s="308" t="s">
        <v>9</v>
      </c>
      <c r="B58" s="549"/>
      <c r="C58" s="500">
        <f>VLOOKUP(A58,'3rdIA Resource Clearing Results'!$A$45:$D$60,4,0)</f>
        <v>45.2</v>
      </c>
      <c r="D58" s="309"/>
      <c r="E58" s="309"/>
      <c r="F58" s="309"/>
      <c r="G58" s="309"/>
      <c r="H58" s="309"/>
      <c r="I58" s="309"/>
      <c r="J58" s="309"/>
      <c r="K58" s="309"/>
      <c r="L58" s="309"/>
      <c r="M58" s="300"/>
    </row>
    <row r="59" spans="1:13" s="360" customFormat="1" x14ac:dyDescent="0.2">
      <c r="A59" s="308" t="s">
        <v>20</v>
      </c>
      <c r="B59" s="549"/>
      <c r="C59" s="500">
        <f>VLOOKUP(A59,'3rdIA Resource Clearing Results'!$A$45:$D$60,4,0)</f>
        <v>0</v>
      </c>
      <c r="D59" s="309"/>
      <c r="E59" s="309"/>
      <c r="F59" s="309"/>
      <c r="G59" s="309"/>
      <c r="H59" s="309"/>
      <c r="I59" s="309"/>
      <c r="J59" s="309"/>
      <c r="K59" s="309"/>
      <c r="L59" s="309"/>
      <c r="M59" s="300"/>
    </row>
    <row r="60" spans="1:13" s="360" customFormat="1" x14ac:dyDescent="0.2">
      <c r="A60" s="308" t="s">
        <v>49</v>
      </c>
      <c r="B60" s="549"/>
      <c r="C60" s="500">
        <f>VLOOKUP(A60,'3rdIA Resource Clearing Results'!$A$45:$D$60,4,0)</f>
        <v>3.3</v>
      </c>
      <c r="D60" s="309"/>
      <c r="E60" s="309"/>
      <c r="F60" s="309"/>
      <c r="G60" s="309"/>
      <c r="H60" s="309"/>
      <c r="I60" s="309"/>
      <c r="J60" s="309"/>
      <c r="K60" s="309"/>
      <c r="L60" s="309"/>
      <c r="M60" s="300"/>
    </row>
    <row r="61" spans="1:13" s="360" customFormat="1" x14ac:dyDescent="0.2">
      <c r="A61" s="308" t="s">
        <v>29</v>
      </c>
      <c r="B61" s="549"/>
      <c r="C61" s="500">
        <f>VLOOKUP(A61,'3rdIA Resource Clearing Results'!$A$45:$D$60,4,0)</f>
        <v>0</v>
      </c>
      <c r="D61" s="309"/>
      <c r="E61" s="309"/>
      <c r="F61" s="309"/>
      <c r="G61" s="309"/>
      <c r="H61" s="309"/>
      <c r="I61" s="309"/>
      <c r="J61" s="309"/>
      <c r="K61" s="309"/>
      <c r="L61" s="309"/>
      <c r="M61" s="300"/>
    </row>
    <row r="62" spans="1:13" s="360" customFormat="1" x14ac:dyDescent="0.2">
      <c r="A62" s="18" t="s">
        <v>421</v>
      </c>
      <c r="B62" s="505"/>
      <c r="C62" s="505"/>
      <c r="D62" s="309"/>
      <c r="E62" s="309"/>
      <c r="F62" s="309"/>
      <c r="G62" s="309"/>
      <c r="H62" s="309"/>
      <c r="I62" s="309"/>
      <c r="J62" s="309"/>
      <c r="K62" s="309"/>
      <c r="L62" s="309"/>
      <c r="M62" s="300"/>
    </row>
    <row r="63" spans="1:13" x14ac:dyDescent="0.2">
      <c r="A63" s="18" t="s">
        <v>422</v>
      </c>
      <c r="B63" s="505"/>
      <c r="C63" s="505"/>
      <c r="D63" s="300"/>
      <c r="E63" s="300"/>
      <c r="F63" s="300"/>
      <c r="G63" s="300"/>
      <c r="H63" s="300"/>
      <c r="I63" s="300"/>
      <c r="J63" s="300"/>
      <c r="K63" s="300"/>
      <c r="L63" s="300"/>
      <c r="M63" s="300"/>
    </row>
    <row r="64" spans="1:13" s="360" customFormat="1" x14ac:dyDescent="0.2">
      <c r="A64" s="18"/>
      <c r="B64" s="505"/>
      <c r="C64" s="505"/>
      <c r="D64" s="300"/>
      <c r="E64" s="300"/>
      <c r="F64" s="300"/>
      <c r="G64" s="300"/>
      <c r="H64" s="300"/>
      <c r="I64" s="300"/>
      <c r="J64" s="300"/>
      <c r="K64" s="300"/>
      <c r="L64" s="300"/>
      <c r="M64" s="300"/>
    </row>
    <row r="65" spans="1:23" x14ac:dyDescent="0.2">
      <c r="A65" s="540" t="s">
        <v>6</v>
      </c>
      <c r="B65" s="541" t="s">
        <v>92</v>
      </c>
      <c r="C65" s="542"/>
      <c r="D65" s="542"/>
      <c r="E65" s="543"/>
      <c r="F65" s="544" t="s">
        <v>369</v>
      </c>
      <c r="G65" s="545"/>
      <c r="H65" s="545"/>
      <c r="I65" s="546"/>
      <c r="J65" s="540" t="s">
        <v>6</v>
      </c>
      <c r="K65" s="300"/>
      <c r="L65" s="300"/>
      <c r="M65" s="300"/>
      <c r="N65" s="300"/>
      <c r="O65" s="300"/>
      <c r="P65" s="300"/>
      <c r="Q65" s="300"/>
      <c r="R65" s="300"/>
      <c r="S65" s="300"/>
      <c r="T65" s="300"/>
      <c r="U65" s="300"/>
      <c r="V65" s="300"/>
      <c r="W65" s="300"/>
    </row>
    <row r="66" spans="1:23" ht="51" x14ac:dyDescent="0.2">
      <c r="A66" s="540"/>
      <c r="B66" s="310" t="s">
        <v>166</v>
      </c>
      <c r="C66" s="310" t="s">
        <v>151</v>
      </c>
      <c r="D66" s="310" t="s">
        <v>93</v>
      </c>
      <c r="E66" s="310" t="s">
        <v>94</v>
      </c>
      <c r="F66" s="406" t="s">
        <v>423</v>
      </c>
      <c r="G66" s="406" t="s">
        <v>424</v>
      </c>
      <c r="H66" s="406" t="s">
        <v>425</v>
      </c>
      <c r="I66" s="506" t="s">
        <v>426</v>
      </c>
      <c r="J66" s="540"/>
      <c r="K66" s="300"/>
      <c r="L66" s="534"/>
      <c r="M66" s="534"/>
      <c r="N66" s="534"/>
      <c r="O66" s="534"/>
      <c r="P66" s="534"/>
      <c r="Q66" s="534"/>
      <c r="R66" s="534"/>
      <c r="S66" s="534"/>
      <c r="T66" s="300"/>
      <c r="U66" s="300"/>
      <c r="V66" s="300"/>
      <c r="W66" s="300"/>
    </row>
    <row r="67" spans="1:23" x14ac:dyDescent="0.2">
      <c r="A67" s="301" t="s">
        <v>15</v>
      </c>
      <c r="B67" s="302">
        <f>'BRA Load Pricing Results'!J41</f>
        <v>2245.7323218479987</v>
      </c>
      <c r="C67" s="303">
        <f>'BRA Load Pricing Results'!L41</f>
        <v>270.34597037427466</v>
      </c>
      <c r="D67" s="303">
        <f>'BRA CTRs'!AG24</f>
        <v>0</v>
      </c>
      <c r="E67" s="303">
        <f>C67-D67</f>
        <v>270.34597037427466</v>
      </c>
      <c r="F67" s="507">
        <f>VLOOKUP(A67,'3rd IA Load Pricing Results'!$A$43:$K$63,11,0)</f>
        <v>2249.6417108442679</v>
      </c>
      <c r="G67" s="508">
        <f>VLOOKUP(A67,'3rd IA Load Pricing Results'!$A$43:$M$63,13,0)</f>
        <v>270.43293267338072</v>
      </c>
      <c r="H67" s="508">
        <f>INDEX('3rd IA CTRs'!$AG$24:$AG$44,MATCH(J67,'3rd IA CTRs'!$AI$24:$AI$44,0),1)</f>
        <v>0</v>
      </c>
      <c r="I67" s="508">
        <f>G67-H67</f>
        <v>270.43293267338072</v>
      </c>
      <c r="J67" s="301" t="s">
        <v>15</v>
      </c>
      <c r="K67" s="511"/>
      <c r="L67" s="535"/>
      <c r="M67" s="536"/>
      <c r="N67" s="537"/>
      <c r="O67" s="538"/>
      <c r="P67" s="538"/>
      <c r="Q67" s="538"/>
      <c r="R67" s="538"/>
      <c r="S67" s="538"/>
      <c r="T67" s="300"/>
      <c r="U67" s="300"/>
      <c r="V67" s="300"/>
      <c r="W67" s="300"/>
    </row>
    <row r="68" spans="1:23" x14ac:dyDescent="0.2">
      <c r="A68" s="301" t="s">
        <v>28</v>
      </c>
      <c r="B68" s="302">
        <f>'BRA Load Pricing Results'!J42</f>
        <v>11969.228794440483</v>
      </c>
      <c r="C68" s="303">
        <f>'BRA Load Pricing Results'!L42</f>
        <v>270.34597037427466</v>
      </c>
      <c r="D68" s="303">
        <f>'BRA CTRs'!AG25</f>
        <v>0</v>
      </c>
      <c r="E68" s="311">
        <f>C68-D68</f>
        <v>270.34597037427466</v>
      </c>
      <c r="F68" s="507">
        <f>VLOOKUP(A68,'3rd IA Load Pricing Results'!$A$43:$K$63,11,0)</f>
        <v>11567.28844662662</v>
      </c>
      <c r="G68" s="508">
        <f>VLOOKUP(A68,'3rd IA Load Pricing Results'!$A$43:$M$63,13,0)</f>
        <v>270.43293267338072</v>
      </c>
      <c r="H68" s="508">
        <f>INDEX('3rd IA CTRs'!$AG$24:$AG$44,MATCH(J68,'3rd IA CTRs'!$AI$24:$AI$44,0),1)</f>
        <v>0</v>
      </c>
      <c r="I68" s="508">
        <f t="shared" ref="I68:I87" si="0">G68-H68</f>
        <v>270.43293267338072</v>
      </c>
      <c r="J68" s="301" t="s">
        <v>28</v>
      </c>
      <c r="K68" s="511"/>
      <c r="L68" s="535"/>
      <c r="M68" s="536"/>
      <c r="N68" s="537"/>
      <c r="O68" s="538"/>
      <c r="P68" s="538"/>
      <c r="Q68" s="538"/>
      <c r="R68" s="538"/>
      <c r="S68" s="538"/>
      <c r="T68" s="300"/>
      <c r="U68" s="300"/>
      <c r="V68" s="300"/>
      <c r="W68" s="300"/>
    </row>
    <row r="69" spans="1:23" x14ac:dyDescent="0.2">
      <c r="A69" s="301" t="s">
        <v>18</v>
      </c>
      <c r="B69" s="302">
        <f>'BRA Load Pricing Results'!J43</f>
        <v>8426.0258156470973</v>
      </c>
      <c r="C69" s="303">
        <f>'BRA Load Pricing Results'!L43</f>
        <v>270.34597037427466</v>
      </c>
      <c r="D69" s="303">
        <f>'BRA CTRs'!AG26</f>
        <v>0</v>
      </c>
      <c r="E69" s="311">
        <f>C69-D69</f>
        <v>270.34597037427466</v>
      </c>
      <c r="F69" s="507">
        <f>VLOOKUP(A69,'3rd IA Load Pricing Results'!$A$43:$K$63,11,0)</f>
        <v>8169.7013906929096</v>
      </c>
      <c r="G69" s="508">
        <f>VLOOKUP(A69,'3rd IA Load Pricing Results'!$A$43:$M$63,13,0)</f>
        <v>270.43293267338072</v>
      </c>
      <c r="H69" s="508">
        <f>INDEX('3rd IA CTRs'!$AG$24:$AG$44,MATCH(J69,'3rd IA CTRs'!$AI$24:$AI$44,0),1)</f>
        <v>0</v>
      </c>
      <c r="I69" s="508">
        <f t="shared" si="0"/>
        <v>270.43293267338072</v>
      </c>
      <c r="J69" s="301" t="s">
        <v>18</v>
      </c>
      <c r="K69" s="511"/>
      <c r="L69" s="535"/>
      <c r="M69" s="536"/>
      <c r="N69" s="537"/>
      <c r="O69" s="538"/>
      <c r="P69" s="538"/>
      <c r="Q69" s="538"/>
      <c r="R69" s="538"/>
      <c r="S69" s="538"/>
      <c r="T69" s="300"/>
      <c r="U69" s="300"/>
      <c r="V69" s="300"/>
      <c r="W69" s="300"/>
    </row>
    <row r="70" spans="1:23" x14ac:dyDescent="0.2">
      <c r="A70" s="301" t="s">
        <v>42</v>
      </c>
      <c r="B70" s="302">
        <f>'BRA Load Pricing Results'!J44</f>
        <v>11422.242781781453</v>
      </c>
      <c r="C70" s="303">
        <f>'BRA Load Pricing Results'!L44</f>
        <v>270.34597037427466</v>
      </c>
      <c r="D70" s="303">
        <f>'BRA CTRs'!AG27</f>
        <v>0</v>
      </c>
      <c r="E70" s="311">
        <f>C70-D70</f>
        <v>270.34597037427466</v>
      </c>
      <c r="F70" s="507">
        <f>VLOOKUP(A70,'3rd IA Load Pricing Results'!$A$43:$K$63,11,0)</f>
        <v>11792.538105237802</v>
      </c>
      <c r="G70" s="508">
        <f>VLOOKUP(A70,'3rd IA Load Pricing Results'!$A$43:$M$63,13,0)</f>
        <v>270.43293267338072</v>
      </c>
      <c r="H70" s="508">
        <f>INDEX('3rd IA CTRs'!$AG$24:$AG$44,MATCH(J70,'3rd IA CTRs'!$AI$24:$AI$44,0),1)</f>
        <v>0</v>
      </c>
      <c r="I70" s="508">
        <f t="shared" si="0"/>
        <v>270.43293267338072</v>
      </c>
      <c r="J70" s="301" t="s">
        <v>42</v>
      </c>
      <c r="K70" s="511"/>
      <c r="L70" s="535"/>
      <c r="M70" s="536"/>
      <c r="N70" s="537"/>
      <c r="O70" s="538"/>
      <c r="P70" s="538"/>
      <c r="Q70" s="538"/>
      <c r="R70" s="538"/>
      <c r="S70" s="538"/>
      <c r="T70" s="300"/>
      <c r="U70" s="300"/>
      <c r="V70" s="300"/>
      <c r="W70" s="300"/>
    </row>
    <row r="71" spans="1:23" x14ac:dyDescent="0.2">
      <c r="A71" s="301" t="s">
        <v>10</v>
      </c>
      <c r="B71" s="302">
        <f>'BRA Load Pricing Results'!J45</f>
        <v>5968.5938863892243</v>
      </c>
      <c r="C71" s="303">
        <f>'BRA Load Pricing Results'!L45</f>
        <v>471.20463671940956</v>
      </c>
      <c r="D71" s="303">
        <f>'BRA CTRs'!AG28</f>
        <v>164.22368781676488</v>
      </c>
      <c r="E71" s="311">
        <f t="shared" ref="E71:E86" si="1">C71-D71</f>
        <v>306.98094890264468</v>
      </c>
      <c r="F71" s="507">
        <f>VLOOKUP(A71,'3rd IA Load Pricing Results'!$A$43:$K$63,11,0)</f>
        <v>6005.7059378757085</v>
      </c>
      <c r="G71" s="508">
        <f>VLOOKUP(A71,'3rd IA Load Pricing Results'!$A$43:$M$63,13,0)</f>
        <v>471.32878150920209</v>
      </c>
      <c r="H71" s="508">
        <f>INDEX('3rd IA CTRs'!$AG$24:$AG$44,MATCH(J71,'3rd IA CTRs'!$AI$24:$AI$44,0),1)</f>
        <v>164.48424752591345</v>
      </c>
      <c r="I71" s="508">
        <f t="shared" si="0"/>
        <v>306.84453398328867</v>
      </c>
      <c r="J71" s="301" t="s">
        <v>10</v>
      </c>
      <c r="K71" s="511"/>
      <c r="L71" s="535"/>
      <c r="M71" s="536"/>
      <c r="N71" s="537"/>
      <c r="O71" s="538"/>
      <c r="P71" s="538"/>
      <c r="Q71" s="538"/>
      <c r="R71" s="538"/>
      <c r="S71" s="538"/>
      <c r="T71" s="300"/>
      <c r="U71" s="300"/>
      <c r="V71" s="300"/>
      <c r="W71" s="300"/>
    </row>
    <row r="72" spans="1:23" x14ac:dyDescent="0.2">
      <c r="A72" s="301" t="s">
        <v>19</v>
      </c>
      <c r="B72" s="302">
        <f>'BRA Load Pricing Results'!J46</f>
        <v>17964.904972948811</v>
      </c>
      <c r="C72" s="303">
        <f>'BRA Load Pricing Results'!L46</f>
        <v>270.34597037427466</v>
      </c>
      <c r="D72" s="303">
        <f>'BRA CTRs'!AG29</f>
        <v>0</v>
      </c>
      <c r="E72" s="311">
        <f t="shared" si="1"/>
        <v>270.34597037427466</v>
      </c>
      <c r="F72" s="507">
        <f>VLOOKUP(A72,'3rd IA Load Pricing Results'!$A$43:$K$63,11,0)</f>
        <v>18167.474577719084</v>
      </c>
      <c r="G72" s="508">
        <f>VLOOKUP(A72,'3rd IA Load Pricing Results'!$A$43:$M$63,13,0)</f>
        <v>270.43293267338072</v>
      </c>
      <c r="H72" s="508">
        <f>INDEX('3rd IA CTRs'!$AG$24:$AG$44,MATCH(J72,'3rd IA CTRs'!$AI$24:$AI$44,0),1)</f>
        <v>0</v>
      </c>
      <c r="I72" s="508">
        <f t="shared" si="0"/>
        <v>270.43293267338072</v>
      </c>
      <c r="J72" s="301" t="s">
        <v>19</v>
      </c>
      <c r="K72" s="511"/>
      <c r="L72" s="535"/>
      <c r="M72" s="536"/>
      <c r="N72" s="537"/>
      <c r="O72" s="538"/>
      <c r="P72" s="538"/>
      <c r="Q72" s="538"/>
      <c r="R72" s="538"/>
      <c r="S72" s="538"/>
      <c r="T72" s="300"/>
      <c r="U72" s="300"/>
      <c r="V72" s="300"/>
      <c r="W72" s="300"/>
    </row>
    <row r="73" spans="1:23" x14ac:dyDescent="0.2">
      <c r="A73" s="301" t="s">
        <v>20</v>
      </c>
      <c r="B73" s="302">
        <f>'BRA Load Pricing Results'!J47</f>
        <v>2989.5417532880997</v>
      </c>
      <c r="C73" s="303">
        <f>'BRA Load Pricing Results'!L47</f>
        <v>270.34597037427466</v>
      </c>
      <c r="D73" s="303">
        <f>'BRA CTRs'!AG30</f>
        <v>0</v>
      </c>
      <c r="E73" s="311">
        <f t="shared" si="1"/>
        <v>270.34597037427466</v>
      </c>
      <c r="F73" s="507">
        <f>VLOOKUP(A73,'3rd IA Load Pricing Results'!$A$43:$K$63,11,0)</f>
        <v>3009.0385320175869</v>
      </c>
      <c r="G73" s="508">
        <f>VLOOKUP(A73,'3rd IA Load Pricing Results'!$A$43:$M$63,13,0)</f>
        <v>270.43293267338072</v>
      </c>
      <c r="H73" s="508">
        <f>INDEX('3rd IA CTRs'!$AG$24:$AG$44,MATCH(J73,'3rd IA CTRs'!$AI$24:$AI$44,0),1)</f>
        <v>0</v>
      </c>
      <c r="I73" s="508">
        <f t="shared" si="0"/>
        <v>270.43293267338072</v>
      </c>
      <c r="J73" s="301" t="s">
        <v>20</v>
      </c>
      <c r="K73" s="511"/>
      <c r="L73" s="535"/>
      <c r="M73" s="536"/>
      <c r="N73" s="537"/>
      <c r="O73" s="538"/>
      <c r="P73" s="538"/>
      <c r="Q73" s="538"/>
      <c r="R73" s="538"/>
      <c r="S73" s="538"/>
      <c r="T73" s="300"/>
      <c r="U73" s="300"/>
      <c r="V73" s="300"/>
      <c r="W73" s="300"/>
    </row>
    <row r="74" spans="1:23" x14ac:dyDescent="0.2">
      <c r="A74" s="301" t="s">
        <v>49</v>
      </c>
      <c r="B74" s="302">
        <f>'BRA Load Pricing Results'!J48</f>
        <v>4047.1815486858141</v>
      </c>
      <c r="C74" s="303">
        <f>'BRA Load Pricing Results'!L48</f>
        <v>270.34597037427466</v>
      </c>
      <c r="D74" s="303">
        <f>'BRA CTRs'!AG31</f>
        <v>0</v>
      </c>
      <c r="E74" s="311">
        <f t="shared" si="1"/>
        <v>270.34597037427466</v>
      </c>
      <c r="F74" s="507">
        <f>VLOOKUP(A74,'3rd IA Load Pricing Results'!$A$43:$K$63,11,0)</f>
        <v>4069.1488813748269</v>
      </c>
      <c r="G74" s="508">
        <f>VLOOKUP(A74,'3rd IA Load Pricing Results'!$A$43:$M$63,13,0)</f>
        <v>270.43293267338072</v>
      </c>
      <c r="H74" s="508">
        <f>INDEX('3rd IA CTRs'!$AG$24:$AG$44,MATCH(J74,'3rd IA CTRs'!$AI$24:$AI$44,0),1)</f>
        <v>0</v>
      </c>
      <c r="I74" s="508">
        <f t="shared" si="0"/>
        <v>270.43293267338072</v>
      </c>
      <c r="J74" s="301" t="s">
        <v>49</v>
      </c>
      <c r="K74" s="511"/>
      <c r="L74" s="535"/>
      <c r="M74" s="536"/>
      <c r="N74" s="537"/>
      <c r="O74" s="538"/>
      <c r="P74" s="538"/>
      <c r="Q74" s="538"/>
      <c r="R74" s="538"/>
      <c r="S74" s="538"/>
      <c r="T74" s="300"/>
      <c r="U74" s="300"/>
      <c r="V74" s="300"/>
      <c r="W74" s="300"/>
    </row>
    <row r="75" spans="1:23" x14ac:dyDescent="0.2">
      <c r="A75" s="301" t="s">
        <v>41</v>
      </c>
      <c r="B75" s="302">
        <f>'BRA Load Pricing Results'!J49</f>
        <v>2500.3440118409562</v>
      </c>
      <c r="C75" s="303">
        <f>'BRA Load Pricing Results'!L49</f>
        <v>270.34597037427466</v>
      </c>
      <c r="D75" s="303">
        <f>'BRA CTRs'!AG32</f>
        <v>0</v>
      </c>
      <c r="E75" s="311">
        <f t="shared" si="1"/>
        <v>270.34597037427466</v>
      </c>
      <c r="F75" s="507">
        <f>VLOOKUP(A75,'3rd IA Load Pricing Results'!$A$43:$K$63,11,0)</f>
        <v>2498.9674842119493</v>
      </c>
      <c r="G75" s="508">
        <f>VLOOKUP(A75,'3rd IA Load Pricing Results'!$A$43:$M$63,13,0)</f>
        <v>270.43293267338072</v>
      </c>
      <c r="H75" s="508">
        <f>INDEX('3rd IA CTRs'!$AG$24:$AG$44,MATCH(J75,'3rd IA CTRs'!$AI$24:$AI$44,0),1)</f>
        <v>0</v>
      </c>
      <c r="I75" s="508">
        <f t="shared" si="0"/>
        <v>270.43293267338072</v>
      </c>
      <c r="J75" s="301" t="s">
        <v>41</v>
      </c>
      <c r="K75" s="511"/>
      <c r="L75" s="535"/>
      <c r="M75" s="536"/>
      <c r="N75" s="537"/>
      <c r="O75" s="538"/>
      <c r="P75" s="538"/>
      <c r="Q75" s="538"/>
      <c r="R75" s="538"/>
      <c r="S75" s="538"/>
      <c r="T75" s="300"/>
      <c r="U75" s="300"/>
      <c r="V75" s="300"/>
      <c r="W75" s="300"/>
    </row>
    <row r="76" spans="1:23" x14ac:dyDescent="0.2">
      <c r="A76" s="301" t="s">
        <v>29</v>
      </c>
      <c r="B76" s="302">
        <f>'BRA Load Pricing Results'!J50</f>
        <v>21952.867847669972</v>
      </c>
      <c r="C76" s="303">
        <f>'BRA Load Pricing Results'!L50</f>
        <v>444.68560406808871</v>
      </c>
      <c r="D76" s="303">
        <f>'BRA CTRs'!AG33</f>
        <v>15.114914318495323</v>
      </c>
      <c r="E76" s="311">
        <f t="shared" si="1"/>
        <v>429.57068974959338</v>
      </c>
      <c r="F76" s="507">
        <f>VLOOKUP(A76,'3rd IA Load Pricing Results'!$A$43:$K$63,11,0)</f>
        <v>21570.485896661179</v>
      </c>
      <c r="G76" s="508">
        <f>VLOOKUP(A76,'3rd IA Load Pricing Results'!$A$43:$M$63,13,0)</f>
        <v>446.81027231931563</v>
      </c>
      <c r="H76" s="508">
        <f>INDEX('3rd IA CTRs'!$AG$24:$AG$44,MATCH(J76,'3rd IA CTRs'!$AI$24:$AI$44,0),1)</f>
        <v>14.330604356538608</v>
      </c>
      <c r="I76" s="508">
        <f t="shared" si="0"/>
        <v>432.479667962777</v>
      </c>
      <c r="J76" s="301" t="s">
        <v>29</v>
      </c>
      <c r="K76" s="511"/>
      <c r="L76" s="535"/>
      <c r="M76" s="536"/>
      <c r="N76" s="537"/>
      <c r="O76" s="538"/>
      <c r="P76" s="538"/>
      <c r="Q76" s="538"/>
      <c r="R76" s="538"/>
      <c r="S76" s="538"/>
      <c r="T76" s="300"/>
      <c r="U76" s="300"/>
      <c r="V76" s="300"/>
      <c r="W76" s="300"/>
    </row>
    <row r="77" spans="1:23" x14ac:dyDescent="0.2">
      <c r="A77" s="301" t="s">
        <v>16</v>
      </c>
      <c r="B77" s="302">
        <f>'BRA Load Pricing Results'!J51</f>
        <v>3502.5795406147345</v>
      </c>
      <c r="C77" s="303">
        <f>'BRA Load Pricing Results'!L51</f>
        <v>270.34597037427466</v>
      </c>
      <c r="D77" s="303">
        <f>'BRA CTRs'!AG34</f>
        <v>0</v>
      </c>
      <c r="E77" s="311">
        <f t="shared" si="1"/>
        <v>270.34597037427466</v>
      </c>
      <c r="F77" s="507">
        <f>VLOOKUP(A77,'3rd IA Load Pricing Results'!$A$43:$K$63,11,0)</f>
        <v>3587.6265862448768</v>
      </c>
      <c r="G77" s="508">
        <f>VLOOKUP(A77,'3rd IA Load Pricing Results'!$A$43:$M$63,13,0)</f>
        <v>270.43293267338072</v>
      </c>
      <c r="H77" s="508">
        <f>INDEX('3rd IA CTRs'!$AG$24:$AG$44,MATCH(J77,'3rd IA CTRs'!$AI$24:$AI$44,0),1)</f>
        <v>0</v>
      </c>
      <c r="I77" s="508">
        <f t="shared" si="0"/>
        <v>270.43293267338072</v>
      </c>
      <c r="J77" s="301" t="s">
        <v>16</v>
      </c>
      <c r="K77" s="511"/>
      <c r="L77" s="535"/>
      <c r="M77" s="536"/>
      <c r="N77" s="537"/>
      <c r="O77" s="538"/>
      <c r="P77" s="538"/>
      <c r="Q77" s="538"/>
      <c r="R77" s="538"/>
      <c r="S77" s="538"/>
      <c r="T77" s="300"/>
      <c r="U77" s="300"/>
      <c r="V77" s="300"/>
      <c r="W77" s="300"/>
    </row>
    <row r="78" spans="1:23" x14ac:dyDescent="0.2">
      <c r="A78" s="301" t="s">
        <v>99</v>
      </c>
      <c r="B78" s="302">
        <f>'BRA Load Pricing Results'!J52</f>
        <v>2232.477256339002</v>
      </c>
      <c r="C78" s="303">
        <f>'BRA Load Pricing Results'!L52</f>
        <v>270.34597037427466</v>
      </c>
      <c r="D78" s="303">
        <f>'BRA CTRs'!AG35</f>
        <v>0</v>
      </c>
      <c r="E78" s="311">
        <f t="shared" si="1"/>
        <v>270.34597037427466</v>
      </c>
      <c r="F78" s="507">
        <f>VLOOKUP(A78,'3rd IA Load Pricing Results'!$A$43:$K$63,11,0)</f>
        <v>2259.5386117718399</v>
      </c>
      <c r="G78" s="508">
        <f>VLOOKUP(A78,'3rd IA Load Pricing Results'!$A$43:$M$63,13,0)</f>
        <v>270.43293267338072</v>
      </c>
      <c r="H78" s="508">
        <f>INDEX('3rd IA CTRs'!$AG$24:$AG$44,MATCH(J78,'3rd IA CTRs'!$AI$24:$AI$44,0),1)</f>
        <v>0</v>
      </c>
      <c r="I78" s="508">
        <f t="shared" si="0"/>
        <v>270.43293267338072</v>
      </c>
      <c r="J78" s="301" t="s">
        <v>99</v>
      </c>
      <c r="K78" s="511"/>
      <c r="L78" s="535"/>
      <c r="M78" s="536"/>
      <c r="N78" s="537"/>
      <c r="O78" s="538"/>
      <c r="P78" s="538"/>
      <c r="Q78" s="538"/>
      <c r="R78" s="538"/>
      <c r="S78" s="538"/>
      <c r="T78" s="300"/>
      <c r="U78" s="300"/>
      <c r="V78" s="300"/>
      <c r="W78" s="300"/>
    </row>
    <row r="79" spans="1:23" x14ac:dyDescent="0.2">
      <c r="A79" s="301" t="s">
        <v>11</v>
      </c>
      <c r="B79" s="302">
        <f>'BRA Load Pricing Results'!J53</f>
        <v>5453.6488953922317</v>
      </c>
      <c r="C79" s="303">
        <f>'BRA Load Pricing Results'!L53</f>
        <v>270.34597037427466</v>
      </c>
      <c r="D79" s="303">
        <f>'BRA CTRs'!AG36</f>
        <v>0</v>
      </c>
      <c r="E79" s="311">
        <f t="shared" si="1"/>
        <v>270.34597037427466</v>
      </c>
      <c r="F79" s="507">
        <f>VLOOKUP(A79,'3rd IA Load Pricing Results'!$A$43:$K$63,11,0)</f>
        <v>5468.9893875727612</v>
      </c>
      <c r="G79" s="508">
        <f>VLOOKUP(A79,'3rd IA Load Pricing Results'!$A$43:$M$63,13,0)</f>
        <v>270.43293267338072</v>
      </c>
      <c r="H79" s="508">
        <f>INDEX('3rd IA CTRs'!$AG$24:$AG$44,MATCH(J79,'3rd IA CTRs'!$AI$24:$AI$44,0),1)</f>
        <v>0</v>
      </c>
      <c r="I79" s="508">
        <f t="shared" si="0"/>
        <v>270.43293267338072</v>
      </c>
      <c r="J79" s="301" t="s">
        <v>11</v>
      </c>
      <c r="K79" s="511"/>
      <c r="L79" s="535"/>
      <c r="M79" s="536"/>
      <c r="N79" s="537"/>
      <c r="O79" s="538"/>
      <c r="P79" s="538"/>
      <c r="Q79" s="538"/>
      <c r="R79" s="538"/>
      <c r="S79" s="538"/>
      <c r="T79" s="300"/>
      <c r="U79" s="300"/>
      <c r="V79" s="300"/>
      <c r="W79" s="300"/>
    </row>
    <row r="80" spans="1:23" x14ac:dyDescent="0.2">
      <c r="A80" s="301" t="s">
        <v>12</v>
      </c>
      <c r="B80" s="302">
        <f>'BRA Load Pricing Results'!J54</f>
        <v>2820.7542284613078</v>
      </c>
      <c r="C80" s="303">
        <f>'BRA Load Pricing Results'!L54</f>
        <v>270.34597037427466</v>
      </c>
      <c r="D80" s="303">
        <f>'BRA CTRs'!AG37</f>
        <v>0</v>
      </c>
      <c r="E80" s="311">
        <f t="shared" si="1"/>
        <v>270.34597037427466</v>
      </c>
      <c r="F80" s="507">
        <f>VLOOKUP(A80,'3rd IA Load Pricing Results'!$A$43:$K$63,11,0)</f>
        <v>2846.3106417661611</v>
      </c>
      <c r="G80" s="508">
        <f>VLOOKUP(A80,'3rd IA Load Pricing Results'!$A$43:$M$63,13,0)</f>
        <v>270.43293267338072</v>
      </c>
      <c r="H80" s="508">
        <f>INDEX('3rd IA CTRs'!$AG$24:$AG$44,MATCH(J80,'3rd IA CTRs'!$AI$24:$AI$44,0),1)</f>
        <v>0</v>
      </c>
      <c r="I80" s="508">
        <f t="shared" si="0"/>
        <v>270.43293267338072</v>
      </c>
      <c r="J80" s="301" t="s">
        <v>12</v>
      </c>
      <c r="K80" s="511"/>
      <c r="L80" s="535"/>
      <c r="M80" s="536"/>
      <c r="N80" s="537"/>
      <c r="O80" s="538"/>
      <c r="P80" s="538"/>
      <c r="Q80" s="538"/>
      <c r="R80" s="538"/>
      <c r="S80" s="538"/>
      <c r="T80" s="300"/>
      <c r="U80" s="300"/>
      <c r="V80" s="300"/>
      <c r="W80" s="300"/>
    </row>
    <row r="81" spans="1:23" x14ac:dyDescent="0.2">
      <c r="A81" s="301" t="s">
        <v>173</v>
      </c>
      <c r="B81" s="302">
        <f>'BRA Load Pricing Results'!J55</f>
        <v>57.216110110777038</v>
      </c>
      <c r="C81" s="303">
        <f>'BRA Load Pricing Results'!L55</f>
        <v>270.34597037427466</v>
      </c>
      <c r="D81" s="303">
        <f>'BRA CTRs'!AG38</f>
        <v>0</v>
      </c>
      <c r="E81" s="311">
        <f t="shared" ref="E81" si="2">C81-D81</f>
        <v>270.34597037427466</v>
      </c>
      <c r="F81" s="507">
        <f>VLOOKUP(A81,'3rd IA Load Pricing Results'!$A$43:$K$63,11,0)</f>
        <v>57.097505351377357</v>
      </c>
      <c r="G81" s="508">
        <f>VLOOKUP(A81,'3rd IA Load Pricing Results'!$A$43:$M$63,13,0)</f>
        <v>270.43293267338072</v>
      </c>
      <c r="H81" s="508">
        <f>INDEX('3rd IA CTRs'!$AG$24:$AG$44,MATCH(J81,'3rd IA CTRs'!$AI$24:$AI$44,0),1)</f>
        <v>0</v>
      </c>
      <c r="I81" s="508">
        <f t="shared" si="0"/>
        <v>270.43293267338072</v>
      </c>
      <c r="J81" s="301" t="s">
        <v>173</v>
      </c>
      <c r="K81" s="511"/>
      <c r="L81" s="535"/>
      <c r="M81" s="536"/>
      <c r="N81" s="537"/>
      <c r="O81" s="538"/>
      <c r="P81" s="538"/>
      <c r="Q81" s="538"/>
      <c r="R81" s="538"/>
      <c r="S81" s="538"/>
      <c r="T81" s="300"/>
      <c r="U81" s="300"/>
      <c r="V81" s="300"/>
      <c r="W81" s="300"/>
    </row>
    <row r="82" spans="1:23" x14ac:dyDescent="0.2">
      <c r="A82" s="301" t="s">
        <v>8</v>
      </c>
      <c r="B82" s="302">
        <f>'BRA Load Pricing Results'!J56</f>
        <v>7742.2932998233127</v>
      </c>
      <c r="C82" s="303">
        <f>'BRA Load Pricing Results'!L56</f>
        <v>270.34597037427466</v>
      </c>
      <c r="D82" s="303">
        <f>'BRA CTRs'!AG39</f>
        <v>0</v>
      </c>
      <c r="E82" s="311">
        <f t="shared" si="1"/>
        <v>270.34597037427466</v>
      </c>
      <c r="F82" s="507">
        <f>VLOOKUP(A82,'3rd IA Load Pricing Results'!$A$43:$K$63,11,0)</f>
        <v>7750.0347263602862</v>
      </c>
      <c r="G82" s="508">
        <f>VLOOKUP(A82,'3rd IA Load Pricing Results'!$A$43:$M$63,13,0)</f>
        <v>270.43293267338072</v>
      </c>
      <c r="H82" s="508">
        <f>INDEX('3rd IA CTRs'!$AG$24:$AG$44,MATCH(J82,'3rd IA CTRs'!$AI$24:$AI$44,0),1)</f>
        <v>0</v>
      </c>
      <c r="I82" s="508">
        <f t="shared" si="0"/>
        <v>270.43293267338072</v>
      </c>
      <c r="J82" s="301" t="s">
        <v>8</v>
      </c>
      <c r="K82" s="511"/>
      <c r="L82" s="535"/>
      <c r="M82" s="536"/>
      <c r="N82" s="537"/>
      <c r="O82" s="538"/>
      <c r="P82" s="538"/>
      <c r="Q82" s="538"/>
      <c r="R82" s="538"/>
      <c r="S82" s="538"/>
      <c r="T82" s="300"/>
      <c r="U82" s="300"/>
      <c r="V82" s="300"/>
      <c r="W82" s="300"/>
    </row>
    <row r="83" spans="1:23" x14ac:dyDescent="0.2">
      <c r="A83" s="301" t="s">
        <v>13</v>
      </c>
      <c r="B83" s="302">
        <f>'BRA Load Pricing Results'!J57</f>
        <v>2617.637037568049</v>
      </c>
      <c r="C83" s="303">
        <f>'BRA Load Pricing Results'!L57</f>
        <v>270.34597037427466</v>
      </c>
      <c r="D83" s="303">
        <f>'BRA CTRs'!AG40</f>
        <v>0</v>
      </c>
      <c r="E83" s="311">
        <f t="shared" si="1"/>
        <v>270.34597037427466</v>
      </c>
      <c r="F83" s="507">
        <f>VLOOKUP(A83,'3rd IA Load Pricing Results'!$A$43:$K$63,11,0)</f>
        <v>2664.5502497309435</v>
      </c>
      <c r="G83" s="508">
        <f>VLOOKUP(A83,'3rd IA Load Pricing Results'!$A$43:$M$63,13,0)</f>
        <v>270.43293267338072</v>
      </c>
      <c r="H83" s="508">
        <f>INDEX('3rd IA CTRs'!$AG$24:$AG$44,MATCH(J83,'3rd IA CTRs'!$AI$24:$AI$44,0),1)</f>
        <v>0</v>
      </c>
      <c r="I83" s="508">
        <f t="shared" si="0"/>
        <v>270.43293267338072</v>
      </c>
      <c r="J83" s="301" t="s">
        <v>13</v>
      </c>
      <c r="K83" s="511"/>
      <c r="L83" s="535"/>
      <c r="M83" s="536"/>
      <c r="N83" s="537"/>
      <c r="O83" s="538"/>
      <c r="P83" s="538"/>
      <c r="Q83" s="538"/>
      <c r="R83" s="538"/>
      <c r="S83" s="538"/>
      <c r="T83" s="300"/>
      <c r="U83" s="300"/>
      <c r="V83" s="300"/>
      <c r="W83" s="300"/>
    </row>
    <row r="84" spans="1:23" x14ac:dyDescent="0.2">
      <c r="A84" s="301" t="s">
        <v>14</v>
      </c>
      <c r="B84" s="302">
        <f>'BRA Load Pricing Results'!J58</f>
        <v>5548.0554770750123</v>
      </c>
      <c r="C84" s="303">
        <f>'BRA Load Pricing Results'!L58</f>
        <v>270.34597037427466</v>
      </c>
      <c r="D84" s="303">
        <f>'BRA CTRs'!AG41</f>
        <v>0</v>
      </c>
      <c r="E84" s="311">
        <f t="shared" si="1"/>
        <v>270.34597037427466</v>
      </c>
      <c r="F84" s="507">
        <f>VLOOKUP(A84,'3rd IA Load Pricing Results'!$A$43:$K$63,11,0)</f>
        <v>5555.5872706890168</v>
      </c>
      <c r="G84" s="508">
        <f>VLOOKUP(A84,'3rd IA Load Pricing Results'!$A$43:$M$63,13,0)</f>
        <v>270.43293267338072</v>
      </c>
      <c r="H84" s="508">
        <f>INDEX('3rd IA CTRs'!$AG$24:$AG$44,MATCH(J84,'3rd IA CTRs'!$AI$24:$AI$44,0),1)</f>
        <v>0</v>
      </c>
      <c r="I84" s="508">
        <f t="shared" si="0"/>
        <v>270.43293267338072</v>
      </c>
      <c r="J84" s="301" t="s">
        <v>14</v>
      </c>
      <c r="K84" s="511"/>
      <c r="L84" s="535"/>
      <c r="M84" s="536"/>
      <c r="N84" s="537"/>
      <c r="O84" s="538"/>
      <c r="P84" s="538"/>
      <c r="Q84" s="538"/>
      <c r="R84" s="538"/>
      <c r="S84" s="538"/>
      <c r="T84" s="300"/>
      <c r="U84" s="300"/>
      <c r="V84" s="300"/>
      <c r="W84" s="300"/>
    </row>
    <row r="85" spans="1:23" x14ac:dyDescent="0.2">
      <c r="A85" s="301" t="s">
        <v>9</v>
      </c>
      <c r="B85" s="302">
        <f>'BRA Load Pricing Results'!J59</f>
        <v>6713.3569196645058</v>
      </c>
      <c r="C85" s="303">
        <f>'BRA Load Pricing Results'!L59</f>
        <v>270.34597037427466</v>
      </c>
      <c r="D85" s="303">
        <f>'BRA CTRs'!AG42</f>
        <v>0</v>
      </c>
      <c r="E85" s="311">
        <f t="shared" si="1"/>
        <v>270.34597037427466</v>
      </c>
      <c r="F85" s="507">
        <f>VLOOKUP(A85,'3rd IA Load Pricing Results'!$A$43:$K$63,11,0)</f>
        <v>6904.9916471599026</v>
      </c>
      <c r="G85" s="508">
        <f>VLOOKUP(A85,'3rd IA Load Pricing Results'!$A$43:$M$63,13,0)</f>
        <v>270.43293267338072</v>
      </c>
      <c r="H85" s="508">
        <f>INDEX('3rd IA CTRs'!$AG$24:$AG$44,MATCH(J85,'3rd IA CTRs'!$AI$24:$AI$44,0),1)</f>
        <v>0</v>
      </c>
      <c r="I85" s="508">
        <f t="shared" si="0"/>
        <v>270.43293267338072</v>
      </c>
      <c r="J85" s="301" t="s">
        <v>9</v>
      </c>
      <c r="K85" s="511"/>
      <c r="L85" s="535"/>
      <c r="M85" s="536"/>
      <c r="N85" s="537"/>
      <c r="O85" s="538"/>
      <c r="P85" s="538"/>
      <c r="Q85" s="538"/>
      <c r="R85" s="538"/>
      <c r="S85" s="538"/>
      <c r="T85" s="300"/>
      <c r="U85" s="300"/>
      <c r="V85" s="300"/>
      <c r="W85" s="300"/>
    </row>
    <row r="86" spans="1:23" x14ac:dyDescent="0.2">
      <c r="A86" s="301" t="s">
        <v>7</v>
      </c>
      <c r="B86" s="302">
        <f>'BRA Load Pricing Results'!J60</f>
        <v>9139.3199883614525</v>
      </c>
      <c r="C86" s="303">
        <f>'BRA Load Pricing Results'!L60</f>
        <v>270.34597037427466</v>
      </c>
      <c r="D86" s="303">
        <f>'BRA CTRs'!AG43</f>
        <v>0</v>
      </c>
      <c r="E86" s="311">
        <f t="shared" si="1"/>
        <v>270.34597037427466</v>
      </c>
      <c r="F86" s="507">
        <f>VLOOKUP(A86,'3rd IA Load Pricing Results'!$A$43:$K$63,11,0)</f>
        <v>9338.2970002177681</v>
      </c>
      <c r="G86" s="508">
        <f>VLOOKUP(A86,'3rd IA Load Pricing Results'!$A$43:$M$63,13,0)</f>
        <v>270.43293267338072</v>
      </c>
      <c r="H86" s="508">
        <f>INDEX('3rd IA CTRs'!$AG$24:$AG$44,MATCH(J86,'3rd IA CTRs'!$AI$24:$AI$44,0),1)</f>
        <v>0</v>
      </c>
      <c r="I86" s="508">
        <f t="shared" si="0"/>
        <v>270.43293267338072</v>
      </c>
      <c r="J86" s="301" t="s">
        <v>7</v>
      </c>
      <c r="K86" s="511"/>
      <c r="L86" s="535"/>
      <c r="M86" s="536"/>
      <c r="N86" s="537"/>
      <c r="O86" s="538"/>
      <c r="P86" s="538"/>
      <c r="Q86" s="538"/>
      <c r="R86" s="538"/>
      <c r="S86" s="538"/>
      <c r="T86" s="300"/>
      <c r="U86" s="300"/>
      <c r="V86" s="300"/>
      <c r="W86" s="300"/>
    </row>
    <row r="87" spans="1:23" x14ac:dyDescent="0.2">
      <c r="A87" s="301" t="s">
        <v>17</v>
      </c>
      <c r="B87" s="302">
        <f>'BRA Load Pricing Results'!J61</f>
        <v>369.99751204969147</v>
      </c>
      <c r="C87" s="303">
        <f>'BRA Load Pricing Results'!L61</f>
        <v>270.34597037427466</v>
      </c>
      <c r="D87" s="303">
        <f>'BRA CTRs'!AG44</f>
        <v>0</v>
      </c>
      <c r="E87" s="311">
        <f>C87-D87</f>
        <v>270.34597037427466</v>
      </c>
      <c r="F87" s="507">
        <f>VLOOKUP(A87,'3rd IA Load Pricing Results'!$A$43:$K$63,11,0)</f>
        <v>372.0854098731424</v>
      </c>
      <c r="G87" s="508">
        <f>VLOOKUP(A87,'3rd IA Load Pricing Results'!$A$43:$M$63,13,0)</f>
        <v>270.43293267338072</v>
      </c>
      <c r="H87" s="508">
        <f>INDEX('3rd IA CTRs'!$AG$24:$AG$44,MATCH(J87,'3rd IA CTRs'!$AI$24:$AI$44,0),1)</f>
        <v>0</v>
      </c>
      <c r="I87" s="508">
        <f t="shared" si="0"/>
        <v>270.43293267338072</v>
      </c>
      <c r="J87" s="301" t="s">
        <v>17</v>
      </c>
      <c r="K87" s="511"/>
      <c r="L87" s="535"/>
      <c r="M87" s="536"/>
      <c r="N87" s="537"/>
      <c r="O87" s="538"/>
      <c r="P87" s="538"/>
      <c r="Q87" s="538"/>
      <c r="R87" s="538"/>
      <c r="S87" s="538"/>
      <c r="T87" s="300"/>
      <c r="U87" s="300"/>
      <c r="V87" s="300"/>
      <c r="W87" s="300"/>
    </row>
    <row r="88" spans="1:23" x14ac:dyDescent="0.2">
      <c r="A88" s="312" t="s">
        <v>47</v>
      </c>
      <c r="B88" s="313">
        <f>SUM(B67:B87)</f>
        <v>135683.99999999997</v>
      </c>
      <c r="C88" s="17"/>
      <c r="D88" s="17"/>
      <c r="E88" s="17"/>
      <c r="F88" s="409">
        <f>SUM(F67:F87)</f>
        <v>135905.10000000003</v>
      </c>
      <c r="G88" s="300"/>
      <c r="H88" s="300"/>
      <c r="I88" s="300"/>
      <c r="J88" s="300"/>
      <c r="K88" s="300"/>
      <c r="L88" s="533"/>
      <c r="M88" s="533"/>
      <c r="N88" s="315"/>
      <c r="O88" s="315"/>
      <c r="P88" s="315"/>
      <c r="Q88" s="315"/>
      <c r="R88" s="315"/>
      <c r="S88" s="315"/>
    </row>
    <row r="89" spans="1:23" x14ac:dyDescent="0.2">
      <c r="A89" s="314" t="s">
        <v>172</v>
      </c>
      <c r="B89" s="315"/>
      <c r="C89" s="315"/>
      <c r="D89" s="315"/>
      <c r="E89" s="315"/>
      <c r="F89" s="315"/>
      <c r="G89" s="315"/>
      <c r="H89" s="315"/>
      <c r="I89" s="315"/>
      <c r="J89" s="315"/>
      <c r="K89" s="315"/>
      <c r="L89" s="315"/>
      <c r="M89" s="316"/>
    </row>
    <row r="90" spans="1:23" x14ac:dyDescent="0.2">
      <c r="A90" s="317" t="s">
        <v>427</v>
      </c>
      <c r="B90" s="317"/>
      <c r="C90" s="317"/>
      <c r="D90" s="317"/>
      <c r="E90" s="317"/>
      <c r="F90" s="317"/>
      <c r="G90" s="317"/>
      <c r="H90" s="317"/>
      <c r="I90" s="317"/>
      <c r="J90" s="317"/>
      <c r="K90" s="317"/>
      <c r="L90" s="317"/>
      <c r="M90" s="317"/>
    </row>
    <row r="92" spans="1:23" x14ac:dyDescent="0.2">
      <c r="F92" s="532"/>
      <c r="G92" s="532"/>
      <c r="H92" s="532"/>
      <c r="I92" s="532"/>
    </row>
    <row r="93" spans="1:23" x14ac:dyDescent="0.2">
      <c r="F93" s="532"/>
      <c r="G93" s="532"/>
      <c r="H93" s="532"/>
      <c r="I93" s="532"/>
    </row>
    <row r="94" spans="1:23" x14ac:dyDescent="0.2">
      <c r="F94" s="532"/>
      <c r="G94" s="532"/>
      <c r="H94" s="532"/>
      <c r="I94" s="532"/>
    </row>
    <row r="95" spans="1:23" x14ac:dyDescent="0.2">
      <c r="F95" s="532"/>
      <c r="G95" s="532"/>
      <c r="H95" s="532"/>
      <c r="I95" s="532"/>
    </row>
    <row r="96" spans="1:23" x14ac:dyDescent="0.2">
      <c r="F96" s="532"/>
      <c r="G96" s="532"/>
      <c r="H96" s="532"/>
      <c r="I96" s="532"/>
    </row>
    <row r="97" spans="6:9" x14ac:dyDescent="0.2">
      <c r="F97" s="532"/>
      <c r="G97" s="532"/>
      <c r="H97" s="532"/>
      <c r="I97" s="532"/>
    </row>
    <row r="98" spans="6:9" x14ac:dyDescent="0.2">
      <c r="F98" s="532"/>
      <c r="G98" s="532"/>
      <c r="H98" s="532"/>
      <c r="I98" s="532"/>
    </row>
    <row r="99" spans="6:9" x14ac:dyDescent="0.2">
      <c r="F99" s="532"/>
      <c r="G99" s="532"/>
      <c r="H99" s="532"/>
      <c r="I99" s="532"/>
    </row>
    <row r="100" spans="6:9" x14ac:dyDescent="0.2">
      <c r="F100" s="532"/>
      <c r="G100" s="532"/>
      <c r="H100" s="532"/>
      <c r="I100" s="532"/>
    </row>
    <row r="101" spans="6:9" x14ac:dyDescent="0.2">
      <c r="F101" s="532"/>
      <c r="G101" s="532"/>
      <c r="H101" s="532"/>
      <c r="I101" s="532"/>
    </row>
    <row r="102" spans="6:9" x14ac:dyDescent="0.2">
      <c r="F102" s="532"/>
      <c r="G102" s="532"/>
      <c r="H102" s="532"/>
      <c r="I102" s="532"/>
    </row>
    <row r="103" spans="6:9" x14ac:dyDescent="0.2">
      <c r="F103" s="532"/>
      <c r="G103" s="532"/>
      <c r="H103" s="532"/>
      <c r="I103" s="532"/>
    </row>
    <row r="104" spans="6:9" x14ac:dyDescent="0.2">
      <c r="F104" s="532"/>
      <c r="G104" s="532"/>
      <c r="H104" s="532"/>
      <c r="I104" s="532"/>
    </row>
    <row r="105" spans="6:9" x14ac:dyDescent="0.2">
      <c r="F105" s="532"/>
      <c r="G105" s="532"/>
      <c r="H105" s="532"/>
      <c r="I105" s="532"/>
    </row>
    <row r="106" spans="6:9" x14ac:dyDescent="0.2">
      <c r="F106" s="532"/>
      <c r="G106" s="532"/>
      <c r="H106" s="532"/>
      <c r="I106" s="532"/>
    </row>
    <row r="107" spans="6:9" x14ac:dyDescent="0.2">
      <c r="F107" s="532"/>
      <c r="G107" s="532"/>
      <c r="H107" s="532"/>
      <c r="I107" s="532"/>
    </row>
    <row r="108" spans="6:9" x14ac:dyDescent="0.2">
      <c r="F108" s="532"/>
      <c r="G108" s="532"/>
      <c r="H108" s="532"/>
      <c r="I108" s="532"/>
    </row>
    <row r="109" spans="6:9" x14ac:dyDescent="0.2">
      <c r="F109" s="532"/>
      <c r="G109" s="532"/>
      <c r="H109" s="532"/>
      <c r="I109" s="532"/>
    </row>
    <row r="110" spans="6:9" x14ac:dyDescent="0.2">
      <c r="F110" s="532"/>
      <c r="G110" s="532"/>
      <c r="H110" s="532"/>
      <c r="I110" s="532"/>
    </row>
    <row r="111" spans="6:9" x14ac:dyDescent="0.2">
      <c r="F111" s="532"/>
      <c r="G111" s="532"/>
      <c r="H111" s="532"/>
      <c r="I111" s="532"/>
    </row>
    <row r="112" spans="6:9" x14ac:dyDescent="0.2">
      <c r="F112" s="532"/>
      <c r="G112" s="532"/>
      <c r="H112" s="532"/>
      <c r="I112" s="532"/>
    </row>
  </sheetData>
  <mergeCells count="6">
    <mergeCell ref="J65:J66"/>
    <mergeCell ref="A23:A24"/>
    <mergeCell ref="A65:A66"/>
    <mergeCell ref="B65:E65"/>
    <mergeCell ref="B46:B61"/>
    <mergeCell ref="F65:I6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123"/>
  <sheetViews>
    <sheetView workbookViewId="0">
      <selection sqref="A1:D1"/>
    </sheetView>
  </sheetViews>
  <sheetFormatPr defaultRowHeight="12.75" x14ac:dyDescent="0.2"/>
  <cols>
    <col min="1" max="1" width="33.140625" style="373" customWidth="1"/>
    <col min="2" max="2" width="32.140625" style="373" bestFit="1" customWidth="1"/>
    <col min="3" max="8" width="9.140625" style="373"/>
    <col min="9" max="9" width="18.140625" style="373" bestFit="1" customWidth="1"/>
    <col min="10" max="16384" width="9.140625" style="373"/>
  </cols>
  <sheetData>
    <row r="1" spans="1:10" x14ac:dyDescent="0.2">
      <c r="A1" s="550" t="s">
        <v>362</v>
      </c>
      <c r="B1" s="550"/>
      <c r="C1" s="550"/>
      <c r="D1" s="550"/>
      <c r="F1" s="529"/>
    </row>
    <row r="2" spans="1:10" x14ac:dyDescent="0.2">
      <c r="A2" s="551" t="s">
        <v>241</v>
      </c>
      <c r="B2" s="551"/>
      <c r="C2" s="551"/>
      <c r="D2" s="551"/>
    </row>
    <row r="3" spans="1:10" ht="13.5" thickBot="1" x14ac:dyDescent="0.25"/>
    <row r="4" spans="1:10" ht="16.5" thickBot="1" x14ac:dyDescent="0.25">
      <c r="A4" s="374" t="s">
        <v>242</v>
      </c>
      <c r="B4" s="375" t="s">
        <v>439</v>
      </c>
      <c r="I4" s="530"/>
      <c r="J4" s="530"/>
    </row>
    <row r="5" spans="1:10" ht="14.25" x14ac:dyDescent="0.2">
      <c r="A5" s="376" t="s">
        <v>243</v>
      </c>
      <c r="B5" s="377">
        <v>269.92</v>
      </c>
      <c r="I5" s="529"/>
      <c r="J5" s="529"/>
    </row>
    <row r="6" spans="1:10" ht="14.25" x14ac:dyDescent="0.2">
      <c r="A6" s="378" t="s">
        <v>244</v>
      </c>
      <c r="B6" s="377">
        <v>269.92</v>
      </c>
      <c r="I6" s="529"/>
      <c r="J6" s="529"/>
    </row>
    <row r="7" spans="1:10" ht="14.25" x14ac:dyDescent="0.2">
      <c r="A7" s="378" t="s">
        <v>245</v>
      </c>
      <c r="B7" s="377">
        <v>269.92</v>
      </c>
      <c r="I7" s="529"/>
      <c r="J7" s="529"/>
    </row>
    <row r="8" spans="1:10" ht="14.25" x14ac:dyDescent="0.2">
      <c r="A8" s="378" t="s">
        <v>246</v>
      </c>
      <c r="B8" s="377">
        <v>269.92</v>
      </c>
      <c r="I8" s="529"/>
      <c r="J8" s="529"/>
    </row>
    <row r="9" spans="1:10" ht="14.25" x14ac:dyDescent="0.2">
      <c r="A9" s="379" t="s">
        <v>247</v>
      </c>
      <c r="B9" s="377">
        <v>269.92</v>
      </c>
      <c r="I9" s="529"/>
      <c r="J9" s="529"/>
    </row>
    <row r="10" spans="1:10" ht="14.25" x14ac:dyDescent="0.2">
      <c r="A10" s="378" t="s">
        <v>248</v>
      </c>
      <c r="B10" s="377">
        <v>466.35</v>
      </c>
      <c r="I10" s="529"/>
      <c r="J10" s="529"/>
    </row>
    <row r="11" spans="1:10" ht="14.25" x14ac:dyDescent="0.2">
      <c r="A11" s="378" t="s">
        <v>249</v>
      </c>
      <c r="B11" s="377">
        <v>269.92</v>
      </c>
      <c r="I11" s="529"/>
      <c r="J11" s="529"/>
    </row>
    <row r="12" spans="1:10" ht="14.25" x14ac:dyDescent="0.2">
      <c r="A12" s="378" t="s">
        <v>250</v>
      </c>
      <c r="B12" s="377">
        <v>269.92</v>
      </c>
      <c r="I12" s="529"/>
      <c r="J12" s="529"/>
    </row>
    <row r="13" spans="1:10" ht="14.25" x14ac:dyDescent="0.2">
      <c r="A13" s="378" t="s">
        <v>251</v>
      </c>
      <c r="B13" s="377">
        <v>269.92</v>
      </c>
      <c r="I13" s="529"/>
      <c r="J13" s="529"/>
    </row>
    <row r="14" spans="1:10" ht="14.25" x14ac:dyDescent="0.2">
      <c r="A14" s="378" t="s">
        <v>252</v>
      </c>
      <c r="B14" s="377">
        <v>444.26</v>
      </c>
      <c r="I14" s="529"/>
      <c r="J14" s="529"/>
    </row>
    <row r="15" spans="1:10" ht="14.25" x14ac:dyDescent="0.2">
      <c r="A15" s="378" t="s">
        <v>253</v>
      </c>
      <c r="B15" s="377">
        <v>269.92</v>
      </c>
      <c r="I15" s="529"/>
      <c r="J15" s="529"/>
    </row>
    <row r="16" spans="1:10" ht="14.25" x14ac:dyDescent="0.2">
      <c r="A16" s="378" t="s">
        <v>254</v>
      </c>
      <c r="B16" s="377">
        <v>269.92</v>
      </c>
      <c r="I16" s="529"/>
      <c r="J16" s="529"/>
    </row>
    <row r="17" spans="1:10" ht="14.25" x14ac:dyDescent="0.2">
      <c r="A17" s="378" t="s">
        <v>255</v>
      </c>
      <c r="B17" s="377">
        <v>269.92</v>
      </c>
      <c r="I17" s="529"/>
      <c r="J17" s="529"/>
    </row>
    <row r="18" spans="1:10" ht="14.25" x14ac:dyDescent="0.2">
      <c r="A18" s="379" t="s">
        <v>256</v>
      </c>
      <c r="B18" s="377">
        <v>269.92</v>
      </c>
      <c r="I18" s="529"/>
      <c r="J18" s="529"/>
    </row>
    <row r="19" spans="1:10" ht="14.25" x14ac:dyDescent="0.2">
      <c r="A19" s="378" t="s">
        <v>257</v>
      </c>
      <c r="B19" s="377">
        <v>269.92</v>
      </c>
      <c r="I19" s="529"/>
      <c r="J19" s="529"/>
    </row>
    <row r="20" spans="1:10" ht="14.25" x14ac:dyDescent="0.2">
      <c r="A20" s="378" t="s">
        <v>258</v>
      </c>
      <c r="B20" s="377">
        <v>269.92</v>
      </c>
      <c r="I20" s="529"/>
      <c r="J20" s="529"/>
    </row>
    <row r="21" spans="1:10" ht="14.25" x14ac:dyDescent="0.2">
      <c r="A21" s="378" t="s">
        <v>259</v>
      </c>
      <c r="B21" s="377">
        <v>269.92</v>
      </c>
      <c r="I21" s="529"/>
      <c r="J21" s="529"/>
    </row>
    <row r="22" spans="1:10" ht="14.25" x14ac:dyDescent="0.2">
      <c r="A22" s="378" t="s">
        <v>260</v>
      </c>
      <c r="B22" s="377">
        <v>269.92</v>
      </c>
      <c r="I22" s="529"/>
      <c r="J22" s="529"/>
    </row>
    <row r="23" spans="1:10" ht="14.25" x14ac:dyDescent="0.2">
      <c r="A23" s="378" t="s">
        <v>261</v>
      </c>
      <c r="B23" s="377">
        <v>269.92</v>
      </c>
      <c r="I23" s="529"/>
      <c r="J23" s="529"/>
    </row>
    <row r="24" spans="1:10" ht="14.25" x14ac:dyDescent="0.2">
      <c r="A24" s="378" t="s">
        <v>262</v>
      </c>
      <c r="B24" s="377">
        <v>269.92</v>
      </c>
      <c r="I24" s="529"/>
      <c r="J24" s="529"/>
    </row>
    <row r="25" spans="1:10" ht="14.25" x14ac:dyDescent="0.2">
      <c r="A25" s="378" t="s">
        <v>263</v>
      </c>
      <c r="B25" s="377">
        <v>269.92</v>
      </c>
      <c r="I25" s="529"/>
      <c r="J25" s="529"/>
    </row>
    <row r="26" spans="1:10" ht="14.25" x14ac:dyDescent="0.2">
      <c r="A26" s="378" t="s">
        <v>264</v>
      </c>
      <c r="B26" s="377">
        <v>269.92</v>
      </c>
      <c r="I26" s="529"/>
      <c r="J26" s="529"/>
    </row>
    <row r="27" spans="1:10" ht="14.25" x14ac:dyDescent="0.2">
      <c r="A27" s="378" t="s">
        <v>265</v>
      </c>
      <c r="B27" s="377">
        <v>269.92</v>
      </c>
      <c r="I27" s="529"/>
      <c r="J27" s="529"/>
    </row>
    <row r="28" spans="1:10" ht="14.25" x14ac:dyDescent="0.2">
      <c r="A28" s="378" t="s">
        <v>266</v>
      </c>
      <c r="B28" s="377">
        <v>269.92</v>
      </c>
      <c r="I28" s="529"/>
      <c r="J28" s="529"/>
    </row>
    <row r="29" spans="1:10" ht="14.25" x14ac:dyDescent="0.2">
      <c r="A29" s="378" t="s">
        <v>267</v>
      </c>
      <c r="B29" s="377">
        <v>269.92</v>
      </c>
      <c r="I29" s="529"/>
      <c r="J29" s="529"/>
    </row>
    <row r="30" spans="1:10" ht="14.25" x14ac:dyDescent="0.2">
      <c r="A30" s="378" t="s">
        <v>268</v>
      </c>
      <c r="B30" s="377">
        <v>269.92</v>
      </c>
      <c r="I30" s="529"/>
      <c r="J30" s="529"/>
    </row>
    <row r="31" spans="1:10" ht="15" thickBot="1" x14ac:dyDescent="0.25">
      <c r="A31" s="524" t="s">
        <v>269</v>
      </c>
      <c r="B31" s="525">
        <v>269.92</v>
      </c>
      <c r="I31" s="529"/>
      <c r="J31" s="529"/>
    </row>
    <row r="32" spans="1:10" ht="15.75" thickTop="1" x14ac:dyDescent="0.2">
      <c r="A32" s="522" t="s">
        <v>270</v>
      </c>
      <c r="B32" s="523">
        <v>270.43293267338072</v>
      </c>
      <c r="I32" s="529"/>
      <c r="J32" s="529"/>
    </row>
    <row r="33" spans="1:10" ht="15" x14ac:dyDescent="0.2">
      <c r="A33" s="380" t="s">
        <v>271</v>
      </c>
      <c r="B33" s="377">
        <v>270.43293267338072</v>
      </c>
      <c r="I33" s="529"/>
      <c r="J33" s="529"/>
    </row>
    <row r="34" spans="1:10" ht="15" x14ac:dyDescent="0.2">
      <c r="A34" s="380" t="s">
        <v>272</v>
      </c>
      <c r="B34" s="377">
        <v>270.43293267338072</v>
      </c>
    </row>
    <row r="35" spans="1:10" ht="15" x14ac:dyDescent="0.2">
      <c r="A35" s="380" t="s">
        <v>273</v>
      </c>
      <c r="B35" s="377">
        <v>270.43293267338072</v>
      </c>
    </row>
    <row r="36" spans="1:10" ht="15" x14ac:dyDescent="0.2">
      <c r="A36" s="380" t="s">
        <v>274</v>
      </c>
      <c r="B36" s="377">
        <v>306.84453398328867</v>
      </c>
    </row>
    <row r="37" spans="1:10" ht="15" x14ac:dyDescent="0.2">
      <c r="A37" s="380" t="s">
        <v>275</v>
      </c>
      <c r="B37" s="377">
        <v>270.43293267338072</v>
      </c>
    </row>
    <row r="38" spans="1:10" ht="15" x14ac:dyDescent="0.2">
      <c r="A38" s="380" t="s">
        <v>276</v>
      </c>
      <c r="B38" s="377">
        <v>270.43293267338072</v>
      </c>
    </row>
    <row r="39" spans="1:10" ht="15" x14ac:dyDescent="0.2">
      <c r="A39" s="380" t="s">
        <v>277</v>
      </c>
      <c r="B39" s="377">
        <v>270.43293267338072</v>
      </c>
    </row>
    <row r="40" spans="1:10" ht="15" x14ac:dyDescent="0.2">
      <c r="A40" s="380" t="s">
        <v>278</v>
      </c>
      <c r="B40" s="377">
        <v>432.479667962777</v>
      </c>
    </row>
    <row r="41" spans="1:10" ht="15" x14ac:dyDescent="0.2">
      <c r="A41" s="380" t="s">
        <v>279</v>
      </c>
      <c r="B41" s="377">
        <v>270.43293267338072</v>
      </c>
    </row>
    <row r="42" spans="1:10" ht="15" x14ac:dyDescent="0.2">
      <c r="A42" s="380" t="s">
        <v>280</v>
      </c>
      <c r="B42" s="377">
        <v>270.43293267338072</v>
      </c>
    </row>
    <row r="43" spans="1:10" ht="15" x14ac:dyDescent="0.2">
      <c r="A43" s="380" t="s">
        <v>281</v>
      </c>
      <c r="B43" s="377">
        <v>270.43293267338072</v>
      </c>
    </row>
    <row r="44" spans="1:10" ht="15" x14ac:dyDescent="0.2">
      <c r="A44" s="381" t="s">
        <v>282</v>
      </c>
      <c r="B44" s="377">
        <v>270.43293267338072</v>
      </c>
    </row>
    <row r="45" spans="1:10" ht="15" x14ac:dyDescent="0.2">
      <c r="A45" s="381" t="s">
        <v>283</v>
      </c>
      <c r="B45" s="377">
        <v>270.43293267338072</v>
      </c>
    </row>
    <row r="46" spans="1:10" ht="15" x14ac:dyDescent="0.2">
      <c r="A46" s="381" t="s">
        <v>284</v>
      </c>
      <c r="B46" s="377">
        <v>270.43293267338072</v>
      </c>
    </row>
    <row r="47" spans="1:10" ht="15" x14ac:dyDescent="0.2">
      <c r="A47" s="381" t="s">
        <v>285</v>
      </c>
      <c r="B47" s="377">
        <v>270.43293267338072</v>
      </c>
    </row>
    <row r="48" spans="1:10" ht="15" x14ac:dyDescent="0.2">
      <c r="A48" s="381" t="s">
        <v>286</v>
      </c>
      <c r="B48" s="377">
        <v>270.43293267338072</v>
      </c>
    </row>
    <row r="49" spans="1:2" ht="15" x14ac:dyDescent="0.2">
      <c r="A49" s="381" t="s">
        <v>287</v>
      </c>
      <c r="B49" s="377">
        <v>270.43293267338072</v>
      </c>
    </row>
    <row r="50" spans="1:2" ht="15" x14ac:dyDescent="0.2">
      <c r="A50" s="381" t="s">
        <v>288</v>
      </c>
      <c r="B50" s="377">
        <v>270.43293267338072</v>
      </c>
    </row>
    <row r="51" spans="1:2" ht="15" x14ac:dyDescent="0.2">
      <c r="A51" s="381" t="s">
        <v>289</v>
      </c>
      <c r="B51" s="377">
        <v>270.43293267338072</v>
      </c>
    </row>
    <row r="52" spans="1:2" ht="15" x14ac:dyDescent="0.2">
      <c r="A52" s="381" t="s">
        <v>290</v>
      </c>
      <c r="B52" s="377">
        <v>270.43293267338072</v>
      </c>
    </row>
    <row r="53" spans="1:2" ht="15" x14ac:dyDescent="0.2">
      <c r="A53" s="381" t="s">
        <v>291</v>
      </c>
      <c r="B53" s="377">
        <v>270.43293267338072</v>
      </c>
    </row>
    <row r="54" spans="1:2" ht="15.75" thickBot="1" x14ac:dyDescent="0.25">
      <c r="A54" s="526" t="s">
        <v>292</v>
      </c>
      <c r="B54" s="525">
        <v>289.34754423538817</v>
      </c>
    </row>
    <row r="55" spans="1:2" ht="15.75" thickTop="1" x14ac:dyDescent="0.2">
      <c r="A55" s="522" t="s">
        <v>293</v>
      </c>
      <c r="B55" s="523">
        <v>270.34597037427466</v>
      </c>
    </row>
    <row r="56" spans="1:2" ht="15" x14ac:dyDescent="0.2">
      <c r="A56" s="380" t="s">
        <v>294</v>
      </c>
      <c r="B56" s="377">
        <v>270.34597037427466</v>
      </c>
    </row>
    <row r="57" spans="1:2" ht="15" x14ac:dyDescent="0.2">
      <c r="A57" s="380" t="s">
        <v>295</v>
      </c>
      <c r="B57" s="377">
        <v>270.34597037427466</v>
      </c>
    </row>
    <row r="58" spans="1:2" ht="15" x14ac:dyDescent="0.2">
      <c r="A58" s="380" t="s">
        <v>296</v>
      </c>
      <c r="B58" s="377">
        <v>270.34597037427466</v>
      </c>
    </row>
    <row r="59" spans="1:2" ht="15" x14ac:dyDescent="0.2">
      <c r="A59" s="380" t="s">
        <v>297</v>
      </c>
      <c r="B59" s="377">
        <v>471.20463671940956</v>
      </c>
    </row>
    <row r="60" spans="1:2" ht="15" x14ac:dyDescent="0.2">
      <c r="A60" s="380" t="s">
        <v>298</v>
      </c>
      <c r="B60" s="377">
        <v>270.34597037427466</v>
      </c>
    </row>
    <row r="61" spans="1:2" ht="15" x14ac:dyDescent="0.2">
      <c r="A61" s="380" t="s">
        <v>299</v>
      </c>
      <c r="B61" s="377">
        <v>270.34597037427466</v>
      </c>
    </row>
    <row r="62" spans="1:2" ht="15" x14ac:dyDescent="0.2">
      <c r="A62" s="380" t="s">
        <v>300</v>
      </c>
      <c r="B62" s="377">
        <v>270.34597037427466</v>
      </c>
    </row>
    <row r="63" spans="1:2" ht="15" x14ac:dyDescent="0.2">
      <c r="A63" s="380" t="s">
        <v>301</v>
      </c>
      <c r="B63" s="377">
        <v>444.68560406808871</v>
      </c>
    </row>
    <row r="64" spans="1:2" ht="15" x14ac:dyDescent="0.2">
      <c r="A64" s="380" t="s">
        <v>302</v>
      </c>
      <c r="B64" s="377">
        <v>270.34597037427466</v>
      </c>
    </row>
    <row r="65" spans="1:2" ht="15" x14ac:dyDescent="0.2">
      <c r="A65" s="380" t="s">
        <v>303</v>
      </c>
      <c r="B65" s="377">
        <v>270.34597037427466</v>
      </c>
    </row>
    <row r="66" spans="1:2" ht="15" x14ac:dyDescent="0.2">
      <c r="A66" s="380" t="s">
        <v>304</v>
      </c>
      <c r="B66" s="377">
        <v>270.34597037427466</v>
      </c>
    </row>
    <row r="67" spans="1:2" ht="15" x14ac:dyDescent="0.2">
      <c r="A67" s="380" t="s">
        <v>305</v>
      </c>
      <c r="B67" s="377">
        <v>270.34597037427466</v>
      </c>
    </row>
    <row r="68" spans="1:2" ht="15" x14ac:dyDescent="0.2">
      <c r="A68" s="380" t="s">
        <v>306</v>
      </c>
      <c r="B68" s="377">
        <v>270.34597037427466</v>
      </c>
    </row>
    <row r="69" spans="1:2" ht="15" x14ac:dyDescent="0.2">
      <c r="A69" s="380" t="s">
        <v>307</v>
      </c>
      <c r="B69" s="377">
        <v>270.34597037427466</v>
      </c>
    </row>
    <row r="70" spans="1:2" ht="15" x14ac:dyDescent="0.2">
      <c r="A70" s="380" t="s">
        <v>308</v>
      </c>
      <c r="B70" s="377">
        <v>270.34597037427466</v>
      </c>
    </row>
    <row r="71" spans="1:2" ht="15" x14ac:dyDescent="0.2">
      <c r="A71" s="380" t="s">
        <v>309</v>
      </c>
      <c r="B71" s="377">
        <v>270.34597037427466</v>
      </c>
    </row>
    <row r="72" spans="1:2" ht="15" x14ac:dyDescent="0.2">
      <c r="A72" s="380" t="s">
        <v>310</v>
      </c>
      <c r="B72" s="377">
        <v>270.34597037427466</v>
      </c>
    </row>
    <row r="73" spans="1:2" ht="15" x14ac:dyDescent="0.2">
      <c r="A73" s="380" t="s">
        <v>311</v>
      </c>
      <c r="B73" s="377">
        <v>270.34597037427466</v>
      </c>
    </row>
    <row r="74" spans="1:2" ht="15" x14ac:dyDescent="0.2">
      <c r="A74" s="380" t="s">
        <v>312</v>
      </c>
      <c r="B74" s="377">
        <v>270.34597037427466</v>
      </c>
    </row>
    <row r="75" spans="1:2" ht="15.75" thickBot="1" x14ac:dyDescent="0.25">
      <c r="A75" s="528" t="s">
        <v>313</v>
      </c>
      <c r="B75" s="525">
        <v>270.34597037427466</v>
      </c>
    </row>
    <row r="76" spans="1:2" ht="15.75" thickTop="1" x14ac:dyDescent="0.2">
      <c r="A76" s="522" t="s">
        <v>314</v>
      </c>
      <c r="B76" s="523">
        <v>270.43293267338072</v>
      </c>
    </row>
    <row r="77" spans="1:2" ht="15" x14ac:dyDescent="0.2">
      <c r="A77" s="527" t="s">
        <v>315</v>
      </c>
      <c r="B77" s="523">
        <v>270.43293267338072</v>
      </c>
    </row>
    <row r="78" spans="1:2" ht="15" x14ac:dyDescent="0.2">
      <c r="A78" s="381" t="s">
        <v>316</v>
      </c>
      <c r="B78" s="377">
        <v>270.43293267338072</v>
      </c>
    </row>
    <row r="79" spans="1:2" ht="15" x14ac:dyDescent="0.2">
      <c r="A79" s="381" t="s">
        <v>317</v>
      </c>
      <c r="B79" s="377">
        <v>270.43293267338072</v>
      </c>
    </row>
    <row r="80" spans="1:2" ht="15" x14ac:dyDescent="0.2">
      <c r="A80" s="381" t="s">
        <v>318</v>
      </c>
      <c r="B80" s="377">
        <v>471.32878150920209</v>
      </c>
    </row>
    <row r="81" spans="1:2" ht="15" x14ac:dyDescent="0.2">
      <c r="A81" s="381" t="s">
        <v>319</v>
      </c>
      <c r="B81" s="377">
        <v>270.43293267338072</v>
      </c>
    </row>
    <row r="82" spans="1:2" ht="15" x14ac:dyDescent="0.2">
      <c r="A82" s="381" t="s">
        <v>320</v>
      </c>
      <c r="B82" s="377">
        <v>270.43293267338072</v>
      </c>
    </row>
    <row r="83" spans="1:2" ht="15" x14ac:dyDescent="0.2">
      <c r="A83" s="381" t="s">
        <v>321</v>
      </c>
      <c r="B83" s="377">
        <v>270.43293267338072</v>
      </c>
    </row>
    <row r="84" spans="1:2" ht="15" x14ac:dyDescent="0.2">
      <c r="A84" s="381" t="s">
        <v>322</v>
      </c>
      <c r="B84" s="377">
        <v>446.81027231931563</v>
      </c>
    </row>
    <row r="85" spans="1:2" ht="15" x14ac:dyDescent="0.2">
      <c r="A85" s="381" t="s">
        <v>323</v>
      </c>
      <c r="B85" s="377">
        <v>270.43293267338072</v>
      </c>
    </row>
    <row r="86" spans="1:2" ht="15" x14ac:dyDescent="0.2">
      <c r="A86" s="381" t="s">
        <v>324</v>
      </c>
      <c r="B86" s="377">
        <v>270.43293267338072</v>
      </c>
    </row>
    <row r="87" spans="1:2" ht="15" x14ac:dyDescent="0.2">
      <c r="A87" s="381" t="s">
        <v>429</v>
      </c>
      <c r="B87" s="377">
        <v>270.43293267338072</v>
      </c>
    </row>
    <row r="88" spans="1:2" ht="15" x14ac:dyDescent="0.2">
      <c r="A88" s="381" t="s">
        <v>325</v>
      </c>
      <c r="B88" s="377">
        <v>270.43293267338072</v>
      </c>
    </row>
    <row r="89" spans="1:2" ht="15" x14ac:dyDescent="0.2">
      <c r="A89" s="381" t="s">
        <v>326</v>
      </c>
      <c r="B89" s="377">
        <v>270.43293267338072</v>
      </c>
    </row>
    <row r="90" spans="1:2" ht="15" x14ac:dyDescent="0.2">
      <c r="A90" s="381" t="s">
        <v>327</v>
      </c>
      <c r="B90" s="377">
        <v>270.43293267338072</v>
      </c>
    </row>
    <row r="91" spans="1:2" ht="15" x14ac:dyDescent="0.2">
      <c r="A91" s="381" t="s">
        <v>328</v>
      </c>
      <c r="B91" s="377">
        <v>270.43293267338072</v>
      </c>
    </row>
    <row r="92" spans="1:2" ht="15" x14ac:dyDescent="0.2">
      <c r="A92" s="381" t="s">
        <v>329</v>
      </c>
      <c r="B92" s="377">
        <v>270.43293267338072</v>
      </c>
    </row>
    <row r="93" spans="1:2" ht="15" x14ac:dyDescent="0.2">
      <c r="A93" s="381" t="s">
        <v>330</v>
      </c>
      <c r="B93" s="377">
        <v>270.43293267338072</v>
      </c>
    </row>
    <row r="94" spans="1:2" ht="15" x14ac:dyDescent="0.2">
      <c r="A94" s="381" t="s">
        <v>331</v>
      </c>
      <c r="B94" s="377">
        <v>270.43293267338072</v>
      </c>
    </row>
    <row r="95" spans="1:2" ht="15" x14ac:dyDescent="0.2">
      <c r="A95" s="381" t="s">
        <v>332</v>
      </c>
      <c r="B95" s="377">
        <v>270.43293267338072</v>
      </c>
    </row>
    <row r="96" spans="1:2" ht="15.75" thickBot="1" x14ac:dyDescent="0.25">
      <c r="A96" s="526" t="s">
        <v>333</v>
      </c>
      <c r="B96" s="525">
        <v>270.43293267338072</v>
      </c>
    </row>
    <row r="97" spans="1:2" ht="15" thickTop="1" x14ac:dyDescent="0.2">
      <c r="A97" s="376" t="s">
        <v>334</v>
      </c>
      <c r="B97" s="523">
        <v>323.89999999999998</v>
      </c>
    </row>
    <row r="98" spans="1:2" ht="14.25" x14ac:dyDescent="0.2">
      <c r="A98" s="378" t="s">
        <v>335</v>
      </c>
      <c r="B98" s="377">
        <v>323.89999999999998</v>
      </c>
    </row>
    <row r="99" spans="1:2" ht="14.25" x14ac:dyDescent="0.2">
      <c r="A99" s="378" t="s">
        <v>336</v>
      </c>
      <c r="B99" s="377">
        <v>323.89999999999998</v>
      </c>
    </row>
    <row r="100" spans="1:2" ht="14.25" x14ac:dyDescent="0.2">
      <c r="A100" s="378" t="s">
        <v>337</v>
      </c>
      <c r="B100" s="377">
        <v>323.89999999999998</v>
      </c>
    </row>
    <row r="101" spans="1:2" ht="14.25" x14ac:dyDescent="0.2">
      <c r="A101" s="378" t="s">
        <v>338</v>
      </c>
      <c r="B101" s="377">
        <v>323.89999999999998</v>
      </c>
    </row>
    <row r="102" spans="1:2" ht="14.25" x14ac:dyDescent="0.2">
      <c r="A102" s="378" t="s">
        <v>339</v>
      </c>
      <c r="B102" s="377">
        <v>559.64</v>
      </c>
    </row>
    <row r="103" spans="1:2" ht="14.25" x14ac:dyDescent="0.2">
      <c r="A103" s="378" t="s">
        <v>340</v>
      </c>
      <c r="B103" s="377">
        <v>323.89999999999998</v>
      </c>
    </row>
    <row r="104" spans="1:2" ht="14.25" x14ac:dyDescent="0.2">
      <c r="A104" s="378" t="s">
        <v>341</v>
      </c>
      <c r="B104" s="377">
        <v>323.89999999999998</v>
      </c>
    </row>
    <row r="105" spans="1:2" ht="14.25" x14ac:dyDescent="0.2">
      <c r="A105" s="378" t="s">
        <v>342</v>
      </c>
      <c r="B105" s="377">
        <v>323.89999999999998</v>
      </c>
    </row>
    <row r="106" spans="1:2" ht="14.25" x14ac:dyDescent="0.2">
      <c r="A106" s="378" t="s">
        <v>343</v>
      </c>
      <c r="B106" s="377">
        <v>323.89999999999998</v>
      </c>
    </row>
    <row r="107" spans="1:2" ht="14.25" x14ac:dyDescent="0.2">
      <c r="A107" s="378" t="s">
        <v>344</v>
      </c>
      <c r="B107" s="377">
        <v>323.89999999999998</v>
      </c>
    </row>
    <row r="108" spans="1:2" ht="14.25" x14ac:dyDescent="0.2">
      <c r="A108" s="378" t="s">
        <v>345</v>
      </c>
      <c r="B108" s="377">
        <v>323.89999999999998</v>
      </c>
    </row>
    <row r="109" spans="1:2" ht="14.25" x14ac:dyDescent="0.2">
      <c r="A109" s="378" t="s">
        <v>346</v>
      </c>
      <c r="B109" s="377">
        <v>323.89999999999998</v>
      </c>
    </row>
    <row r="110" spans="1:2" ht="14.25" x14ac:dyDescent="0.2">
      <c r="A110" s="378" t="s">
        <v>347</v>
      </c>
      <c r="B110" s="377">
        <v>323.89999999999998</v>
      </c>
    </row>
    <row r="111" spans="1:2" ht="14.25" x14ac:dyDescent="0.2">
      <c r="A111" s="378" t="s">
        <v>348</v>
      </c>
      <c r="B111" s="377">
        <v>323.89999999999998</v>
      </c>
    </row>
    <row r="112" spans="1:2" ht="14.25" x14ac:dyDescent="0.2">
      <c r="A112" s="378" t="s">
        <v>349</v>
      </c>
      <c r="B112" s="377">
        <v>323.89999999999998</v>
      </c>
    </row>
    <row r="113" spans="1:2" ht="14.25" x14ac:dyDescent="0.2">
      <c r="A113" s="378" t="s">
        <v>350</v>
      </c>
      <c r="B113" s="377">
        <v>323.89999999999998</v>
      </c>
    </row>
    <row r="114" spans="1:2" ht="14.25" x14ac:dyDescent="0.2">
      <c r="A114" s="378" t="s">
        <v>351</v>
      </c>
      <c r="B114" s="377">
        <v>323.89999999999998</v>
      </c>
    </row>
    <row r="115" spans="1:2" ht="14.25" x14ac:dyDescent="0.2">
      <c r="A115" s="378" t="s">
        <v>352</v>
      </c>
      <c r="B115" s="377">
        <v>323.89999999999998</v>
      </c>
    </row>
    <row r="116" spans="1:2" ht="14.25" x14ac:dyDescent="0.2">
      <c r="A116" s="378" t="s">
        <v>353</v>
      </c>
      <c r="B116" s="377">
        <v>323.89999999999998</v>
      </c>
    </row>
    <row r="117" spans="1:2" ht="14.25" x14ac:dyDescent="0.2">
      <c r="A117" s="378" t="s">
        <v>354</v>
      </c>
      <c r="B117" s="377">
        <v>323.89999999999998</v>
      </c>
    </row>
    <row r="118" spans="1:2" ht="14.25" x14ac:dyDescent="0.2">
      <c r="A118" s="378" t="s">
        <v>355</v>
      </c>
      <c r="B118" s="377">
        <v>323.89999999999998</v>
      </c>
    </row>
    <row r="119" spans="1:2" ht="14.25" x14ac:dyDescent="0.2">
      <c r="A119" s="378" t="s">
        <v>356</v>
      </c>
      <c r="B119" s="377">
        <v>323.89999999999998</v>
      </c>
    </row>
    <row r="120" spans="1:2" ht="14.25" x14ac:dyDescent="0.2">
      <c r="A120" s="378" t="s">
        <v>357</v>
      </c>
      <c r="B120" s="377">
        <v>323.89999999999998</v>
      </c>
    </row>
    <row r="121" spans="1:2" ht="14.25" x14ac:dyDescent="0.2">
      <c r="A121" s="378" t="s">
        <v>358</v>
      </c>
      <c r="B121" s="377">
        <v>323.89999999999998</v>
      </c>
    </row>
    <row r="122" spans="1:2" ht="14.25" x14ac:dyDescent="0.2">
      <c r="A122" s="378" t="s">
        <v>359</v>
      </c>
      <c r="B122" s="377">
        <v>323.89999999999998</v>
      </c>
    </row>
    <row r="123" spans="1:2" ht="14.25" x14ac:dyDescent="0.2">
      <c r="A123" s="378" t="s">
        <v>360</v>
      </c>
      <c r="B123" s="382">
        <v>323.89999999999998</v>
      </c>
    </row>
  </sheetData>
  <mergeCells count="2">
    <mergeCell ref="A1:D1"/>
    <mergeCell ref="A2: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107"/>
  <sheetViews>
    <sheetView workbookViewId="0"/>
  </sheetViews>
  <sheetFormatPr defaultColWidth="9.140625" defaultRowHeight="12.75" x14ac:dyDescent="0.2"/>
  <cols>
    <col min="1" max="5" width="16.7109375" style="277" customWidth="1"/>
    <col min="6" max="6" width="18.7109375" style="277" bestFit="1" customWidth="1"/>
    <col min="7" max="12" width="16.7109375" style="277" customWidth="1"/>
    <col min="13" max="22" width="14.7109375" style="277" customWidth="1"/>
    <col min="23" max="16384" width="9.140625" style="277"/>
  </cols>
  <sheetData>
    <row r="1" spans="1:21" ht="18.75" x14ac:dyDescent="0.3">
      <c r="A1" s="51" t="s">
        <v>232</v>
      </c>
      <c r="F1" s="342"/>
    </row>
    <row r="2" spans="1:21" ht="15" customHeight="1" x14ac:dyDescent="0.3">
      <c r="A2" s="49"/>
      <c r="B2" s="341"/>
      <c r="E2" s="13"/>
      <c r="F2" s="211"/>
      <c r="G2" s="341"/>
      <c r="H2" s="341"/>
      <c r="I2" s="341"/>
      <c r="J2" s="341"/>
      <c r="K2" s="341"/>
      <c r="L2" s="341"/>
      <c r="M2" s="341"/>
      <c r="N2" s="345"/>
      <c r="O2" s="345"/>
      <c r="P2" s="345"/>
      <c r="Q2" s="345"/>
    </row>
    <row r="3" spans="1:21" ht="15.75" x14ac:dyDescent="0.2">
      <c r="A3" s="553" t="s">
        <v>51</v>
      </c>
      <c r="B3" s="553"/>
      <c r="C3" s="55"/>
      <c r="D3" s="187" t="s">
        <v>23</v>
      </c>
      <c r="G3" s="346"/>
      <c r="H3" s="346"/>
      <c r="I3" s="346"/>
      <c r="J3" s="346"/>
      <c r="K3" s="346"/>
      <c r="L3" s="346"/>
      <c r="M3" s="346"/>
      <c r="N3" s="346"/>
      <c r="O3" s="346"/>
      <c r="P3" s="346"/>
      <c r="Q3" s="346"/>
      <c r="R3" s="346"/>
      <c r="S3" s="346"/>
      <c r="T3" s="346"/>
      <c r="U3" s="346"/>
    </row>
    <row r="4" spans="1:21" s="347" customFormat="1" ht="38.25" x14ac:dyDescent="0.2">
      <c r="A4" s="160" t="s">
        <v>2</v>
      </c>
      <c r="B4" s="144" t="s">
        <v>109</v>
      </c>
      <c r="C4" s="144" t="s">
        <v>130</v>
      </c>
      <c r="D4" s="160" t="s">
        <v>140</v>
      </c>
      <c r="E4" s="20"/>
      <c r="G4" s="346"/>
      <c r="H4" s="346"/>
      <c r="I4" s="346"/>
      <c r="J4" s="346"/>
      <c r="K4" s="346"/>
      <c r="L4" s="346"/>
      <c r="M4" s="346"/>
      <c r="N4" s="346"/>
      <c r="O4" s="346"/>
      <c r="P4" s="346"/>
      <c r="Q4" s="346"/>
      <c r="R4" s="346"/>
      <c r="S4" s="346"/>
      <c r="T4" s="346"/>
      <c r="U4" s="346"/>
    </row>
    <row r="5" spans="1:21" x14ac:dyDescent="0.2">
      <c r="A5" s="159" t="s">
        <v>5</v>
      </c>
      <c r="B5" s="23">
        <v>269.92</v>
      </c>
      <c r="C5" s="23">
        <v>0</v>
      </c>
      <c r="D5" s="27">
        <f>B5+C5</f>
        <v>269.92</v>
      </c>
      <c r="E5" s="24"/>
      <c r="F5" s="370" t="s">
        <v>238</v>
      </c>
      <c r="G5" s="346"/>
      <c r="H5" s="346"/>
      <c r="I5" s="346"/>
      <c r="J5" s="346"/>
      <c r="K5" s="346"/>
      <c r="L5" s="346"/>
      <c r="M5" s="346"/>
      <c r="N5" s="346"/>
      <c r="O5" s="346"/>
      <c r="P5" s="346"/>
      <c r="Q5" s="346"/>
      <c r="R5" s="346"/>
      <c r="S5" s="346"/>
      <c r="T5" s="346"/>
      <c r="U5" s="346"/>
    </row>
    <row r="6" spans="1:21" x14ac:dyDescent="0.2">
      <c r="A6" s="159" t="s">
        <v>27</v>
      </c>
      <c r="B6" s="23">
        <f>$B$5</f>
        <v>269.92</v>
      </c>
      <c r="C6" s="23">
        <v>0</v>
      </c>
      <c r="D6" s="27">
        <f>B6+C6</f>
        <v>269.92</v>
      </c>
      <c r="E6" s="24"/>
      <c r="F6" s="369">
        <f>(E63+G84)*365</f>
        <v>14687047357.514999</v>
      </c>
      <c r="G6" s="346"/>
      <c r="H6" s="346"/>
      <c r="I6" s="346"/>
      <c r="J6" s="346"/>
      <c r="K6" s="346"/>
      <c r="L6" s="346"/>
      <c r="M6" s="346"/>
      <c r="N6" s="346"/>
      <c r="O6" s="346"/>
      <c r="P6" s="346"/>
      <c r="Q6" s="346"/>
      <c r="R6" s="346"/>
      <c r="S6" s="346"/>
      <c r="T6" s="346"/>
      <c r="U6" s="346"/>
    </row>
    <row r="7" spans="1:21" x14ac:dyDescent="0.2">
      <c r="A7" s="159" t="s">
        <v>32</v>
      </c>
      <c r="B7" s="23">
        <f t="shared" ref="B7:B20" si="0">$B$5</f>
        <v>269.92</v>
      </c>
      <c r="C7" s="23">
        <v>0</v>
      </c>
      <c r="D7" s="27">
        <f>B7+C6+C7</f>
        <v>269.92</v>
      </c>
      <c r="E7" s="24" t="s">
        <v>23</v>
      </c>
      <c r="F7" s="341"/>
      <c r="G7" s="346"/>
      <c r="H7" s="346"/>
      <c r="I7" s="346"/>
      <c r="J7" s="346"/>
      <c r="K7" s="346"/>
      <c r="L7" s="346"/>
      <c r="M7" s="346"/>
      <c r="N7" s="346"/>
      <c r="O7" s="346"/>
      <c r="P7" s="346"/>
      <c r="Q7" s="346"/>
      <c r="R7" s="346"/>
      <c r="S7" s="346"/>
      <c r="T7" s="346"/>
      <c r="U7" s="346"/>
    </row>
    <row r="8" spans="1:21" x14ac:dyDescent="0.2">
      <c r="A8" s="159" t="s">
        <v>4</v>
      </c>
      <c r="B8" s="23">
        <f t="shared" si="0"/>
        <v>269.92</v>
      </c>
      <c r="C8" s="23">
        <v>0</v>
      </c>
      <c r="D8" s="27">
        <f>B8+C6+C8</f>
        <v>269.92</v>
      </c>
      <c r="E8" s="24" t="s">
        <v>23</v>
      </c>
      <c r="F8" s="341"/>
      <c r="G8" s="346"/>
      <c r="H8" s="346"/>
      <c r="I8" s="346"/>
      <c r="J8" s="346"/>
      <c r="K8" s="346"/>
      <c r="L8" s="346"/>
      <c r="M8" s="346"/>
      <c r="N8" s="346"/>
      <c r="O8" s="346"/>
      <c r="P8" s="346"/>
      <c r="Q8" s="346"/>
      <c r="R8" s="346"/>
      <c r="S8" s="346"/>
      <c r="T8" s="346"/>
      <c r="U8" s="346"/>
    </row>
    <row r="9" spans="1:21" x14ac:dyDescent="0.2">
      <c r="A9" s="159" t="s">
        <v>7</v>
      </c>
      <c r="B9" s="23">
        <f t="shared" si="0"/>
        <v>269.92</v>
      </c>
      <c r="C9" s="23">
        <v>0</v>
      </c>
      <c r="D9" s="27">
        <f>B9+C6+C7+C9</f>
        <v>269.92</v>
      </c>
      <c r="E9" s="24" t="s">
        <v>23</v>
      </c>
      <c r="F9" s="341"/>
      <c r="G9" s="346"/>
      <c r="H9" s="346"/>
      <c r="I9" s="346"/>
      <c r="J9" s="346"/>
      <c r="K9" s="346"/>
      <c r="L9" s="346"/>
      <c r="M9" s="346"/>
      <c r="N9" s="346"/>
      <c r="O9" s="346"/>
      <c r="P9" s="346"/>
      <c r="Q9" s="346"/>
      <c r="R9" s="346"/>
      <c r="S9" s="346"/>
      <c r="T9" s="346"/>
      <c r="U9" s="346"/>
    </row>
    <row r="10" spans="1:21" x14ac:dyDescent="0.2">
      <c r="A10" s="159" t="s">
        <v>33</v>
      </c>
      <c r="B10" s="23">
        <f t="shared" si="0"/>
        <v>269.92</v>
      </c>
      <c r="C10" s="23">
        <v>0</v>
      </c>
      <c r="D10" s="27">
        <f>B10+C6+C7+C9+C10</f>
        <v>269.92</v>
      </c>
      <c r="E10" s="24"/>
      <c r="F10" s="341"/>
      <c r="G10" s="346"/>
      <c r="H10" s="346"/>
      <c r="I10" s="346"/>
      <c r="J10" s="346"/>
      <c r="K10" s="346"/>
      <c r="L10" s="346"/>
      <c r="M10" s="346"/>
      <c r="N10" s="346"/>
      <c r="O10" s="346"/>
      <c r="P10" s="346"/>
      <c r="Q10" s="346"/>
      <c r="R10" s="346"/>
      <c r="S10" s="346"/>
      <c r="T10" s="346"/>
      <c r="U10" s="346"/>
    </row>
    <row r="11" spans="1:21" x14ac:dyDescent="0.2">
      <c r="A11" s="159" t="s">
        <v>34</v>
      </c>
      <c r="B11" s="23">
        <f t="shared" si="0"/>
        <v>269.92</v>
      </c>
      <c r="C11" s="23">
        <v>0</v>
      </c>
      <c r="D11" s="27">
        <f>B11+C6+C7+C11</f>
        <v>269.92</v>
      </c>
      <c r="E11" s="24" t="s">
        <v>23</v>
      </c>
      <c r="G11" s="346"/>
      <c r="H11" s="346"/>
      <c r="I11" s="346"/>
      <c r="J11" s="346"/>
      <c r="K11" s="346"/>
      <c r="L11" s="346"/>
      <c r="M11" s="346"/>
      <c r="N11" s="346"/>
      <c r="O11" s="346"/>
      <c r="P11" s="346"/>
      <c r="Q11" s="346"/>
      <c r="R11" s="346"/>
      <c r="S11" s="346"/>
      <c r="T11" s="346"/>
      <c r="U11" s="346"/>
    </row>
    <row r="12" spans="1:21" x14ac:dyDescent="0.2">
      <c r="A12" s="15" t="s">
        <v>14</v>
      </c>
      <c r="B12" s="23">
        <f t="shared" si="0"/>
        <v>269.92</v>
      </c>
      <c r="C12" s="23">
        <v>0</v>
      </c>
      <c r="D12" s="27">
        <f>B12+C6+C8+C12</f>
        <v>269.92</v>
      </c>
      <c r="E12" s="24" t="s">
        <v>23</v>
      </c>
      <c r="G12" s="346"/>
      <c r="H12" s="346"/>
      <c r="I12" s="346"/>
      <c r="J12" s="346"/>
      <c r="K12" s="346"/>
      <c r="L12" s="346"/>
      <c r="M12" s="346"/>
      <c r="N12" s="346"/>
      <c r="O12" s="346"/>
      <c r="P12" s="346"/>
      <c r="Q12" s="346"/>
      <c r="R12" s="346"/>
      <c r="S12" s="346"/>
      <c r="T12" s="346"/>
      <c r="U12" s="346"/>
    </row>
    <row r="13" spans="1:21" x14ac:dyDescent="0.2">
      <c r="A13" s="15" t="s">
        <v>42</v>
      </c>
      <c r="B13" s="23">
        <f t="shared" si="0"/>
        <v>269.92</v>
      </c>
      <c r="C13" s="23">
        <v>0</v>
      </c>
      <c r="D13" s="27">
        <f>B13+C13</f>
        <v>269.92</v>
      </c>
      <c r="E13" s="24"/>
      <c r="G13" s="346"/>
      <c r="H13" s="346"/>
      <c r="I13" s="346"/>
      <c r="J13" s="346"/>
      <c r="K13" s="346"/>
      <c r="L13" s="346"/>
      <c r="M13" s="346"/>
      <c r="N13" s="346"/>
      <c r="O13" s="346"/>
      <c r="P13" s="346"/>
      <c r="Q13" s="346"/>
      <c r="R13" s="346"/>
      <c r="S13" s="346"/>
      <c r="T13" s="346"/>
      <c r="U13" s="346"/>
    </row>
    <row r="14" spans="1:21" x14ac:dyDescent="0.2">
      <c r="A14" s="15" t="s">
        <v>96</v>
      </c>
      <c r="B14" s="23">
        <f t="shared" si="0"/>
        <v>269.92</v>
      </c>
      <c r="C14" s="23">
        <v>0</v>
      </c>
      <c r="D14" s="27">
        <f>B14+C13+C14</f>
        <v>269.92</v>
      </c>
      <c r="E14" s="24"/>
      <c r="F14" s="24" t="s">
        <v>23</v>
      </c>
      <c r="G14" s="346"/>
      <c r="H14" s="346"/>
      <c r="I14" s="346"/>
      <c r="J14" s="346"/>
      <c r="K14" s="346"/>
      <c r="L14" s="346"/>
      <c r="M14" s="346"/>
      <c r="N14" s="346"/>
      <c r="O14" s="346"/>
      <c r="P14" s="346"/>
      <c r="Q14" s="346"/>
      <c r="R14" s="346"/>
      <c r="S14" s="346"/>
      <c r="T14" s="346"/>
      <c r="U14" s="346"/>
    </row>
    <row r="15" spans="1:21" x14ac:dyDescent="0.2">
      <c r="A15" s="15" t="s">
        <v>19</v>
      </c>
      <c r="B15" s="23">
        <f t="shared" si="0"/>
        <v>269.92</v>
      </c>
      <c r="C15" s="23">
        <v>0</v>
      </c>
      <c r="D15" s="27">
        <f>B15+C15</f>
        <v>269.92</v>
      </c>
      <c r="E15" s="24" t="s">
        <v>23</v>
      </c>
      <c r="F15" s="28" t="s">
        <v>23</v>
      </c>
      <c r="G15" s="346"/>
      <c r="H15" s="346"/>
      <c r="I15" s="346"/>
      <c r="J15" s="346"/>
      <c r="K15" s="346"/>
      <c r="L15" s="346"/>
      <c r="M15" s="346"/>
      <c r="N15" s="346"/>
      <c r="O15" s="346"/>
      <c r="P15" s="346"/>
      <c r="Q15" s="346"/>
      <c r="R15" s="346"/>
      <c r="S15" s="346"/>
      <c r="T15" s="346"/>
      <c r="U15" s="346"/>
    </row>
    <row r="16" spans="1:21" x14ac:dyDescent="0.2">
      <c r="A16" s="15" t="s">
        <v>10</v>
      </c>
      <c r="B16" s="23">
        <f t="shared" si="0"/>
        <v>269.92</v>
      </c>
      <c r="C16" s="23">
        <v>196.43</v>
      </c>
      <c r="D16" s="27">
        <f>B16+C6+C8+C16</f>
        <v>466.35</v>
      </c>
      <c r="E16" s="24"/>
      <c r="F16" s="24"/>
      <c r="G16" s="346"/>
      <c r="H16" s="346"/>
      <c r="I16" s="346"/>
      <c r="J16" s="346"/>
      <c r="K16" s="346"/>
      <c r="L16" s="346"/>
      <c r="M16" s="346"/>
      <c r="N16" s="346"/>
      <c r="O16" s="346"/>
      <c r="P16" s="346"/>
      <c r="Q16" s="346"/>
      <c r="R16" s="346"/>
      <c r="S16" s="346"/>
      <c r="T16" s="346"/>
      <c r="U16" s="346"/>
    </row>
    <row r="17" spans="1:21" x14ac:dyDescent="0.2">
      <c r="A17" s="15" t="s">
        <v>9</v>
      </c>
      <c r="B17" s="23">
        <f t="shared" si="0"/>
        <v>269.92</v>
      </c>
      <c r="C17" s="23">
        <v>0</v>
      </c>
      <c r="D17" s="27">
        <f>B17+C6+C17</f>
        <v>269.92</v>
      </c>
      <c r="E17" s="24" t="s">
        <v>23</v>
      </c>
      <c r="F17" s="24"/>
      <c r="G17" s="346"/>
      <c r="H17" s="346"/>
      <c r="I17" s="346"/>
      <c r="J17" s="346"/>
      <c r="K17" s="346"/>
      <c r="L17" s="346"/>
      <c r="M17" s="346"/>
      <c r="N17" s="346"/>
      <c r="O17" s="346"/>
      <c r="P17" s="346"/>
      <c r="Q17" s="346"/>
      <c r="R17" s="346"/>
      <c r="S17" s="346"/>
      <c r="T17" s="346"/>
      <c r="U17" s="346"/>
    </row>
    <row r="18" spans="1:21" x14ac:dyDescent="0.2">
      <c r="A18" s="15" t="s">
        <v>20</v>
      </c>
      <c r="B18" s="23">
        <f t="shared" si="0"/>
        <v>269.92</v>
      </c>
      <c r="C18" s="23">
        <v>0</v>
      </c>
      <c r="D18" s="27">
        <f>B18+C18</f>
        <v>269.92</v>
      </c>
      <c r="E18" s="104" t="s">
        <v>23</v>
      </c>
      <c r="F18" s="24"/>
      <c r="G18" s="346"/>
      <c r="H18" s="346"/>
      <c r="I18" s="346"/>
      <c r="J18" s="346"/>
      <c r="K18" s="346"/>
      <c r="L18" s="346"/>
      <c r="M18" s="346"/>
      <c r="N18" s="346"/>
      <c r="O18" s="346"/>
      <c r="P18" s="346"/>
      <c r="Q18" s="346"/>
      <c r="R18" s="346"/>
      <c r="S18" s="346"/>
      <c r="T18" s="346"/>
      <c r="U18" s="346"/>
    </row>
    <row r="19" spans="1:21" x14ac:dyDescent="0.2">
      <c r="A19" s="15" t="s">
        <v>49</v>
      </c>
      <c r="B19" s="23">
        <f t="shared" si="0"/>
        <v>269.92</v>
      </c>
      <c r="C19" s="23">
        <v>0</v>
      </c>
      <c r="D19" s="27">
        <f>B19+C19</f>
        <v>269.92</v>
      </c>
      <c r="E19" s="24"/>
      <c r="F19" s="24"/>
      <c r="G19" s="346"/>
      <c r="H19" s="346"/>
      <c r="I19" s="346"/>
      <c r="J19" s="346"/>
      <c r="K19" s="346"/>
      <c r="L19" s="346"/>
      <c r="M19" s="346"/>
      <c r="N19" s="346"/>
      <c r="O19" s="346"/>
      <c r="P19" s="346"/>
      <c r="Q19" s="346"/>
      <c r="R19" s="346"/>
      <c r="S19" s="346"/>
      <c r="T19" s="346"/>
      <c r="U19" s="346"/>
    </row>
    <row r="20" spans="1:21" x14ac:dyDescent="0.2">
      <c r="A20" s="15" t="s">
        <v>29</v>
      </c>
      <c r="B20" s="23">
        <f t="shared" si="0"/>
        <v>269.92</v>
      </c>
      <c r="C20" s="361">
        <v>174.33999999999997</v>
      </c>
      <c r="D20" s="361">
        <f>B20+C20</f>
        <v>444.26</v>
      </c>
      <c r="E20" s="24"/>
      <c r="F20" s="24"/>
      <c r="G20" s="346"/>
      <c r="H20" s="346"/>
      <c r="I20" s="346"/>
      <c r="J20" s="346"/>
      <c r="K20" s="346"/>
      <c r="L20" s="346"/>
      <c r="M20" s="346"/>
      <c r="N20" s="346"/>
      <c r="O20" s="346"/>
      <c r="P20" s="346"/>
      <c r="Q20" s="346"/>
      <c r="R20" s="346"/>
      <c r="S20" s="346"/>
      <c r="T20" s="346"/>
      <c r="U20" s="346"/>
    </row>
    <row r="21" spans="1:21" ht="15" customHeight="1" x14ac:dyDescent="0.2">
      <c r="A21" s="18" t="s">
        <v>120</v>
      </c>
      <c r="B21" s="26"/>
      <c r="C21" s="25"/>
      <c r="D21" s="25"/>
      <c r="E21" s="25"/>
      <c r="F21" s="25"/>
      <c r="G21" s="25"/>
      <c r="H21" s="25"/>
      <c r="I21" s="24"/>
      <c r="J21" s="24"/>
      <c r="K21"/>
    </row>
    <row r="22" spans="1:21" ht="15" customHeight="1" x14ac:dyDescent="0.2">
      <c r="A22" s="188" t="s">
        <v>129</v>
      </c>
      <c r="B22" s="183"/>
      <c r="C22" s="183"/>
      <c r="D22" s="183"/>
      <c r="E22" s="183"/>
      <c r="F22" s="183"/>
      <c r="G22" s="183"/>
      <c r="H22" s="183"/>
      <c r="I22" s="54" t="s">
        <v>23</v>
      </c>
      <c r="J22" s="32"/>
      <c r="K22"/>
    </row>
    <row r="23" spans="1:21" ht="12.75" customHeight="1" x14ac:dyDescent="0.2">
      <c r="A23" s="182"/>
      <c r="B23" s="173"/>
      <c r="C23" s="173"/>
      <c r="D23" s="173"/>
      <c r="E23" s="173"/>
      <c r="F23" s="173"/>
      <c r="G23" s="173"/>
      <c r="H23" s="173"/>
      <c r="I23" s="54"/>
      <c r="J23" s="32"/>
      <c r="K23"/>
    </row>
    <row r="24" spans="1:21" x14ac:dyDescent="0.2">
      <c r="A24" s="16"/>
      <c r="B24" s="26"/>
      <c r="C24" s="26"/>
      <c r="D24" s="26"/>
      <c r="E24" s="30"/>
      <c r="F24" s="31"/>
      <c r="G24" s="31"/>
      <c r="H24" s="31"/>
      <c r="I24" s="32"/>
      <c r="J24" s="32"/>
      <c r="K24"/>
    </row>
    <row r="25" spans="1:21" ht="15.75" x14ac:dyDescent="0.25">
      <c r="A25" s="554" t="s">
        <v>52</v>
      </c>
      <c r="B25" s="555"/>
      <c r="C25" s="202" t="s">
        <v>23</v>
      </c>
      <c r="D25" s="202"/>
      <c r="E25" s="202" t="s">
        <v>23</v>
      </c>
      <c r="F25" s="202"/>
      <c r="G25" s="32"/>
      <c r="H25"/>
      <c r="I25" s="54" t="s">
        <v>23</v>
      </c>
      <c r="J25" s="54" t="s">
        <v>23</v>
      </c>
      <c r="K25" s="54" t="s">
        <v>23</v>
      </c>
      <c r="L25" s="54" t="s">
        <v>23</v>
      </c>
      <c r="M25" s="54" t="s">
        <v>23</v>
      </c>
      <c r="N25" s="54" t="s">
        <v>23</v>
      </c>
      <c r="O25" s="54" t="s">
        <v>23</v>
      </c>
      <c r="P25" s="54" t="s">
        <v>23</v>
      </c>
      <c r="Q25" s="54" t="s">
        <v>23</v>
      </c>
      <c r="R25" s="54" t="s">
        <v>23</v>
      </c>
      <c r="S25" s="54" t="s">
        <v>23</v>
      </c>
    </row>
    <row r="26" spans="1:21" ht="60" customHeight="1" x14ac:dyDescent="0.2">
      <c r="A26" s="160" t="s">
        <v>239</v>
      </c>
      <c r="B26" s="144" t="s">
        <v>131</v>
      </c>
      <c r="C26" s="144" t="s">
        <v>230</v>
      </c>
      <c r="D26" s="144" t="s">
        <v>141</v>
      </c>
      <c r="E26" s="144" t="s">
        <v>142</v>
      </c>
      <c r="F26" s="144" t="s">
        <v>137</v>
      </c>
      <c r="G26" s="144" t="s">
        <v>136</v>
      </c>
      <c r="H26" s="199"/>
      <c r="I26" s="53"/>
      <c r="J26" s="53"/>
      <c r="K26" s="53"/>
      <c r="L26" s="53"/>
      <c r="M26" s="53"/>
      <c r="N26" s="53"/>
      <c r="O26" s="53"/>
      <c r="P26" s="53"/>
      <c r="Q26" s="53"/>
      <c r="R26" s="53"/>
      <c r="S26" s="53"/>
    </row>
    <row r="27" spans="1:21" x14ac:dyDescent="0.2">
      <c r="A27" s="159" t="s">
        <v>5</v>
      </c>
      <c r="B27" s="145">
        <v>135236</v>
      </c>
      <c r="C27" s="145">
        <v>448</v>
      </c>
      <c r="D27" s="145">
        <v>448</v>
      </c>
      <c r="E27" s="145">
        <f>MIN(C27:D27)</f>
        <v>448</v>
      </c>
      <c r="F27" s="145">
        <f>B27+E27</f>
        <v>135684</v>
      </c>
      <c r="G27" s="145">
        <v>0</v>
      </c>
      <c r="H27" s="68"/>
      <c r="I27" s="53"/>
      <c r="J27" s="53"/>
      <c r="K27" s="53"/>
      <c r="L27" s="53"/>
      <c r="M27" s="53"/>
      <c r="N27" s="53"/>
      <c r="O27" s="53"/>
      <c r="P27" s="53"/>
      <c r="Q27" s="53"/>
      <c r="R27" s="53"/>
      <c r="S27" s="53"/>
    </row>
    <row r="28" spans="1:21" x14ac:dyDescent="0.2">
      <c r="A28" s="159" t="s">
        <v>27</v>
      </c>
      <c r="B28" s="145">
        <v>51270.7</v>
      </c>
      <c r="C28" s="145">
        <v>125.3</v>
      </c>
      <c r="D28" s="145">
        <v>32.5</v>
      </c>
      <c r="E28" s="145">
        <f t="shared" ref="E28:E41" si="1">MIN(C28:D28)</f>
        <v>32.5</v>
      </c>
      <c r="F28" s="145">
        <f>B28+E28</f>
        <v>51303.199999999997</v>
      </c>
      <c r="G28" s="145">
        <v>0</v>
      </c>
      <c r="H28" s="37"/>
      <c r="I28" s="53"/>
      <c r="J28" s="53"/>
      <c r="K28" s="53"/>
      <c r="L28" s="53"/>
      <c r="M28" s="53"/>
      <c r="N28" s="53"/>
      <c r="O28" s="53"/>
      <c r="P28" s="53"/>
      <c r="Q28" s="53"/>
      <c r="R28" s="53"/>
      <c r="S28" s="53"/>
    </row>
    <row r="29" spans="1:21" x14ac:dyDescent="0.2">
      <c r="A29" s="159" t="s">
        <v>32</v>
      </c>
      <c r="B29" s="145">
        <v>24373.3</v>
      </c>
      <c r="C29" s="145">
        <v>84.8</v>
      </c>
      <c r="D29" s="145">
        <v>0</v>
      </c>
      <c r="E29" s="145">
        <f t="shared" si="1"/>
        <v>0</v>
      </c>
      <c r="F29" s="145">
        <f>B29+E29</f>
        <v>24373.3</v>
      </c>
      <c r="G29" s="145">
        <v>0</v>
      </c>
      <c r="H29" s="24"/>
      <c r="I29" s="53"/>
      <c r="J29" s="53"/>
      <c r="K29" s="53"/>
      <c r="L29" s="53"/>
      <c r="M29" s="53"/>
      <c r="N29" s="53"/>
      <c r="O29" s="53"/>
      <c r="P29" s="53"/>
      <c r="Q29" s="53"/>
      <c r="R29" s="53"/>
      <c r="S29" s="53"/>
    </row>
    <row r="30" spans="1:21" x14ac:dyDescent="0.2">
      <c r="A30" s="159" t="s">
        <v>4</v>
      </c>
      <c r="B30" s="145">
        <v>5060.8</v>
      </c>
      <c r="C30" s="145">
        <v>28.3</v>
      </c>
      <c r="D30" s="145">
        <v>0</v>
      </c>
      <c r="E30" s="145">
        <f t="shared" si="1"/>
        <v>0</v>
      </c>
      <c r="F30" s="145">
        <f>B30+E30</f>
        <v>5060.8</v>
      </c>
      <c r="G30" s="145">
        <v>0</v>
      </c>
      <c r="H30" s="37"/>
      <c r="I30" s="53"/>
      <c r="J30" s="53"/>
      <c r="K30" s="53"/>
      <c r="L30" s="53"/>
      <c r="M30" s="53"/>
      <c r="N30" s="53"/>
      <c r="O30" s="53"/>
      <c r="P30" s="53"/>
      <c r="Q30" s="53"/>
      <c r="R30" s="53"/>
      <c r="S30" s="53"/>
    </row>
    <row r="31" spans="1:21" x14ac:dyDescent="0.2">
      <c r="A31" s="159" t="s">
        <v>7</v>
      </c>
      <c r="B31" s="145">
        <v>4390.3</v>
      </c>
      <c r="C31" s="145">
        <v>47.8</v>
      </c>
      <c r="D31" s="145">
        <v>0</v>
      </c>
      <c r="E31" s="145">
        <f t="shared" si="1"/>
        <v>0</v>
      </c>
      <c r="F31" s="145">
        <f>B31+E31</f>
        <v>4390.3</v>
      </c>
      <c r="G31" s="145">
        <v>0</v>
      </c>
      <c r="H31" s="24"/>
      <c r="I31" s="53"/>
      <c r="J31" s="53"/>
      <c r="K31" s="53"/>
      <c r="L31" s="53"/>
      <c r="M31" s="53"/>
      <c r="N31" s="53"/>
      <c r="O31" s="53"/>
      <c r="P31" s="53"/>
      <c r="Q31" s="53"/>
      <c r="R31" s="53"/>
      <c r="S31" s="53"/>
    </row>
    <row r="32" spans="1:21" x14ac:dyDescent="0.2">
      <c r="A32" s="159" t="s">
        <v>33</v>
      </c>
      <c r="B32" s="145">
        <v>2507.4</v>
      </c>
      <c r="C32" s="145">
        <v>25.2</v>
      </c>
      <c r="D32" s="145">
        <v>0</v>
      </c>
      <c r="E32" s="145">
        <f t="shared" si="1"/>
        <v>0</v>
      </c>
      <c r="F32" s="145">
        <f t="shared" ref="F32:F40" si="2">B32+E32</f>
        <v>2507.4</v>
      </c>
      <c r="G32" s="145">
        <v>0</v>
      </c>
      <c r="H32" s="24"/>
      <c r="I32" s="53"/>
      <c r="J32" s="53"/>
      <c r="K32" s="53"/>
      <c r="L32" s="53"/>
      <c r="M32" s="53"/>
      <c r="N32" s="53"/>
      <c r="O32" s="53"/>
      <c r="P32" s="53"/>
      <c r="Q32" s="53"/>
      <c r="R32" s="53"/>
      <c r="S32" s="53"/>
    </row>
    <row r="33" spans="1:19" x14ac:dyDescent="0.2">
      <c r="A33" s="159" t="s">
        <v>34</v>
      </c>
      <c r="B33" s="145">
        <v>956.9</v>
      </c>
      <c r="C33" s="145">
        <v>3.5</v>
      </c>
      <c r="D33" s="145">
        <v>0</v>
      </c>
      <c r="E33" s="145">
        <f t="shared" si="1"/>
        <v>0</v>
      </c>
      <c r="F33" s="145">
        <f t="shared" si="2"/>
        <v>956.9</v>
      </c>
      <c r="G33" s="145">
        <v>0</v>
      </c>
      <c r="H33" s="16"/>
      <c r="I33" s="53"/>
      <c r="J33" s="53"/>
      <c r="K33" s="53"/>
      <c r="L33" s="53"/>
      <c r="M33" s="53"/>
      <c r="N33" s="53"/>
      <c r="O33" s="53"/>
      <c r="P33" s="53"/>
      <c r="Q33" s="53"/>
      <c r="R33" s="53"/>
      <c r="S33" s="53"/>
    </row>
    <row r="34" spans="1:19" x14ac:dyDescent="0.2">
      <c r="A34" s="15" t="s">
        <v>14</v>
      </c>
      <c r="B34" s="145">
        <v>2263.1999999999998</v>
      </c>
      <c r="C34" s="145">
        <v>22.3</v>
      </c>
      <c r="D34" s="145">
        <v>0</v>
      </c>
      <c r="E34" s="145">
        <f t="shared" si="1"/>
        <v>0</v>
      </c>
      <c r="F34" s="145">
        <f t="shared" si="2"/>
        <v>2263.1999999999998</v>
      </c>
      <c r="G34" s="145">
        <v>0</v>
      </c>
      <c r="H34" s="37"/>
      <c r="I34" s="53"/>
      <c r="J34" s="53"/>
      <c r="K34" s="53"/>
      <c r="L34" s="53"/>
      <c r="M34" s="53"/>
      <c r="N34" s="53"/>
      <c r="O34" s="53"/>
      <c r="P34" s="53"/>
      <c r="Q34" s="53"/>
      <c r="R34" s="53"/>
      <c r="S34" s="53"/>
    </row>
    <row r="35" spans="1:19" x14ac:dyDescent="0.2">
      <c r="A35" s="15" t="s">
        <v>42</v>
      </c>
      <c r="B35" s="145">
        <v>7764.9</v>
      </c>
      <c r="C35" s="145">
        <v>27</v>
      </c>
      <c r="D35" s="145">
        <v>0</v>
      </c>
      <c r="E35" s="145">
        <f t="shared" si="1"/>
        <v>0</v>
      </c>
      <c r="F35" s="145">
        <f t="shared" si="2"/>
        <v>7764.9</v>
      </c>
      <c r="G35" s="145">
        <v>0</v>
      </c>
      <c r="H35" s="24"/>
      <c r="I35" s="53"/>
      <c r="J35" s="53"/>
      <c r="K35" s="53"/>
      <c r="L35" s="53"/>
      <c r="M35" s="53"/>
      <c r="N35" s="53"/>
      <c r="O35" s="53"/>
      <c r="P35" s="53"/>
      <c r="Q35" s="53"/>
      <c r="R35" s="53"/>
      <c r="S35" s="53"/>
    </row>
    <row r="36" spans="1:19" x14ac:dyDescent="0.2">
      <c r="A36" s="15" t="s">
        <v>96</v>
      </c>
      <c r="B36" s="145">
        <v>1614</v>
      </c>
      <c r="C36" s="145">
        <v>1.5</v>
      </c>
      <c r="D36" s="145">
        <v>0</v>
      </c>
      <c r="E36" s="145">
        <f t="shared" si="1"/>
        <v>0</v>
      </c>
      <c r="F36" s="145">
        <f t="shared" si="2"/>
        <v>1614</v>
      </c>
      <c r="G36" s="145">
        <v>0</v>
      </c>
      <c r="H36" s="24"/>
      <c r="I36" s="53"/>
      <c r="J36" s="53"/>
      <c r="K36" s="53"/>
      <c r="L36" s="53"/>
      <c r="M36" s="53"/>
      <c r="N36" s="53"/>
      <c r="O36" s="53"/>
      <c r="P36" s="53"/>
      <c r="Q36" s="53"/>
      <c r="R36" s="53"/>
      <c r="S36" s="53"/>
    </row>
    <row r="37" spans="1:19" x14ac:dyDescent="0.2">
      <c r="A37" s="15" t="s">
        <v>19</v>
      </c>
      <c r="B37" s="145">
        <v>21610.2</v>
      </c>
      <c r="C37" s="145">
        <v>204.2</v>
      </c>
      <c r="D37" s="145">
        <v>203.7</v>
      </c>
      <c r="E37" s="145">
        <f t="shared" si="1"/>
        <v>203.7</v>
      </c>
      <c r="F37" s="145">
        <f t="shared" si="2"/>
        <v>21813.9</v>
      </c>
      <c r="G37" s="145">
        <v>0</v>
      </c>
      <c r="H37" s="24"/>
      <c r="I37" s="53"/>
      <c r="J37" s="53"/>
      <c r="K37" s="53"/>
      <c r="L37" s="53"/>
      <c r="M37" s="53"/>
      <c r="N37" s="53"/>
      <c r="O37" s="53"/>
      <c r="P37" s="53"/>
      <c r="Q37" s="53"/>
      <c r="R37" s="53"/>
      <c r="S37" s="53"/>
    </row>
    <row r="38" spans="1:19" x14ac:dyDescent="0.2">
      <c r="A38" s="15" t="s">
        <v>10</v>
      </c>
      <c r="B38" s="145">
        <v>606.9</v>
      </c>
      <c r="C38" s="145">
        <v>6</v>
      </c>
      <c r="D38" s="145">
        <v>0</v>
      </c>
      <c r="E38" s="145">
        <f t="shared" si="1"/>
        <v>0</v>
      </c>
      <c r="F38" s="145">
        <f t="shared" si="2"/>
        <v>606.9</v>
      </c>
      <c r="G38" s="145">
        <v>0</v>
      </c>
      <c r="H38" s="24"/>
      <c r="I38" s="53"/>
      <c r="J38" s="53"/>
      <c r="K38" s="53"/>
      <c r="L38" s="53"/>
      <c r="M38" s="53"/>
      <c r="N38" s="53"/>
      <c r="O38" s="53"/>
      <c r="P38" s="53"/>
      <c r="Q38" s="53"/>
      <c r="R38" s="53"/>
      <c r="S38" s="53"/>
    </row>
    <row r="39" spans="1:19" x14ac:dyDescent="0.2">
      <c r="A39" s="15" t="s">
        <v>9</v>
      </c>
      <c r="B39" s="145">
        <v>8750.5</v>
      </c>
      <c r="C39" s="145">
        <v>7.1</v>
      </c>
      <c r="D39" s="145">
        <v>7.9</v>
      </c>
      <c r="E39" s="145">
        <f t="shared" si="1"/>
        <v>7.1</v>
      </c>
      <c r="F39" s="145">
        <f t="shared" si="2"/>
        <v>8757.6</v>
      </c>
      <c r="G39" s="145">
        <v>0</v>
      </c>
      <c r="H39" s="24"/>
      <c r="I39" s="53"/>
      <c r="J39" s="53"/>
      <c r="K39" s="53"/>
      <c r="L39" s="53"/>
      <c r="M39" s="53"/>
      <c r="N39" s="53"/>
      <c r="O39" s="53"/>
      <c r="P39" s="53"/>
      <c r="Q39" s="53"/>
      <c r="R39" s="53"/>
      <c r="S39" s="53"/>
    </row>
    <row r="40" spans="1:19" x14ac:dyDescent="0.2">
      <c r="A40" s="15" t="s">
        <v>20</v>
      </c>
      <c r="B40" s="145">
        <v>488.6</v>
      </c>
      <c r="C40" s="145">
        <v>4.5</v>
      </c>
      <c r="D40" s="145">
        <v>0</v>
      </c>
      <c r="E40" s="185">
        <f t="shared" si="1"/>
        <v>0</v>
      </c>
      <c r="F40" s="185">
        <f t="shared" si="2"/>
        <v>488.6</v>
      </c>
      <c r="G40" s="145">
        <v>0</v>
      </c>
      <c r="H40" s="24"/>
      <c r="I40" s="53"/>
      <c r="J40" s="53"/>
      <c r="K40" s="53"/>
      <c r="L40" s="53"/>
      <c r="M40" s="53"/>
      <c r="N40" s="53"/>
      <c r="O40" s="53"/>
      <c r="P40" s="53"/>
      <c r="Q40" s="53"/>
      <c r="R40" s="53"/>
      <c r="S40" s="53"/>
    </row>
    <row r="41" spans="1:19" x14ac:dyDescent="0.2">
      <c r="A41" s="15" t="s">
        <v>49</v>
      </c>
      <c r="B41" s="145">
        <v>1633.8</v>
      </c>
      <c r="C41" s="145">
        <v>5.7</v>
      </c>
      <c r="D41" s="145">
        <v>0</v>
      </c>
      <c r="E41" s="185">
        <f t="shared" si="1"/>
        <v>0</v>
      </c>
      <c r="F41" s="185">
        <f>B41+E41</f>
        <v>1633.8</v>
      </c>
      <c r="G41" s="145">
        <v>0</v>
      </c>
      <c r="H41" s="24"/>
      <c r="I41" s="53"/>
      <c r="J41" s="53"/>
      <c r="K41" s="53"/>
      <c r="L41" s="53"/>
      <c r="M41" s="53"/>
      <c r="N41" s="53"/>
      <c r="O41" s="53"/>
      <c r="P41" s="53"/>
      <c r="Q41" s="53"/>
      <c r="R41" s="53"/>
      <c r="S41" s="53"/>
    </row>
    <row r="42" spans="1:19" x14ac:dyDescent="0.2">
      <c r="A42" s="371" t="s">
        <v>29</v>
      </c>
      <c r="B42" s="365">
        <v>20003.400000000001</v>
      </c>
      <c r="C42" s="365">
        <v>46.2</v>
      </c>
      <c r="D42" s="365">
        <v>47.5</v>
      </c>
      <c r="E42" s="364">
        <f t="shared" ref="E42" si="3">MIN(C42:D42)</f>
        <v>46.2</v>
      </c>
      <c r="F42" s="364">
        <f>B42+E42</f>
        <v>20049.600000000002</v>
      </c>
      <c r="G42" s="365">
        <v>0</v>
      </c>
      <c r="H42" s="24"/>
      <c r="I42" s="53"/>
      <c r="J42" s="53"/>
      <c r="K42" s="53"/>
      <c r="L42" s="53"/>
      <c r="M42" s="53"/>
      <c r="N42" s="53"/>
      <c r="O42" s="53"/>
      <c r="P42" s="53"/>
      <c r="Q42" s="53"/>
      <c r="R42" s="53"/>
      <c r="S42" s="53"/>
    </row>
    <row r="43" spans="1:19" x14ac:dyDescent="0.2">
      <c r="A43" s="184" t="s">
        <v>152</v>
      </c>
      <c r="B43" s="184"/>
      <c r="C43" s="184"/>
      <c r="D43" s="184"/>
      <c r="E43" s="184"/>
      <c r="F43" s="184"/>
      <c r="G43" s="184"/>
      <c r="H43" s="102"/>
      <c r="I43" s="102"/>
      <c r="J43" s="68"/>
      <c r="K43" s="204"/>
    </row>
    <row r="44" spans="1:19" x14ac:dyDescent="0.2">
      <c r="A44" s="16"/>
      <c r="B44" s="26"/>
      <c r="C44" s="26"/>
      <c r="D44" s="26"/>
      <c r="E44" s="26"/>
      <c r="F44" s="31"/>
      <c r="G44" s="52"/>
      <c r="H44" s="53"/>
      <c r="I44" s="53"/>
      <c r="J44" s="556"/>
      <c r="K44" s="556"/>
      <c r="L44" s="341"/>
    </row>
    <row r="45" spans="1:19" ht="15.75" x14ac:dyDescent="0.25">
      <c r="A45" s="557" t="s">
        <v>50</v>
      </c>
      <c r="B45" s="558"/>
      <c r="C45" s="202" t="s">
        <v>23</v>
      </c>
      <c r="D45" s="202"/>
      <c r="E45" s="202"/>
      <c r="F45" s="190"/>
      <c r="G45" s="205" t="s">
        <v>23</v>
      </c>
      <c r="H45" s="53"/>
      <c r="I45" s="53"/>
      <c r="J45" s="296"/>
      <c r="K45" s="296"/>
      <c r="L45" s="341"/>
    </row>
    <row r="46" spans="1:19" ht="60" customHeight="1" x14ac:dyDescent="0.2">
      <c r="A46" s="160" t="s">
        <v>2</v>
      </c>
      <c r="B46" s="216" t="s">
        <v>131</v>
      </c>
      <c r="C46" s="144" t="s">
        <v>142</v>
      </c>
      <c r="D46" s="144" t="s">
        <v>137</v>
      </c>
      <c r="E46" s="160" t="s">
        <v>143</v>
      </c>
      <c r="F46" s="199"/>
      <c r="G46" s="199"/>
      <c r="H46" s="199"/>
      <c r="I46" s="199"/>
      <c r="J46" s="199"/>
    </row>
    <row r="47" spans="1:19" x14ac:dyDescent="0.2">
      <c r="A47" s="159" t="s">
        <v>43</v>
      </c>
      <c r="B47" s="217">
        <f>B27-B28-B35-B37-B40-B41-B42</f>
        <v>32464.400000000009</v>
      </c>
      <c r="C47" s="39">
        <f>E27-E28-E35-E37-E40-E41-E42</f>
        <v>165.60000000000002</v>
      </c>
      <c r="D47" s="40">
        <f t="shared" ref="D47:D61" si="4">B47+C47</f>
        <v>32630.000000000007</v>
      </c>
      <c r="E47" s="206">
        <f>D47*D5</f>
        <v>8807489.6000000034</v>
      </c>
      <c r="F47" s="46"/>
      <c r="G47" s="208"/>
      <c r="H47" s="208"/>
      <c r="I47" s="208"/>
      <c r="J47" s="28"/>
      <c r="K47" s="344" t="s">
        <v>23</v>
      </c>
    </row>
    <row r="48" spans="1:19" x14ac:dyDescent="0.2">
      <c r="A48" s="159" t="s">
        <v>46</v>
      </c>
      <c r="B48" s="217">
        <f>B28-B29-B30-B39</f>
        <v>13086.099999999999</v>
      </c>
      <c r="C48" s="39">
        <f>E28-E29-E30-E39</f>
        <v>25.4</v>
      </c>
      <c r="D48" s="40">
        <f t="shared" si="4"/>
        <v>13111.499999999998</v>
      </c>
      <c r="E48" s="206">
        <f t="shared" ref="E48:E62" si="5">D48*D6</f>
        <v>3539056.0799999996</v>
      </c>
      <c r="F48" s="46" t="s">
        <v>23</v>
      </c>
      <c r="G48" s="208"/>
      <c r="H48" s="208"/>
      <c r="I48" s="208"/>
      <c r="J48" s="28"/>
      <c r="K48" s="344" t="s">
        <v>23</v>
      </c>
    </row>
    <row r="49" spans="1:13" x14ac:dyDescent="0.2">
      <c r="A49" s="159" t="s">
        <v>45</v>
      </c>
      <c r="B49" s="217">
        <f>B29-B31-B33</f>
        <v>19026.099999999999</v>
      </c>
      <c r="C49" s="39">
        <f>E29-E31-E33</f>
        <v>0</v>
      </c>
      <c r="D49" s="40">
        <f t="shared" si="4"/>
        <v>19026.099999999999</v>
      </c>
      <c r="E49" s="206">
        <f t="shared" si="5"/>
        <v>5135524.9119999995</v>
      </c>
      <c r="F49" s="46" t="s">
        <v>23</v>
      </c>
      <c r="G49" s="208"/>
      <c r="H49" s="208"/>
      <c r="I49" s="208"/>
      <c r="J49" s="28"/>
      <c r="K49" s="344" t="s">
        <v>23</v>
      </c>
    </row>
    <row r="50" spans="1:13" x14ac:dyDescent="0.2">
      <c r="A50" s="159" t="s">
        <v>44</v>
      </c>
      <c r="B50" s="217">
        <f>B30-B34-B38</f>
        <v>2190.7000000000003</v>
      </c>
      <c r="C50" s="39">
        <f>E30-E34-E38</f>
        <v>0</v>
      </c>
      <c r="D50" s="40">
        <f t="shared" si="4"/>
        <v>2190.7000000000003</v>
      </c>
      <c r="E50" s="206">
        <f t="shared" si="5"/>
        <v>591313.74400000006</v>
      </c>
      <c r="F50" s="46"/>
      <c r="G50" s="208"/>
      <c r="H50" s="208"/>
      <c r="I50" s="208"/>
      <c r="J50" s="28"/>
      <c r="K50" s="344" t="s">
        <v>23</v>
      </c>
    </row>
    <row r="51" spans="1:13" x14ac:dyDescent="0.2">
      <c r="A51" s="159" t="s">
        <v>36</v>
      </c>
      <c r="B51" s="217">
        <f>B31-B32</f>
        <v>1882.9</v>
      </c>
      <c r="C51" s="39">
        <f>E31-E32</f>
        <v>0</v>
      </c>
      <c r="D51" s="40">
        <f t="shared" si="4"/>
        <v>1882.9</v>
      </c>
      <c r="E51" s="206">
        <f t="shared" si="5"/>
        <v>508232.36800000007</v>
      </c>
      <c r="F51" s="46"/>
      <c r="G51" s="208"/>
      <c r="H51" s="208"/>
      <c r="I51" s="208"/>
      <c r="J51" s="28"/>
      <c r="K51" s="344" t="s">
        <v>23</v>
      </c>
    </row>
    <row r="52" spans="1:13" x14ac:dyDescent="0.2">
      <c r="A52" s="159" t="s">
        <v>33</v>
      </c>
      <c r="B52" s="217">
        <f>B32</f>
        <v>2507.4</v>
      </c>
      <c r="C52" s="39">
        <f>E32</f>
        <v>0</v>
      </c>
      <c r="D52" s="40">
        <f t="shared" si="4"/>
        <v>2507.4</v>
      </c>
      <c r="E52" s="206">
        <f t="shared" si="5"/>
        <v>676797.40800000005</v>
      </c>
      <c r="F52" s="46"/>
      <c r="G52" s="208"/>
      <c r="H52" s="208"/>
      <c r="I52" s="208"/>
      <c r="J52" s="28"/>
      <c r="K52" s="344" t="s">
        <v>23</v>
      </c>
    </row>
    <row r="53" spans="1:13" x14ac:dyDescent="0.2">
      <c r="A53" s="159" t="s">
        <v>34</v>
      </c>
      <c r="B53" s="217">
        <f>B33</f>
        <v>956.9</v>
      </c>
      <c r="C53" s="39">
        <f>E33</f>
        <v>0</v>
      </c>
      <c r="D53" s="40">
        <f t="shared" si="4"/>
        <v>956.9</v>
      </c>
      <c r="E53" s="206">
        <f t="shared" si="5"/>
        <v>258286.448</v>
      </c>
      <c r="F53" s="208"/>
      <c r="G53" s="208"/>
      <c r="H53" s="208"/>
      <c r="I53" s="208"/>
      <c r="J53" s="28"/>
      <c r="K53" s="344" t="s">
        <v>23</v>
      </c>
    </row>
    <row r="54" spans="1:13" x14ac:dyDescent="0.2">
      <c r="A54" s="159" t="s">
        <v>14</v>
      </c>
      <c r="B54" s="217">
        <f>B34</f>
        <v>2263.1999999999998</v>
      </c>
      <c r="C54" s="39">
        <f>E34</f>
        <v>0</v>
      </c>
      <c r="D54" s="40">
        <f t="shared" si="4"/>
        <v>2263.1999999999998</v>
      </c>
      <c r="E54" s="206">
        <f t="shared" si="5"/>
        <v>610882.94400000002</v>
      </c>
      <c r="F54" s="46"/>
      <c r="G54" s="208"/>
      <c r="H54" s="208"/>
      <c r="I54" s="208"/>
      <c r="J54" s="28"/>
      <c r="K54" s="344" t="s">
        <v>23</v>
      </c>
    </row>
    <row r="55" spans="1:13" x14ac:dyDescent="0.2">
      <c r="A55" s="159" t="s">
        <v>97</v>
      </c>
      <c r="B55" s="217">
        <f>B35-B36</f>
        <v>6150.9</v>
      </c>
      <c r="C55" s="39">
        <f>E35-E36</f>
        <v>0</v>
      </c>
      <c r="D55" s="40">
        <f t="shared" si="4"/>
        <v>6150.9</v>
      </c>
      <c r="E55" s="206">
        <f t="shared" si="5"/>
        <v>1660250.9280000001</v>
      </c>
      <c r="F55" s="46"/>
      <c r="G55" s="208"/>
      <c r="H55" s="208"/>
      <c r="I55" s="208"/>
      <c r="J55" s="28"/>
      <c r="K55" s="344" t="s">
        <v>23</v>
      </c>
    </row>
    <row r="56" spans="1:13" x14ac:dyDescent="0.2">
      <c r="A56" s="15" t="s">
        <v>96</v>
      </c>
      <c r="B56" s="217">
        <f t="shared" ref="B56:B62" si="6">B36</f>
        <v>1614</v>
      </c>
      <c r="C56" s="39">
        <f t="shared" ref="C56:C62" si="7">E36</f>
        <v>0</v>
      </c>
      <c r="D56" s="40">
        <f t="shared" si="4"/>
        <v>1614</v>
      </c>
      <c r="E56" s="206">
        <f t="shared" si="5"/>
        <v>435650.88</v>
      </c>
      <c r="F56" s="46"/>
      <c r="G56" s="208" t="s">
        <v>23</v>
      </c>
      <c r="H56" s="208"/>
      <c r="I56" s="208"/>
      <c r="J56" s="28"/>
      <c r="K56" s="344" t="s">
        <v>23</v>
      </c>
    </row>
    <row r="57" spans="1:13" x14ac:dyDescent="0.2">
      <c r="A57" s="15" t="s">
        <v>19</v>
      </c>
      <c r="B57" s="217">
        <f t="shared" si="6"/>
        <v>21610.2</v>
      </c>
      <c r="C57" s="39">
        <f t="shared" si="7"/>
        <v>203.7</v>
      </c>
      <c r="D57" s="40">
        <f t="shared" si="4"/>
        <v>21813.9</v>
      </c>
      <c r="E57" s="206">
        <f t="shared" si="5"/>
        <v>5888007.8880000012</v>
      </c>
      <c r="F57" s="46"/>
      <c r="G57" s="208"/>
      <c r="H57" s="208"/>
      <c r="I57" s="208"/>
      <c r="J57" s="28"/>
      <c r="K57" s="344" t="s">
        <v>23</v>
      </c>
    </row>
    <row r="58" spans="1:13" x14ac:dyDescent="0.2">
      <c r="A58" s="15" t="s">
        <v>10</v>
      </c>
      <c r="B58" s="217">
        <f t="shared" si="6"/>
        <v>606.9</v>
      </c>
      <c r="C58" s="39">
        <f t="shared" si="7"/>
        <v>0</v>
      </c>
      <c r="D58" s="40">
        <f t="shared" si="4"/>
        <v>606.9</v>
      </c>
      <c r="E58" s="206">
        <f t="shared" si="5"/>
        <v>283027.815</v>
      </c>
      <c r="F58" s="46"/>
      <c r="G58" s="208"/>
      <c r="H58" s="208"/>
      <c r="I58" s="208"/>
      <c r="J58" s="28"/>
      <c r="K58" s="344" t="s">
        <v>23</v>
      </c>
    </row>
    <row r="59" spans="1:13" x14ac:dyDescent="0.2">
      <c r="A59" s="15" t="s">
        <v>9</v>
      </c>
      <c r="B59" s="217">
        <f t="shared" si="6"/>
        <v>8750.5</v>
      </c>
      <c r="C59" s="39">
        <f t="shared" si="7"/>
        <v>7.1</v>
      </c>
      <c r="D59" s="40">
        <f t="shared" si="4"/>
        <v>8757.6</v>
      </c>
      <c r="E59" s="206">
        <f t="shared" si="5"/>
        <v>2363851.3920000005</v>
      </c>
      <c r="F59" s="46"/>
      <c r="G59" s="208"/>
      <c r="H59" s="208"/>
      <c r="I59" s="208"/>
      <c r="J59" s="28"/>
      <c r="K59" s="344" t="s">
        <v>23</v>
      </c>
    </row>
    <row r="60" spans="1:13" x14ac:dyDescent="0.2">
      <c r="A60" s="15" t="s">
        <v>20</v>
      </c>
      <c r="B60" s="217">
        <f t="shared" si="6"/>
        <v>488.6</v>
      </c>
      <c r="C60" s="39">
        <f t="shared" si="7"/>
        <v>0</v>
      </c>
      <c r="D60" s="40">
        <f t="shared" si="4"/>
        <v>488.6</v>
      </c>
      <c r="E60" s="206">
        <f t="shared" si="5"/>
        <v>131882.91200000001</v>
      </c>
      <c r="F60" s="46"/>
      <c r="G60" s="208"/>
      <c r="H60" s="208"/>
      <c r="I60" s="208"/>
      <c r="J60" s="28"/>
      <c r="K60" s="344" t="s">
        <v>23</v>
      </c>
    </row>
    <row r="61" spans="1:13" x14ac:dyDescent="0.2">
      <c r="A61" s="15" t="s">
        <v>49</v>
      </c>
      <c r="B61" s="217">
        <f t="shared" si="6"/>
        <v>1633.8</v>
      </c>
      <c r="C61" s="39">
        <f t="shared" si="7"/>
        <v>0</v>
      </c>
      <c r="D61" s="40">
        <f t="shared" si="4"/>
        <v>1633.8</v>
      </c>
      <c r="E61" s="206">
        <f t="shared" si="5"/>
        <v>440995.29600000003</v>
      </c>
      <c r="F61" s="46"/>
      <c r="G61" s="208"/>
      <c r="H61" s="208"/>
      <c r="I61" s="208"/>
      <c r="J61" s="28"/>
      <c r="K61" s="344" t="s">
        <v>23</v>
      </c>
    </row>
    <row r="62" spans="1:13" x14ac:dyDescent="0.2">
      <c r="A62" s="15" t="s">
        <v>29</v>
      </c>
      <c r="B62" s="217">
        <f t="shared" si="6"/>
        <v>20003.400000000001</v>
      </c>
      <c r="C62" s="39">
        <f t="shared" si="7"/>
        <v>46.2</v>
      </c>
      <c r="D62" s="40">
        <f t="shared" ref="D62" si="8">B62+C62</f>
        <v>20049.600000000002</v>
      </c>
      <c r="E62" s="206">
        <f t="shared" si="5"/>
        <v>8907235.2960000001</v>
      </c>
      <c r="F62" s="46"/>
      <c r="G62" s="208"/>
      <c r="H62" s="208"/>
      <c r="I62" s="208"/>
      <c r="J62" s="28"/>
      <c r="K62" s="344"/>
    </row>
    <row r="63" spans="1:13" x14ac:dyDescent="0.2">
      <c r="A63" s="189" t="s">
        <v>47</v>
      </c>
      <c r="B63" s="218">
        <f>SUM(B47:B62)</f>
        <v>135235.99999999997</v>
      </c>
      <c r="C63" s="45">
        <f>SUM(C47:C62)</f>
        <v>448.00000000000006</v>
      </c>
      <c r="D63" s="45">
        <f>SUM(D47:D62)</f>
        <v>135683.99999999997</v>
      </c>
      <c r="E63" s="207">
        <f>SUM(E47:E62)</f>
        <v>40238485.910999998</v>
      </c>
      <c r="F63" s="192"/>
      <c r="G63" s="53" t="s">
        <v>23</v>
      </c>
      <c r="H63" s="53"/>
      <c r="I63" s="53"/>
      <c r="J63" s="209"/>
      <c r="K63" s="344" t="s">
        <v>23</v>
      </c>
      <c r="L63" s="344" t="s">
        <v>23</v>
      </c>
    </row>
    <row r="64" spans="1:13" x14ac:dyDescent="0.2">
      <c r="A64" s="191"/>
      <c r="B64" s="192"/>
      <c r="C64" s="192"/>
      <c r="D64" s="192" t="s">
        <v>23</v>
      </c>
      <c r="E64" s="192"/>
      <c r="F64" s="192"/>
      <c r="G64" s="192"/>
      <c r="H64" s="53"/>
      <c r="I64" s="53"/>
      <c r="J64" s="53"/>
      <c r="K64" s="32"/>
      <c r="L64" s="32"/>
      <c r="M64" s="32"/>
    </row>
    <row r="65" spans="1:9" x14ac:dyDescent="0.2">
      <c r="A65" s="24"/>
      <c r="B65" s="46"/>
      <c r="C65" s="46"/>
      <c r="D65" s="559"/>
      <c r="E65" s="559"/>
      <c r="F65" s="29" t="s">
        <v>23</v>
      </c>
      <c r="G65" s="28"/>
      <c r="H65" s="46"/>
    </row>
    <row r="66" spans="1:9" ht="15.75" x14ac:dyDescent="0.25">
      <c r="A66" s="560" t="s">
        <v>106</v>
      </c>
      <c r="B66" s="561"/>
      <c r="C66" s="26"/>
      <c r="D66" s="345"/>
      <c r="E66" s="296" t="s">
        <v>23</v>
      </c>
      <c r="F66" s="28"/>
    </row>
    <row r="67" spans="1:9" ht="60" customHeight="1" x14ac:dyDescent="0.2">
      <c r="A67" s="160" t="s">
        <v>2</v>
      </c>
      <c r="B67" s="144" t="s">
        <v>132</v>
      </c>
      <c r="C67" s="161" t="s">
        <v>133</v>
      </c>
      <c r="D67" s="161" t="s">
        <v>134</v>
      </c>
      <c r="E67" s="161" t="s">
        <v>135</v>
      </c>
      <c r="F67" s="162" t="s">
        <v>110</v>
      </c>
      <c r="G67" s="160" t="s">
        <v>138</v>
      </c>
      <c r="H67" s="215" t="s">
        <v>23</v>
      </c>
      <c r="I67" s="341"/>
    </row>
    <row r="68" spans="1:9" x14ac:dyDescent="0.2">
      <c r="A68" s="159" t="s">
        <v>43</v>
      </c>
      <c r="B68" s="39">
        <f>G27-G28-G35-G37-G40-G41-G42</f>
        <v>0</v>
      </c>
      <c r="C68" s="23">
        <f t="shared" ref="C68:C71" si="9">B68*D5</f>
        <v>0</v>
      </c>
      <c r="D68" s="23">
        <v>0</v>
      </c>
      <c r="E68" s="27">
        <v>0</v>
      </c>
      <c r="F68" s="23">
        <v>0</v>
      </c>
      <c r="G68" s="41">
        <v>0</v>
      </c>
      <c r="H68" s="11" t="s">
        <v>23</v>
      </c>
    </row>
    <row r="69" spans="1:9" x14ac:dyDescent="0.2">
      <c r="A69" s="159" t="s">
        <v>46</v>
      </c>
      <c r="B69" s="39">
        <f>G28-G29-G30-G39</f>
        <v>0</v>
      </c>
      <c r="C69" s="23">
        <f t="shared" si="9"/>
        <v>0</v>
      </c>
      <c r="D69" s="23">
        <v>0</v>
      </c>
      <c r="E69" s="27">
        <v>0</v>
      </c>
      <c r="F69" s="23">
        <v>0</v>
      </c>
      <c r="G69" s="41">
        <v>0</v>
      </c>
    </row>
    <row r="70" spans="1:9" x14ac:dyDescent="0.2">
      <c r="A70" s="159" t="s">
        <v>45</v>
      </c>
      <c r="B70" s="39">
        <f>G29-G31-G33</f>
        <v>0</v>
      </c>
      <c r="C70" s="23">
        <f t="shared" si="9"/>
        <v>0</v>
      </c>
      <c r="D70" s="23">
        <v>0</v>
      </c>
      <c r="E70" s="27">
        <v>0</v>
      </c>
      <c r="F70" s="23">
        <v>0</v>
      </c>
      <c r="G70" s="41">
        <v>0</v>
      </c>
    </row>
    <row r="71" spans="1:9" x14ac:dyDescent="0.2">
      <c r="A71" s="159" t="s">
        <v>44</v>
      </c>
      <c r="B71" s="39">
        <f>G30-G34-G38</f>
        <v>0</v>
      </c>
      <c r="C71" s="23">
        <f t="shared" si="9"/>
        <v>0</v>
      </c>
      <c r="D71" s="23">
        <v>0</v>
      </c>
      <c r="E71" s="27">
        <v>0</v>
      </c>
      <c r="F71" s="23">
        <v>0</v>
      </c>
      <c r="G71" s="41">
        <v>0</v>
      </c>
    </row>
    <row r="72" spans="1:9" x14ac:dyDescent="0.2">
      <c r="A72" s="159" t="s">
        <v>36</v>
      </c>
      <c r="B72" s="39">
        <f>G31-G32</f>
        <v>0</v>
      </c>
      <c r="C72" s="23">
        <f t="shared" ref="C72:C83" si="10">B72*D9</f>
        <v>0</v>
      </c>
      <c r="D72" s="23">
        <v>0</v>
      </c>
      <c r="E72" s="27">
        <v>0</v>
      </c>
      <c r="F72" s="23">
        <v>0</v>
      </c>
      <c r="G72" s="41">
        <v>0</v>
      </c>
    </row>
    <row r="73" spans="1:9" x14ac:dyDescent="0.2">
      <c r="A73" s="159" t="s">
        <v>33</v>
      </c>
      <c r="B73" s="39">
        <f>G32</f>
        <v>0</v>
      </c>
      <c r="C73" s="23">
        <f t="shared" si="10"/>
        <v>0</v>
      </c>
      <c r="D73" s="23">
        <v>0</v>
      </c>
      <c r="E73" s="27">
        <v>0</v>
      </c>
      <c r="F73" s="23">
        <v>0</v>
      </c>
      <c r="G73" s="41">
        <v>0</v>
      </c>
    </row>
    <row r="74" spans="1:9" x14ac:dyDescent="0.2">
      <c r="A74" s="159" t="s">
        <v>34</v>
      </c>
      <c r="B74" s="39">
        <f>G33</f>
        <v>0</v>
      </c>
      <c r="C74" s="23">
        <f t="shared" si="10"/>
        <v>0</v>
      </c>
      <c r="D74" s="23">
        <v>0</v>
      </c>
      <c r="E74" s="27">
        <v>0</v>
      </c>
      <c r="F74" s="23">
        <v>0</v>
      </c>
      <c r="G74" s="41">
        <v>0</v>
      </c>
    </row>
    <row r="75" spans="1:9" x14ac:dyDescent="0.2">
      <c r="A75" s="159" t="s">
        <v>14</v>
      </c>
      <c r="B75" s="39">
        <f>G34</f>
        <v>0</v>
      </c>
      <c r="C75" s="23">
        <f t="shared" si="10"/>
        <v>0</v>
      </c>
      <c r="D75" s="23">
        <v>0</v>
      </c>
      <c r="E75" s="27">
        <v>0</v>
      </c>
      <c r="F75" s="23">
        <v>0</v>
      </c>
      <c r="G75" s="41">
        <v>0</v>
      </c>
    </row>
    <row r="76" spans="1:9" x14ac:dyDescent="0.2">
      <c r="A76" s="159" t="s">
        <v>97</v>
      </c>
      <c r="B76" s="39">
        <f>G35-G36</f>
        <v>0</v>
      </c>
      <c r="C76" s="23">
        <f t="shared" si="10"/>
        <v>0</v>
      </c>
      <c r="D76" s="23">
        <v>0</v>
      </c>
      <c r="E76" s="27">
        <v>0</v>
      </c>
      <c r="F76" s="23">
        <v>0</v>
      </c>
      <c r="G76" s="41">
        <v>0</v>
      </c>
    </row>
    <row r="77" spans="1:9" x14ac:dyDescent="0.2">
      <c r="A77" s="159" t="s">
        <v>96</v>
      </c>
      <c r="B77" s="39">
        <f t="shared" ref="B77:B83" si="11">G36</f>
        <v>0</v>
      </c>
      <c r="C77" s="23">
        <f t="shared" si="10"/>
        <v>0</v>
      </c>
      <c r="D77" s="23">
        <v>0</v>
      </c>
      <c r="E77" s="27">
        <v>0</v>
      </c>
      <c r="F77" s="23">
        <v>0</v>
      </c>
      <c r="G77" s="41">
        <v>0</v>
      </c>
    </row>
    <row r="78" spans="1:9" x14ac:dyDescent="0.2">
      <c r="A78" s="15" t="s">
        <v>19</v>
      </c>
      <c r="B78" s="39">
        <f t="shared" si="11"/>
        <v>0</v>
      </c>
      <c r="C78" s="23">
        <f t="shared" si="10"/>
        <v>0</v>
      </c>
      <c r="D78" s="23">
        <v>0</v>
      </c>
      <c r="E78" s="27">
        <v>0</v>
      </c>
      <c r="F78" s="23">
        <v>0</v>
      </c>
      <c r="G78" s="41">
        <v>0</v>
      </c>
    </row>
    <row r="79" spans="1:9" x14ac:dyDescent="0.2">
      <c r="A79" s="15" t="s">
        <v>10</v>
      </c>
      <c r="B79" s="39">
        <f t="shared" si="11"/>
        <v>0</v>
      </c>
      <c r="C79" s="23">
        <f t="shared" si="10"/>
        <v>0</v>
      </c>
      <c r="D79" s="23">
        <v>0</v>
      </c>
      <c r="E79" s="27">
        <v>0</v>
      </c>
      <c r="F79" s="23">
        <v>0</v>
      </c>
      <c r="G79" s="41">
        <v>0</v>
      </c>
    </row>
    <row r="80" spans="1:9" x14ac:dyDescent="0.2">
      <c r="A80" s="15" t="s">
        <v>9</v>
      </c>
      <c r="B80" s="39">
        <f t="shared" si="11"/>
        <v>0</v>
      </c>
      <c r="C80" s="23">
        <f t="shared" si="10"/>
        <v>0</v>
      </c>
      <c r="D80" s="23">
        <v>0</v>
      </c>
      <c r="E80" s="27">
        <v>0</v>
      </c>
      <c r="F80" s="23">
        <v>0</v>
      </c>
      <c r="G80" s="41">
        <v>0</v>
      </c>
    </row>
    <row r="81" spans="1:10" x14ac:dyDescent="0.2">
      <c r="A81" s="15" t="s">
        <v>20</v>
      </c>
      <c r="B81" s="39">
        <f t="shared" si="11"/>
        <v>0</v>
      </c>
      <c r="C81" s="23">
        <f t="shared" si="10"/>
        <v>0</v>
      </c>
      <c r="D81" s="23">
        <v>0</v>
      </c>
      <c r="E81" s="27">
        <v>0</v>
      </c>
      <c r="F81" s="23">
        <v>0</v>
      </c>
      <c r="G81" s="41">
        <v>0</v>
      </c>
    </row>
    <row r="82" spans="1:10" x14ac:dyDescent="0.2">
      <c r="A82" s="15" t="s">
        <v>49</v>
      </c>
      <c r="B82" s="39">
        <f t="shared" si="11"/>
        <v>0</v>
      </c>
      <c r="C82" s="23">
        <f t="shared" si="10"/>
        <v>0</v>
      </c>
      <c r="D82" s="23">
        <v>0</v>
      </c>
      <c r="E82" s="27">
        <v>0</v>
      </c>
      <c r="F82" s="23">
        <v>0</v>
      </c>
      <c r="G82" s="41">
        <v>0</v>
      </c>
    </row>
    <row r="83" spans="1:10" x14ac:dyDescent="0.2">
      <c r="A83" s="15" t="s">
        <v>29</v>
      </c>
      <c r="B83" s="39">
        <f t="shared" si="11"/>
        <v>0</v>
      </c>
      <c r="C83" s="23">
        <f t="shared" si="10"/>
        <v>0</v>
      </c>
      <c r="D83" s="23">
        <v>0</v>
      </c>
      <c r="E83" s="361">
        <v>0</v>
      </c>
      <c r="F83" s="23">
        <v>0</v>
      </c>
      <c r="G83" s="206">
        <v>0</v>
      </c>
    </row>
    <row r="84" spans="1:10" x14ac:dyDescent="0.2">
      <c r="A84" s="189" t="s">
        <v>47</v>
      </c>
      <c r="B84" s="45">
        <f t="shared" ref="B84:G84" si="12">SUM(B68:B83)</f>
        <v>0</v>
      </c>
      <c r="C84" s="34">
        <f t="shared" si="12"/>
        <v>0</v>
      </c>
      <c r="D84" s="34">
        <f t="shared" si="12"/>
        <v>0</v>
      </c>
      <c r="E84" s="34">
        <f t="shared" si="12"/>
        <v>0</v>
      </c>
      <c r="F84" s="34">
        <f t="shared" si="12"/>
        <v>0</v>
      </c>
      <c r="G84" s="34">
        <f t="shared" si="12"/>
        <v>0</v>
      </c>
      <c r="H84" s="344" t="s">
        <v>23</v>
      </c>
    </row>
    <row r="85" spans="1:10" x14ac:dyDescent="0.2">
      <c r="A85" s="24"/>
      <c r="B85" s="46"/>
      <c r="C85" s="46"/>
      <c r="D85" s="46"/>
      <c r="E85" s="48"/>
      <c r="F85" s="26"/>
      <c r="G85" s="26"/>
      <c r="H85" s="26"/>
      <c r="I85" s="28"/>
      <c r="J85" s="46"/>
    </row>
    <row r="86" spans="1:10" ht="15.75" x14ac:dyDescent="0.25">
      <c r="A86" s="552" t="s">
        <v>107</v>
      </c>
      <c r="B86" s="552"/>
      <c r="C86" s="552"/>
      <c r="D86" s="552"/>
      <c r="E86" s="14"/>
      <c r="F86" s="14"/>
      <c r="G86" s="14"/>
      <c r="H86" s="14"/>
      <c r="I86" s="14"/>
      <c r="J86" s="14"/>
    </row>
    <row r="87" spans="1:10" ht="80.099999999999994" customHeight="1" x14ac:dyDescent="0.2">
      <c r="A87" s="19" t="s">
        <v>57</v>
      </c>
      <c r="B87" s="19" t="s">
        <v>108</v>
      </c>
      <c r="C87" s="19" t="s">
        <v>153</v>
      </c>
      <c r="D87" s="19" t="s">
        <v>58</v>
      </c>
      <c r="E87" s="14"/>
      <c r="F87" s="14"/>
      <c r="G87" s="14"/>
      <c r="H87" s="14"/>
      <c r="I87" s="14"/>
      <c r="J87" s="14"/>
    </row>
    <row r="88" spans="1:10" x14ac:dyDescent="0.2">
      <c r="A88" s="159" t="s">
        <v>27</v>
      </c>
      <c r="B88" s="159">
        <v>0</v>
      </c>
      <c r="C88" s="41">
        <f t="shared" ref="C88:C102" si="13">C6</f>
        <v>0</v>
      </c>
      <c r="D88" s="41">
        <f t="shared" ref="D88:D102" si="14">B88*C88</f>
        <v>0</v>
      </c>
      <c r="E88" s="14"/>
      <c r="F88" s="14"/>
      <c r="G88" s="14"/>
      <c r="H88" s="14"/>
      <c r="I88" s="14"/>
      <c r="J88" s="14"/>
    </row>
    <row r="89" spans="1:10" x14ac:dyDescent="0.2">
      <c r="A89" s="159" t="s">
        <v>32</v>
      </c>
      <c r="B89" s="159">
        <v>0</v>
      </c>
      <c r="C89" s="41">
        <f t="shared" si="13"/>
        <v>0</v>
      </c>
      <c r="D89" s="41">
        <f t="shared" si="14"/>
        <v>0</v>
      </c>
      <c r="E89" s="14"/>
      <c r="F89" s="14"/>
      <c r="G89" s="14"/>
      <c r="H89" s="14"/>
      <c r="I89" s="14"/>
      <c r="J89" s="14"/>
    </row>
    <row r="90" spans="1:10" x14ac:dyDescent="0.2">
      <c r="A90" s="159" t="s">
        <v>4</v>
      </c>
      <c r="B90" s="159">
        <v>0</v>
      </c>
      <c r="C90" s="41">
        <f t="shared" si="13"/>
        <v>0</v>
      </c>
      <c r="D90" s="41">
        <f t="shared" si="14"/>
        <v>0</v>
      </c>
      <c r="E90" s="14"/>
      <c r="F90" s="14"/>
      <c r="G90" s="14"/>
      <c r="H90" s="14"/>
      <c r="I90" s="14"/>
      <c r="J90" s="14"/>
    </row>
    <row r="91" spans="1:10" x14ac:dyDescent="0.2">
      <c r="A91" s="159" t="s">
        <v>7</v>
      </c>
      <c r="B91" s="159">
        <v>0</v>
      </c>
      <c r="C91" s="41">
        <f t="shared" si="13"/>
        <v>0</v>
      </c>
      <c r="D91" s="41">
        <f t="shared" si="14"/>
        <v>0</v>
      </c>
      <c r="E91" s="14"/>
      <c r="F91" s="14" t="s">
        <v>23</v>
      </c>
      <c r="G91" s="14"/>
      <c r="H91" s="14"/>
      <c r="I91" s="14"/>
      <c r="J91" s="14"/>
    </row>
    <row r="92" spans="1:10" x14ac:dyDescent="0.2">
      <c r="A92" s="159" t="s">
        <v>33</v>
      </c>
      <c r="B92" s="159">
        <v>0</v>
      </c>
      <c r="C92" s="41">
        <f t="shared" si="13"/>
        <v>0</v>
      </c>
      <c r="D92" s="41">
        <f t="shared" si="14"/>
        <v>0</v>
      </c>
      <c r="E92" s="14"/>
      <c r="F92" s="14"/>
      <c r="G92" s="14"/>
      <c r="H92" s="14"/>
      <c r="I92" s="14"/>
      <c r="J92" s="14"/>
    </row>
    <row r="93" spans="1:10" x14ac:dyDescent="0.2">
      <c r="A93" s="159" t="s">
        <v>34</v>
      </c>
      <c r="B93" s="159">
        <v>0</v>
      </c>
      <c r="C93" s="41">
        <f t="shared" si="13"/>
        <v>0</v>
      </c>
      <c r="D93" s="41">
        <f t="shared" si="14"/>
        <v>0</v>
      </c>
      <c r="E93" s="14"/>
      <c r="F93" s="14"/>
      <c r="G93" s="14"/>
      <c r="H93" s="14"/>
      <c r="I93" s="14"/>
      <c r="J93" s="14"/>
    </row>
    <row r="94" spans="1:10" x14ac:dyDescent="0.2">
      <c r="A94" s="15" t="s">
        <v>14</v>
      </c>
      <c r="B94" s="159">
        <v>0</v>
      </c>
      <c r="C94" s="41">
        <f t="shared" si="13"/>
        <v>0</v>
      </c>
      <c r="D94" s="41">
        <f t="shared" si="14"/>
        <v>0</v>
      </c>
      <c r="E94" s="14"/>
      <c r="F94" s="14"/>
      <c r="G94" s="14"/>
      <c r="H94" s="14"/>
      <c r="I94" s="14"/>
      <c r="J94" s="14"/>
    </row>
    <row r="95" spans="1:10" x14ac:dyDescent="0.2">
      <c r="A95" s="15" t="s">
        <v>42</v>
      </c>
      <c r="B95" s="159">
        <v>0</v>
      </c>
      <c r="C95" s="41">
        <f t="shared" si="13"/>
        <v>0</v>
      </c>
      <c r="D95" s="41">
        <f t="shared" si="14"/>
        <v>0</v>
      </c>
      <c r="E95" s="14"/>
      <c r="F95" s="14"/>
      <c r="G95" s="14"/>
      <c r="H95" s="14"/>
      <c r="I95" s="14"/>
      <c r="J95" s="14"/>
    </row>
    <row r="96" spans="1:10" x14ac:dyDescent="0.2">
      <c r="A96" s="15" t="s">
        <v>96</v>
      </c>
      <c r="B96" s="159">
        <v>0</v>
      </c>
      <c r="C96" s="41">
        <f t="shared" si="13"/>
        <v>0</v>
      </c>
      <c r="D96" s="41">
        <f t="shared" si="14"/>
        <v>0</v>
      </c>
      <c r="E96" s="14"/>
      <c r="F96" s="14"/>
      <c r="G96" s="14"/>
      <c r="H96" s="14"/>
      <c r="I96" s="14"/>
      <c r="J96" s="14"/>
    </row>
    <row r="97" spans="1:10" x14ac:dyDescent="0.2">
      <c r="A97" s="15" t="s">
        <v>19</v>
      </c>
      <c r="B97" s="159">
        <v>0</v>
      </c>
      <c r="C97" s="41">
        <f t="shared" si="13"/>
        <v>0</v>
      </c>
      <c r="D97" s="41">
        <f t="shared" si="14"/>
        <v>0</v>
      </c>
      <c r="E97" s="14"/>
      <c r="F97" s="14"/>
      <c r="G97" s="14"/>
      <c r="H97" s="14"/>
      <c r="I97" s="14"/>
      <c r="J97" s="14"/>
    </row>
    <row r="98" spans="1:10" x14ac:dyDescent="0.2">
      <c r="A98" s="15" t="s">
        <v>10</v>
      </c>
      <c r="B98" s="159">
        <v>0</v>
      </c>
      <c r="C98" s="41">
        <f t="shared" si="13"/>
        <v>196.43</v>
      </c>
      <c r="D98" s="41">
        <f t="shared" si="14"/>
        <v>0</v>
      </c>
      <c r="E98" s="14"/>
      <c r="F98" s="14"/>
      <c r="G98" s="14"/>
      <c r="H98" s="14"/>
      <c r="I98" s="14"/>
      <c r="J98" s="14"/>
    </row>
    <row r="99" spans="1:10" x14ac:dyDescent="0.2">
      <c r="A99" s="15" t="s">
        <v>9</v>
      </c>
      <c r="B99" s="159">
        <v>0</v>
      </c>
      <c r="C99" s="41">
        <f t="shared" si="13"/>
        <v>0</v>
      </c>
      <c r="D99" s="41">
        <f t="shared" si="14"/>
        <v>0</v>
      </c>
      <c r="E99" s="14"/>
      <c r="F99" s="14"/>
      <c r="G99" s="14"/>
      <c r="H99" s="14"/>
      <c r="I99" s="14"/>
      <c r="J99" s="14"/>
    </row>
    <row r="100" spans="1:10" x14ac:dyDescent="0.2">
      <c r="A100" s="186" t="s">
        <v>20</v>
      </c>
      <c r="B100" s="159">
        <v>0</v>
      </c>
      <c r="C100" s="41">
        <f t="shared" si="13"/>
        <v>0</v>
      </c>
      <c r="D100" s="41">
        <f t="shared" si="14"/>
        <v>0</v>
      </c>
      <c r="E100" s="14"/>
      <c r="F100" s="14"/>
      <c r="G100" s="14"/>
      <c r="H100" s="14"/>
      <c r="I100" s="14"/>
      <c r="J100" s="14"/>
    </row>
    <row r="101" spans="1:10" x14ac:dyDescent="0.2">
      <c r="A101" s="186" t="s">
        <v>49</v>
      </c>
      <c r="B101" s="159">
        <v>0</v>
      </c>
      <c r="C101" s="41">
        <f t="shared" si="13"/>
        <v>0</v>
      </c>
      <c r="D101" s="41">
        <f t="shared" si="14"/>
        <v>0</v>
      </c>
      <c r="E101" s="14"/>
      <c r="F101" s="14"/>
      <c r="G101" s="14"/>
      <c r="H101" s="14"/>
      <c r="I101" s="14"/>
      <c r="J101" s="14"/>
    </row>
    <row r="102" spans="1:10" x14ac:dyDescent="0.2">
      <c r="A102" s="186" t="s">
        <v>29</v>
      </c>
      <c r="B102" s="159">
        <v>0</v>
      </c>
      <c r="C102" s="41">
        <f t="shared" si="13"/>
        <v>174.33999999999997</v>
      </c>
      <c r="D102" s="41">
        <f t="shared" si="14"/>
        <v>0</v>
      </c>
      <c r="E102" s="14"/>
      <c r="F102" s="14"/>
      <c r="G102" s="14"/>
      <c r="H102" s="14"/>
      <c r="I102" s="14"/>
      <c r="J102" s="14"/>
    </row>
    <row r="103" spans="1:10" x14ac:dyDescent="0.2">
      <c r="A103" s="146" t="s">
        <v>47</v>
      </c>
      <c r="B103" s="159" t="s">
        <v>23</v>
      </c>
      <c r="C103" s="159"/>
      <c r="D103" s="58">
        <f>SUM(D88:D102)</f>
        <v>0</v>
      </c>
      <c r="E103" s="14"/>
      <c r="F103" s="14"/>
      <c r="G103" s="14"/>
      <c r="H103" s="14"/>
      <c r="I103" s="14"/>
      <c r="J103" s="14"/>
    </row>
    <row r="104" spans="1:10" x14ac:dyDescent="0.2">
      <c r="A104" s="16" t="s">
        <v>154</v>
      </c>
      <c r="B104" s="14"/>
      <c r="C104" s="14"/>
      <c r="D104" s="14"/>
      <c r="E104" s="14"/>
      <c r="F104" s="14"/>
      <c r="G104" s="14"/>
      <c r="H104" s="14"/>
      <c r="I104" s="14"/>
      <c r="J104" s="14"/>
    </row>
    <row r="105" spans="1:10" x14ac:dyDescent="0.2">
      <c r="A105" s="14"/>
      <c r="B105" s="14" t="s">
        <v>23</v>
      </c>
      <c r="C105" s="14"/>
      <c r="D105" s="14"/>
      <c r="E105" s="14"/>
      <c r="F105" s="14"/>
      <c r="G105" s="14"/>
      <c r="H105" s="14"/>
      <c r="I105" s="14"/>
      <c r="J105" s="14"/>
    </row>
    <row r="106" spans="1:10" x14ac:dyDescent="0.2">
      <c r="B106" s="277" t="s">
        <v>23</v>
      </c>
    </row>
    <row r="107" spans="1:10" x14ac:dyDescent="0.2">
      <c r="B107" s="277" t="s">
        <v>23</v>
      </c>
    </row>
  </sheetData>
  <mergeCells count="7">
    <mergeCell ref="A86:D86"/>
    <mergeCell ref="A3:B3"/>
    <mergeCell ref="A25:B25"/>
    <mergeCell ref="J44:K44"/>
    <mergeCell ref="A45:B45"/>
    <mergeCell ref="D65:E65"/>
    <mergeCell ref="A66:B6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84"/>
  <sheetViews>
    <sheetView workbookViewId="0"/>
  </sheetViews>
  <sheetFormatPr defaultColWidth="9.140625" defaultRowHeight="12.75" x14ac:dyDescent="0.2"/>
  <cols>
    <col min="1" max="1" width="31" style="277" customWidth="1"/>
    <col min="2" max="2" width="12.85546875" style="277" customWidth="1"/>
    <col min="3" max="3" width="14.42578125" style="277" customWidth="1"/>
    <col min="4" max="4" width="15.5703125" style="277" customWidth="1"/>
    <col min="5" max="5" width="17.140625" style="277" customWidth="1"/>
    <col min="6" max="6" width="17.5703125" style="277" customWidth="1"/>
    <col min="7" max="7" width="20" style="277" customWidth="1"/>
    <col min="8" max="8" width="18.42578125" style="277" customWidth="1"/>
    <col min="9" max="9" width="18.140625" style="277" customWidth="1"/>
    <col min="10" max="10" width="18.42578125" style="277" customWidth="1"/>
    <col min="11" max="12" width="16.7109375" style="277" customWidth="1"/>
    <col min="13" max="13" width="12.7109375" style="277" customWidth="1"/>
    <col min="14" max="14" width="16.7109375" style="277" customWidth="1"/>
    <col min="15" max="15" width="15.7109375" style="277" customWidth="1"/>
    <col min="16" max="16" width="12.7109375" style="277" customWidth="1"/>
    <col min="17" max="16384" width="9.140625" style="277"/>
  </cols>
  <sheetData>
    <row r="1" spans="1:16" ht="18.75" x14ac:dyDescent="0.3">
      <c r="A1" s="89" t="s">
        <v>233</v>
      </c>
      <c r="D1" s="342"/>
      <c r="E1" s="342" t="s">
        <v>23</v>
      </c>
      <c r="F1" s="342" t="s">
        <v>23</v>
      </c>
      <c r="G1" s="342" t="s">
        <v>23</v>
      </c>
    </row>
    <row r="2" spans="1:16" x14ac:dyDescent="0.2">
      <c r="A2" s="12"/>
    </row>
    <row r="3" spans="1:16" ht="15.75" x14ac:dyDescent="0.25">
      <c r="A3" s="147" t="s">
        <v>0</v>
      </c>
      <c r="B3" s="14"/>
      <c r="C3" s="14"/>
      <c r="D3" s="86" t="s">
        <v>23</v>
      </c>
      <c r="E3" s="14"/>
      <c r="F3" s="14"/>
      <c r="G3" s="14"/>
      <c r="H3" s="14"/>
      <c r="I3" s="14"/>
      <c r="J3" s="14"/>
      <c r="K3" s="14"/>
      <c r="L3" s="14"/>
      <c r="M3" s="14"/>
      <c r="N3" s="14"/>
      <c r="O3" s="14"/>
      <c r="P3" s="14"/>
    </row>
    <row r="4" spans="1:16" ht="12.75" customHeight="1" x14ac:dyDescent="0.2">
      <c r="A4" s="159" t="s">
        <v>1</v>
      </c>
      <c r="B4" s="149">
        <v>0.17799999999999999</v>
      </c>
      <c r="C4" s="14"/>
      <c r="D4" s="60" t="s">
        <v>23</v>
      </c>
      <c r="E4" s="21" t="s">
        <v>23</v>
      </c>
      <c r="F4" s="21" t="s">
        <v>23</v>
      </c>
      <c r="G4" s="21" t="s">
        <v>23</v>
      </c>
      <c r="H4" s="21" t="s">
        <v>23</v>
      </c>
      <c r="I4" s="21" t="s">
        <v>23</v>
      </c>
      <c r="J4" s="21" t="s">
        <v>23</v>
      </c>
      <c r="K4" s="14"/>
      <c r="L4" s="14"/>
      <c r="M4" s="14"/>
      <c r="N4" s="14"/>
      <c r="O4" s="21" t="s">
        <v>23</v>
      </c>
      <c r="P4" s="14"/>
    </row>
    <row r="5" spans="1:16" ht="12.75" customHeight="1" x14ac:dyDescent="0.2">
      <c r="A5" s="148" t="s">
        <v>361</v>
      </c>
      <c r="B5" s="123">
        <v>0.79690000000000005</v>
      </c>
      <c r="C5" s="14"/>
      <c r="D5" s="24" t="s">
        <v>23</v>
      </c>
      <c r="E5" s="59" t="s">
        <v>23</v>
      </c>
      <c r="F5" s="61" t="s">
        <v>23</v>
      </c>
      <c r="G5" s="61" t="s">
        <v>23</v>
      </c>
      <c r="H5" s="61" t="s">
        <v>23</v>
      </c>
      <c r="I5" s="61" t="s">
        <v>23</v>
      </c>
      <c r="J5" s="21" t="s">
        <v>23</v>
      </c>
      <c r="K5" s="21" t="s">
        <v>23</v>
      </c>
      <c r="L5" s="21"/>
      <c r="M5" s="21"/>
      <c r="N5" s="21"/>
      <c r="O5" s="59" t="s">
        <v>23</v>
      </c>
      <c r="P5" s="14"/>
    </row>
    <row r="6" spans="1:16" ht="12.75" customHeight="1" x14ac:dyDescent="0.2">
      <c r="A6" s="159" t="s">
        <v>3</v>
      </c>
      <c r="B6" s="150">
        <v>0.93869999999999998</v>
      </c>
      <c r="C6" s="14"/>
      <c r="D6" s="24" t="s">
        <v>23</v>
      </c>
      <c r="E6" s="62" t="s">
        <v>23</v>
      </c>
      <c r="F6" s="56" t="s">
        <v>23</v>
      </c>
      <c r="G6" s="63" t="s">
        <v>23</v>
      </c>
      <c r="H6" s="64" t="s">
        <v>23</v>
      </c>
      <c r="I6" s="64" t="s">
        <v>23</v>
      </c>
      <c r="J6" s="64" t="s">
        <v>23</v>
      </c>
      <c r="K6" s="65" t="s">
        <v>23</v>
      </c>
      <c r="L6" s="65"/>
      <c r="M6" s="65"/>
      <c r="N6" s="65"/>
      <c r="O6" s="66" t="s">
        <v>23</v>
      </c>
      <c r="P6" s="14"/>
    </row>
    <row r="7" spans="1:16" ht="12.75" customHeight="1" x14ac:dyDescent="0.2">
      <c r="A7" s="159" t="s">
        <v>144</v>
      </c>
      <c r="B7" s="185">
        <v>134813.1312</v>
      </c>
      <c r="C7" s="276" t="s">
        <v>23</v>
      </c>
      <c r="E7" s="59" t="s">
        <v>23</v>
      </c>
      <c r="F7" s="67" t="s">
        <v>23</v>
      </c>
      <c r="G7" s="56" t="s">
        <v>23</v>
      </c>
      <c r="H7" s="297" t="s">
        <v>23</v>
      </c>
      <c r="I7" s="56" t="s">
        <v>23</v>
      </c>
      <c r="J7" s="63" t="s">
        <v>23</v>
      </c>
      <c r="K7" s="64"/>
      <c r="L7" s="64"/>
      <c r="M7" s="64"/>
      <c r="N7" s="64"/>
      <c r="O7" s="59" t="s">
        <v>23</v>
      </c>
      <c r="P7" s="14"/>
    </row>
    <row r="8" spans="1:16" ht="12.75" customHeight="1" x14ac:dyDescent="0.2">
      <c r="A8" s="159" t="s">
        <v>22</v>
      </c>
      <c r="B8" s="151">
        <v>1.0158749708955122</v>
      </c>
      <c r="C8" s="24" t="s">
        <v>23</v>
      </c>
      <c r="D8" s="68" t="s">
        <v>23</v>
      </c>
      <c r="E8" s="59" t="s">
        <v>23</v>
      </c>
      <c r="F8" s="67" t="s">
        <v>23</v>
      </c>
      <c r="G8" s="63" t="s">
        <v>23</v>
      </c>
      <c r="H8" s="63" t="s">
        <v>23</v>
      </c>
      <c r="I8" s="63" t="s">
        <v>23</v>
      </c>
      <c r="J8" s="63" t="s">
        <v>23</v>
      </c>
      <c r="K8" s="64" t="s">
        <v>23</v>
      </c>
      <c r="L8" s="64"/>
      <c r="M8" s="64"/>
      <c r="N8" s="64"/>
      <c r="O8" s="59" t="s">
        <v>23</v>
      </c>
      <c r="P8" s="14"/>
    </row>
    <row r="9" spans="1:16" x14ac:dyDescent="0.2">
      <c r="A9" s="14" t="s">
        <v>145</v>
      </c>
      <c r="B9" s="14"/>
      <c r="C9" s="14"/>
      <c r="D9" s="16" t="s">
        <v>23</v>
      </c>
      <c r="E9" s="69"/>
      <c r="F9" s="50"/>
      <c r="G9" s="69"/>
      <c r="H9" s="70" t="s">
        <v>23</v>
      </c>
      <c r="I9" s="14"/>
      <c r="J9" s="14"/>
      <c r="K9" s="14"/>
      <c r="L9" s="14"/>
      <c r="M9" s="14"/>
      <c r="N9" s="14"/>
      <c r="O9" s="14" t="s">
        <v>23</v>
      </c>
      <c r="P9" s="14"/>
    </row>
    <row r="10" spans="1:16" x14ac:dyDescent="0.2">
      <c r="A10" s="16"/>
      <c r="B10" s="26"/>
      <c r="C10" s="26"/>
      <c r="D10" s="26"/>
      <c r="E10" s="30" t="s">
        <v>23</v>
      </c>
      <c r="F10" s="31"/>
      <c r="G10" s="31"/>
      <c r="H10" s="31"/>
      <c r="I10" s="32"/>
      <c r="J10" s="32"/>
      <c r="K10" s="32"/>
      <c r="L10" s="32"/>
      <c r="M10" s="32"/>
      <c r="N10" s="32"/>
      <c r="O10" s="33"/>
      <c r="P10" s="14"/>
    </row>
    <row r="11" spans="1:16" ht="15.75" x14ac:dyDescent="0.25">
      <c r="A11" s="140" t="s">
        <v>112</v>
      </c>
      <c r="B11" s="26"/>
      <c r="C11" s="26"/>
      <c r="D11" s="26"/>
      <c r="E11" s="32"/>
      <c r="F11" s="33"/>
      <c r="G11" s="14"/>
    </row>
    <row r="12" spans="1:16" ht="69.95" customHeight="1" x14ac:dyDescent="0.2">
      <c r="A12" s="160" t="s">
        <v>2</v>
      </c>
      <c r="B12" s="160" t="s">
        <v>54</v>
      </c>
      <c r="C12" s="160" t="s">
        <v>116</v>
      </c>
      <c r="D12" s="160" t="s">
        <v>155</v>
      </c>
      <c r="E12" s="160" t="s">
        <v>117</v>
      </c>
      <c r="F12" s="160" t="s">
        <v>76</v>
      </c>
      <c r="G12" s="14"/>
    </row>
    <row r="13" spans="1:16" x14ac:dyDescent="0.2">
      <c r="A13" s="159" t="s">
        <v>5</v>
      </c>
      <c r="B13" s="36">
        <f>J62</f>
        <v>135683.99999999997</v>
      </c>
      <c r="C13" s="134">
        <f>'BRA Resource Clearing Results'!B5</f>
        <v>269.92</v>
      </c>
      <c r="D13" s="134">
        <f>'BRA Resource Clearing Results'!C5</f>
        <v>0</v>
      </c>
      <c r="E13" s="273">
        <f>'BRA Resource Clearing Results'!G68/B13</f>
        <v>0</v>
      </c>
      <c r="F13" s="135">
        <f t="shared" ref="F13:F21" si="0">C13+D13+E13</f>
        <v>269.92</v>
      </c>
      <c r="G13" s="14"/>
    </row>
    <row r="14" spans="1:16" x14ac:dyDescent="0.2">
      <c r="A14" s="159" t="s">
        <v>27</v>
      </c>
      <c r="B14" s="36">
        <f>J41+J45+J51+J53+J54+J56+J57+J58+J59+J60+J61</f>
        <v>52121.969107247511</v>
      </c>
      <c r="C14" s="134">
        <f>'BRA Resource Clearing Results'!B6</f>
        <v>269.92</v>
      </c>
      <c r="D14" s="134">
        <f>'BRA Resource Clearing Results'!C6</f>
        <v>0</v>
      </c>
      <c r="E14" s="273">
        <f>E13+'BRA Resource Clearing Results'!G69/B14</f>
        <v>0</v>
      </c>
      <c r="F14" s="135">
        <f t="shared" si="0"/>
        <v>269.92</v>
      </c>
      <c r="G14" s="14"/>
    </row>
    <row r="15" spans="1:16" x14ac:dyDescent="0.2">
      <c r="A15" s="159" t="s">
        <v>32</v>
      </c>
      <c r="B15" s="36">
        <f>J41+J51+J53+J56+J60+J61</f>
        <v>28453.571558089421</v>
      </c>
      <c r="C15" s="134">
        <f>'BRA Resource Clearing Results'!B7</f>
        <v>269.92</v>
      </c>
      <c r="D15" s="134">
        <f>'BRA Resource Clearing Results'!C6+'BRA Resource Clearing Results'!C7</f>
        <v>0</v>
      </c>
      <c r="E15" s="273">
        <f>E14+'BRA Resource Clearing Results'!G70/B15</f>
        <v>0</v>
      </c>
      <c r="F15" s="135">
        <f>C15+D15+E15</f>
        <v>269.92</v>
      </c>
      <c r="G15" s="14"/>
    </row>
    <row r="16" spans="1:16" x14ac:dyDescent="0.2">
      <c r="A16" s="159" t="s">
        <v>4</v>
      </c>
      <c r="B16" s="36">
        <f>J45+J58</f>
        <v>11516.649363464236</v>
      </c>
      <c r="C16" s="134">
        <f>'BRA Resource Clearing Results'!B8</f>
        <v>269.92</v>
      </c>
      <c r="D16" s="134">
        <f>'BRA Resource Clearing Results'!C6+'BRA Resource Clearing Results'!C8</f>
        <v>0</v>
      </c>
      <c r="E16" s="273">
        <f>E14+'BRA Resource Clearing Results'!G71/B16</f>
        <v>0</v>
      </c>
      <c r="F16" s="135">
        <f t="shared" si="0"/>
        <v>269.92</v>
      </c>
      <c r="G16" s="14"/>
    </row>
    <row r="17" spans="1:16" x14ac:dyDescent="0.2">
      <c r="A17" s="159" t="s">
        <v>14</v>
      </c>
      <c r="B17" s="36">
        <f>J58</f>
        <v>5548.0554770750123</v>
      </c>
      <c r="C17" s="134">
        <f>'BRA Resource Clearing Results'!B12</f>
        <v>269.92</v>
      </c>
      <c r="D17" s="134">
        <f>'BRA Resource Clearing Results'!C6+'BRA Resource Clearing Results'!C8+'BRA Resource Clearing Results'!C12</f>
        <v>0</v>
      </c>
      <c r="E17" s="273">
        <f>E16+'BRA Resource Clearing Results'!G75/B17</f>
        <v>0</v>
      </c>
      <c r="F17" s="135">
        <f>C17+D17+E17</f>
        <v>269.92</v>
      </c>
      <c r="G17" s="14"/>
    </row>
    <row r="18" spans="1:16" x14ac:dyDescent="0.2">
      <c r="A18" s="15" t="s">
        <v>19</v>
      </c>
      <c r="B18" s="36">
        <f>J46</f>
        <v>17964.904972948811</v>
      </c>
      <c r="C18" s="134">
        <f>'BRA Resource Clearing Results'!B15</f>
        <v>269.92</v>
      </c>
      <c r="D18" s="134">
        <f>'BRA Resource Clearing Results'!C15</f>
        <v>0</v>
      </c>
      <c r="E18" s="273">
        <f>E13+'BRA Resource Clearing Results'!G78/B18</f>
        <v>0</v>
      </c>
      <c r="F18" s="135">
        <f>C18+D18+E18</f>
        <v>269.92</v>
      </c>
      <c r="G18" s="14"/>
    </row>
    <row r="19" spans="1:16" x14ac:dyDescent="0.2">
      <c r="A19" s="15" t="s">
        <v>10</v>
      </c>
      <c r="B19" s="36">
        <f>J45</f>
        <v>5968.5938863892243</v>
      </c>
      <c r="C19" s="134">
        <f>'BRA Resource Clearing Results'!B16</f>
        <v>269.92</v>
      </c>
      <c r="D19" s="134">
        <f>'BRA Resource Clearing Results'!C6+'BRA Resource Clearing Results'!C8+'BRA Resource Clearing Results'!C16</f>
        <v>196.43</v>
      </c>
      <c r="E19" s="273">
        <f>E16+'BRA Resource Clearing Results'!G79/B19</f>
        <v>0</v>
      </c>
      <c r="F19" s="135">
        <f t="shared" si="0"/>
        <v>466.35</v>
      </c>
      <c r="G19" s="14"/>
    </row>
    <row r="20" spans="1:16" x14ac:dyDescent="0.2">
      <c r="A20" s="15" t="s">
        <v>9</v>
      </c>
      <c r="B20" s="36">
        <f>J59</f>
        <v>6713.3569196645058</v>
      </c>
      <c r="C20" s="134">
        <f>'BRA Resource Clearing Results'!B17</f>
        <v>269.92</v>
      </c>
      <c r="D20" s="134">
        <f>'BRA Resource Clearing Results'!C6+'BRA Resource Clearing Results'!C17</f>
        <v>0</v>
      </c>
      <c r="E20" s="273">
        <f>E14+'BRA Resource Clearing Results'!G80/B20</f>
        <v>0</v>
      </c>
      <c r="F20" s="135">
        <f t="shared" si="0"/>
        <v>269.92</v>
      </c>
      <c r="G20" s="14"/>
      <c r="I20" s="277" t="s">
        <v>23</v>
      </c>
    </row>
    <row r="21" spans="1:16" x14ac:dyDescent="0.2">
      <c r="A21" s="15" t="s">
        <v>20</v>
      </c>
      <c r="B21" s="36">
        <f>J47</f>
        <v>2989.5417532880997</v>
      </c>
      <c r="C21" s="134">
        <f>'BRA Resource Clearing Results'!B18</f>
        <v>269.92</v>
      </c>
      <c r="D21" s="134">
        <f>'BRA Resource Clearing Results'!C18</f>
        <v>0</v>
      </c>
      <c r="E21" s="273">
        <f>E13+'BRA Resource Clearing Results'!G81/B21</f>
        <v>0</v>
      </c>
      <c r="F21" s="135">
        <f t="shared" si="0"/>
        <v>269.92</v>
      </c>
      <c r="G21" s="14"/>
      <c r="I21" s="277" t="s">
        <v>23</v>
      </c>
    </row>
    <row r="22" spans="1:16" x14ac:dyDescent="0.2">
      <c r="A22" s="15" t="s">
        <v>49</v>
      </c>
      <c r="B22" s="36">
        <f>J48</f>
        <v>4047.1815486858141</v>
      </c>
      <c r="C22" s="134">
        <f>'BRA Resource Clearing Results'!B19</f>
        <v>269.92</v>
      </c>
      <c r="D22" s="134">
        <f>'BRA Resource Clearing Results'!C19</f>
        <v>0</v>
      </c>
      <c r="E22" s="273">
        <f>E13+'BRA Resource Clearing Results'!G82/B22</f>
        <v>0</v>
      </c>
      <c r="F22" s="135">
        <f>C22+D22+E22</f>
        <v>269.92</v>
      </c>
      <c r="G22" s="14"/>
    </row>
    <row r="23" spans="1:16" x14ac:dyDescent="0.2">
      <c r="A23" s="15" t="s">
        <v>29</v>
      </c>
      <c r="B23" s="36">
        <f>J50</f>
        <v>21952.867847669972</v>
      </c>
      <c r="C23" s="134">
        <f>'BRA Resource Clearing Results'!B20</f>
        <v>269.92</v>
      </c>
      <c r="D23" s="134">
        <f>'BRA Resource Clearing Results'!C20</f>
        <v>174.33999999999997</v>
      </c>
      <c r="E23" s="273">
        <f>E13+'BRA Resource Clearing Results'!G83/B23</f>
        <v>0</v>
      </c>
      <c r="F23" s="135">
        <f>C23+D23+E23</f>
        <v>444.26</v>
      </c>
      <c r="G23" s="14"/>
    </row>
    <row r="24" spans="1:16" s="341" customFormat="1" x14ac:dyDescent="0.2">
      <c r="A24" s="16" t="s">
        <v>156</v>
      </c>
      <c r="B24" s="26"/>
      <c r="C24" s="46"/>
      <c r="D24" s="46"/>
      <c r="E24" s="46"/>
      <c r="F24" s="48"/>
      <c r="G24" s="90"/>
      <c r="H24" s="26"/>
      <c r="I24" s="26"/>
      <c r="J24" s="46"/>
      <c r="K24" s="26"/>
      <c r="L24" s="26"/>
      <c r="M24" s="26"/>
      <c r="N24" s="26"/>
      <c r="O24" s="56"/>
      <c r="P24" s="24"/>
    </row>
    <row r="25" spans="1:16" s="341" customFormat="1" x14ac:dyDescent="0.2">
      <c r="A25" s="16"/>
      <c r="B25" s="26"/>
      <c r="C25" s="46"/>
      <c r="D25" s="71" t="s">
        <v>23</v>
      </c>
      <c r="E25" s="71" t="s">
        <v>23</v>
      </c>
      <c r="F25" s="48"/>
      <c r="G25" s="24"/>
      <c r="H25" s="26"/>
      <c r="I25" s="26"/>
      <c r="J25" s="46"/>
      <c r="K25" s="26"/>
      <c r="L25" s="26"/>
      <c r="M25" s="26"/>
      <c r="N25" s="26"/>
      <c r="O25" s="56"/>
      <c r="P25" s="24"/>
    </row>
    <row r="26" spans="1:16" ht="31.5" x14ac:dyDescent="0.25">
      <c r="A26" s="152" t="s">
        <v>101</v>
      </c>
      <c r="B26" s="14"/>
      <c r="C26" s="174" t="s">
        <v>23</v>
      </c>
      <c r="D26" s="14"/>
      <c r="E26" s="50" t="s">
        <v>23</v>
      </c>
      <c r="F26" s="223" t="s">
        <v>23</v>
      </c>
      <c r="G26" s="223"/>
      <c r="H26" s="229" t="s">
        <v>146</v>
      </c>
      <c r="I26" s="14"/>
      <c r="J26" s="174" t="s">
        <v>23</v>
      </c>
      <c r="K26" s="14"/>
      <c r="L26" s="50" t="s">
        <v>23</v>
      </c>
      <c r="M26" s="223" t="s">
        <v>23</v>
      </c>
      <c r="N26" s="72"/>
      <c r="O26" s="14"/>
      <c r="P26" s="14"/>
    </row>
    <row r="27" spans="1:16" ht="80.099999999999994" customHeight="1" x14ac:dyDescent="0.2">
      <c r="A27" s="163" t="s">
        <v>53</v>
      </c>
      <c r="B27" s="160" t="s">
        <v>157</v>
      </c>
      <c r="C27" s="144" t="s">
        <v>71</v>
      </c>
      <c r="D27" s="144" t="s">
        <v>102</v>
      </c>
      <c r="E27" s="144" t="s">
        <v>114</v>
      </c>
      <c r="F27" s="144" t="s">
        <v>111</v>
      </c>
      <c r="G27" s="14"/>
      <c r="H27" s="168" t="s">
        <v>6</v>
      </c>
      <c r="I27" s="167" t="s">
        <v>147</v>
      </c>
      <c r="J27" s="167" t="s">
        <v>148</v>
      </c>
      <c r="K27" s="199"/>
      <c r="L27" s="199"/>
      <c r="M27" s="199"/>
    </row>
    <row r="28" spans="1:16" x14ac:dyDescent="0.2">
      <c r="A28" s="159" t="s">
        <v>36</v>
      </c>
      <c r="B28" s="159"/>
      <c r="C28" s="39">
        <f>'BRA Resource Clearing Results'!D51</f>
        <v>1882.9</v>
      </c>
      <c r="D28" s="23">
        <f>'BRA Resource Clearing Results'!C9</f>
        <v>0</v>
      </c>
      <c r="E28" s="159"/>
      <c r="F28" s="159"/>
      <c r="G28" s="14"/>
      <c r="H28" s="15" t="s">
        <v>10</v>
      </c>
      <c r="I28" s="227">
        <v>135</v>
      </c>
      <c r="J28" s="361">
        <f>I28*VLOOKUP(H28,$A$41:$L$61,9,0)*$B$6*VLOOKUP(H28,$A$41:$L$61,12,0)</f>
        <v>61238.375868521391</v>
      </c>
      <c r="K28" s="270"/>
      <c r="L28" s="208"/>
      <c r="M28" s="24"/>
    </row>
    <row r="29" spans="1:16" x14ac:dyDescent="0.2">
      <c r="A29" s="159" t="s">
        <v>33</v>
      </c>
      <c r="B29" s="159"/>
      <c r="C29" s="39">
        <f>'BRA Resource Clearing Results'!D52</f>
        <v>2507.4</v>
      </c>
      <c r="D29" s="23">
        <f>'BRA Resource Clearing Results'!C9+'BRA Resource Clearing Results'!C10</f>
        <v>0</v>
      </c>
      <c r="E29" s="159"/>
      <c r="F29" s="159"/>
      <c r="G29" s="14"/>
      <c r="H29" s="15" t="s">
        <v>16</v>
      </c>
      <c r="I29" s="227">
        <v>14</v>
      </c>
      <c r="J29" s="361">
        <f t="shared" ref="J29:J30" si="1">I29*VLOOKUP(H29,$A$41:$L$61,9,0)*$B$6*VLOOKUP(H29,$A$41:$L$61,12,0)</f>
        <v>3622.0534716087441</v>
      </c>
      <c r="K29" s="270"/>
      <c r="L29" s="208"/>
      <c r="M29" s="24"/>
    </row>
    <row r="30" spans="1:16" x14ac:dyDescent="0.2">
      <c r="A30" s="57" t="s">
        <v>7</v>
      </c>
      <c r="B30" s="133">
        <f>F15</f>
        <v>269.92</v>
      </c>
      <c r="C30" s="39">
        <f>C29+C28</f>
        <v>4390.3</v>
      </c>
      <c r="D30" s="136">
        <f>(C29*D29+C28*D28)/C30</f>
        <v>0</v>
      </c>
      <c r="E30" s="137">
        <f>('BRA Resource Clearing Results'!G72+'BRA Resource Clearing Results'!G73)/J60</f>
        <v>0</v>
      </c>
      <c r="F30" s="138">
        <f>B30+D30+E30</f>
        <v>269.92</v>
      </c>
      <c r="G30" s="14"/>
      <c r="H30" s="15" t="s">
        <v>14</v>
      </c>
      <c r="I30" s="227">
        <v>75</v>
      </c>
      <c r="J30" s="361">
        <f t="shared" si="1"/>
        <v>19361.804324098368</v>
      </c>
      <c r="K30" s="224"/>
      <c r="L30" s="225"/>
      <c r="M30" s="24"/>
    </row>
    <row r="31" spans="1:16" x14ac:dyDescent="0.2">
      <c r="A31" s="159" t="s">
        <v>35</v>
      </c>
      <c r="B31" s="159"/>
      <c r="C31" s="39">
        <v>2969.0000000000005</v>
      </c>
      <c r="D31" s="23">
        <v>0</v>
      </c>
      <c r="E31" s="159"/>
      <c r="F31" s="159"/>
      <c r="G31" s="201" t="s">
        <v>23</v>
      </c>
      <c r="H31" s="155" t="s">
        <v>149</v>
      </c>
      <c r="I31" s="228">
        <f>SUM(I28:I30)</f>
        <v>224</v>
      </c>
      <c r="J31" s="207">
        <f>SUM(J28:J30)</f>
        <v>84222.233664228494</v>
      </c>
      <c r="L31" s="28"/>
      <c r="M31" s="24"/>
    </row>
    <row r="32" spans="1:16" x14ac:dyDescent="0.2">
      <c r="A32" s="159" t="s">
        <v>34</v>
      </c>
      <c r="B32" s="159"/>
      <c r="C32" s="39">
        <f>'BRA Resource Clearing Results'!D53</f>
        <v>956.9</v>
      </c>
      <c r="D32" s="73">
        <f>'BRA Resource Clearing Results'!C11</f>
        <v>0</v>
      </c>
      <c r="E32" s="159"/>
      <c r="F32" s="159"/>
      <c r="G32" s="14"/>
      <c r="H32" s="14"/>
      <c r="L32" s="28"/>
      <c r="M32" s="24"/>
    </row>
    <row r="33" spans="1:16" x14ac:dyDescent="0.2">
      <c r="A33" s="57" t="s">
        <v>16</v>
      </c>
      <c r="B33" s="133">
        <f>F15</f>
        <v>269.92</v>
      </c>
      <c r="C33" s="35">
        <f>C31+C32</f>
        <v>3925.9000000000005</v>
      </c>
      <c r="D33" s="136">
        <f>(C32*D32+C31*D31)/C33</f>
        <v>0</v>
      </c>
      <c r="E33" s="137">
        <f>'BRA Resource Clearing Results'!G74/'BRA Load Pricing Results'!J51</f>
        <v>0</v>
      </c>
      <c r="F33" s="138">
        <f>B33+D33+E33</f>
        <v>269.92</v>
      </c>
      <c r="G33" s="14"/>
      <c r="H33" s="14"/>
      <c r="L33" s="28"/>
      <c r="M33" s="24"/>
    </row>
    <row r="34" spans="1:16" x14ac:dyDescent="0.2">
      <c r="A34" s="159" t="s">
        <v>97</v>
      </c>
      <c r="B34" s="159"/>
      <c r="C34" s="35">
        <f>'BRA Resource Clearing Results'!D55</f>
        <v>6150.9</v>
      </c>
      <c r="D34" s="23">
        <f>'BRA Resource Clearing Results'!C13</f>
        <v>0</v>
      </c>
      <c r="E34" s="159"/>
      <c r="F34" s="159"/>
      <c r="G34" s="14"/>
      <c r="H34" s="208"/>
      <c r="L34" s="28"/>
      <c r="M34" s="24"/>
    </row>
    <row r="35" spans="1:16" x14ac:dyDescent="0.2">
      <c r="A35" s="159" t="s">
        <v>96</v>
      </c>
      <c r="B35" s="159"/>
      <c r="C35" s="39">
        <f>'BRA Resource Clearing Results'!D56</f>
        <v>1614</v>
      </c>
      <c r="D35" s="23">
        <f>'BRA Resource Clearing Results'!C13+'BRA Resource Clearing Results'!C14</f>
        <v>0</v>
      </c>
      <c r="E35" s="159"/>
      <c r="F35" s="159"/>
      <c r="G35" s="14"/>
      <c r="H35" s="14"/>
      <c r="L35" s="277" t="s">
        <v>23</v>
      </c>
    </row>
    <row r="36" spans="1:16" x14ac:dyDescent="0.2">
      <c r="A36" s="57" t="s">
        <v>42</v>
      </c>
      <c r="B36" s="133">
        <f>F13</f>
        <v>269.92</v>
      </c>
      <c r="C36" s="39">
        <f>C35+C34</f>
        <v>7764.9</v>
      </c>
      <c r="D36" s="136">
        <f>(C35*D35+C34*D34)/C36</f>
        <v>0</v>
      </c>
      <c r="E36" s="137">
        <f>('BRA Resource Clearing Results'!G76+'BRA Resource Clearing Results'!G77)/'BRA Load Pricing Results'!J44</f>
        <v>0</v>
      </c>
      <c r="F36" s="138">
        <f>B36+D36+E36</f>
        <v>269.92</v>
      </c>
      <c r="G36" s="14"/>
      <c r="H36" s="14"/>
    </row>
    <row r="37" spans="1:16" ht="12.75" customHeight="1" x14ac:dyDescent="0.2">
      <c r="A37" s="93" t="s">
        <v>158</v>
      </c>
      <c r="B37" s="93"/>
      <c r="C37" s="74"/>
      <c r="D37" s="74"/>
      <c r="E37" s="74"/>
      <c r="F37" s="74"/>
      <c r="G37" s="91"/>
      <c r="H37" s="14"/>
      <c r="I37" s="14"/>
      <c r="J37" s="14"/>
      <c r="K37" s="14"/>
      <c r="L37" s="14"/>
      <c r="M37" s="14"/>
      <c r="N37" s="14"/>
      <c r="O37" s="14"/>
      <c r="P37" s="14"/>
    </row>
    <row r="38" spans="1:16" x14ac:dyDescent="0.2">
      <c r="A38" s="24"/>
      <c r="B38" s="28"/>
      <c r="C38" s="28"/>
      <c r="D38" s="28" t="s">
        <v>23</v>
      </c>
      <c r="E38" s="37"/>
      <c r="F38" s="75" t="s">
        <v>23</v>
      </c>
      <c r="G38" s="304" t="s">
        <v>23</v>
      </c>
      <c r="H38" s="68"/>
      <c r="I38" s="68"/>
      <c r="J38" s="68"/>
      <c r="K38" s="68"/>
      <c r="L38" s="68"/>
      <c r="M38" s="68" t="s">
        <v>23</v>
      </c>
      <c r="N38" s="68"/>
      <c r="O38" s="76"/>
      <c r="P38" s="14"/>
    </row>
    <row r="39" spans="1:16" s="2" customFormat="1" ht="18" x14ac:dyDescent="0.25">
      <c r="A39" s="158" t="s">
        <v>38</v>
      </c>
      <c r="B39" s="87"/>
      <c r="C39" s="14"/>
      <c r="D39" s="14"/>
      <c r="E39" s="77"/>
      <c r="F39" s="77"/>
      <c r="G39" s="77"/>
      <c r="H39" s="77"/>
      <c r="I39" s="77"/>
      <c r="J39" s="77"/>
      <c r="K39" s="77"/>
      <c r="L39" s="77"/>
      <c r="M39" s="77"/>
      <c r="O39" s="88"/>
      <c r="P39" s="14"/>
    </row>
    <row r="40" spans="1:16" ht="54.95" customHeight="1" x14ac:dyDescent="0.2">
      <c r="A40" s="142" t="s">
        <v>6</v>
      </c>
      <c r="B40" s="142" t="s">
        <v>26</v>
      </c>
      <c r="C40" s="142" t="s">
        <v>25</v>
      </c>
      <c r="D40" s="142" t="s">
        <v>30</v>
      </c>
      <c r="E40" s="142" t="s">
        <v>236</v>
      </c>
      <c r="F40" s="142" t="s">
        <v>21</v>
      </c>
      <c r="G40" s="142" t="s">
        <v>235</v>
      </c>
      <c r="H40" s="153" t="s">
        <v>22</v>
      </c>
      <c r="I40" s="153" t="s">
        <v>24</v>
      </c>
      <c r="J40" s="142" t="s">
        <v>164</v>
      </c>
      <c r="K40" s="213" t="s">
        <v>31</v>
      </c>
      <c r="L40" s="213" t="s">
        <v>165</v>
      </c>
      <c r="M40" s="142" t="s">
        <v>6</v>
      </c>
    </row>
    <row r="41" spans="1:16" x14ac:dyDescent="0.2">
      <c r="A41" s="159" t="s">
        <v>15</v>
      </c>
      <c r="B41" s="81" t="s">
        <v>27</v>
      </c>
      <c r="C41" s="81" t="s">
        <v>32</v>
      </c>
      <c r="D41" s="81"/>
      <c r="E41" s="363">
        <f t="shared" ref="E41:E61" si="2">G41/F41</f>
        <v>2310.0011770706637</v>
      </c>
      <c r="F41" s="383">
        <v>1.0194799999999999</v>
      </c>
      <c r="G41" s="363">
        <v>2355</v>
      </c>
      <c r="H41" s="367">
        <f>$B$8</f>
        <v>1.0158749708955122</v>
      </c>
      <c r="I41" s="367">
        <f>H41*F41</f>
        <v>1.0356642153285567</v>
      </c>
      <c r="J41" s="363">
        <f>E41*I41*$B$6</f>
        <v>2245.7323218479987</v>
      </c>
      <c r="K41" s="214">
        <f>F15</f>
        <v>269.92</v>
      </c>
      <c r="L41" s="293">
        <v>270.34597037427466</v>
      </c>
      <c r="M41" s="159" t="s">
        <v>15</v>
      </c>
      <c r="O41" s="348"/>
      <c r="P41" s="349"/>
    </row>
    <row r="42" spans="1:16" x14ac:dyDescent="0.2">
      <c r="A42" s="15" t="s">
        <v>159</v>
      </c>
      <c r="B42" s="81"/>
      <c r="C42" s="81"/>
      <c r="D42" s="81"/>
      <c r="E42" s="363">
        <f t="shared" si="2"/>
        <v>11704.105705840117</v>
      </c>
      <c r="F42" s="383">
        <v>1.0724100000000001</v>
      </c>
      <c r="G42" s="363">
        <v>12551.6</v>
      </c>
      <c r="H42" s="367">
        <f t="shared" ref="H42:H61" si="3">$B$8</f>
        <v>1.0158749708955122</v>
      </c>
      <c r="I42" s="367">
        <f>H42*F42</f>
        <v>1.0894344775380562</v>
      </c>
      <c r="J42" s="363">
        <f t="shared" ref="J42:J61" si="4">E42*I42*$B$6</f>
        <v>11969.228794440483</v>
      </c>
      <c r="K42" s="214">
        <f>F13</f>
        <v>269.92</v>
      </c>
      <c r="L42" s="293">
        <v>270.34597037427466</v>
      </c>
      <c r="M42" s="159" t="s">
        <v>159</v>
      </c>
      <c r="O42" s="348"/>
      <c r="P42" s="349"/>
    </row>
    <row r="43" spans="1:16" x14ac:dyDescent="0.2">
      <c r="A43" s="159" t="s">
        <v>18</v>
      </c>
      <c r="B43" s="81" t="s">
        <v>23</v>
      </c>
      <c r="C43" s="81"/>
      <c r="D43" s="81"/>
      <c r="E43" s="363">
        <f t="shared" si="2"/>
        <v>8452.2000000000007</v>
      </c>
      <c r="F43" s="383">
        <v>1.0454082960649298</v>
      </c>
      <c r="G43" s="363">
        <v>8836</v>
      </c>
      <c r="H43" s="367">
        <f t="shared" si="3"/>
        <v>1.0158749708955122</v>
      </c>
      <c r="I43" s="367">
        <f t="shared" ref="I43:I61" si="5">H43*F43</f>
        <v>1.0620041223388874</v>
      </c>
      <c r="J43" s="363">
        <f t="shared" si="4"/>
        <v>8426.0258156470973</v>
      </c>
      <c r="K43" s="214">
        <f>F13</f>
        <v>269.92</v>
      </c>
      <c r="L43" s="293">
        <v>270.34597037427466</v>
      </c>
      <c r="M43" s="159" t="s">
        <v>18</v>
      </c>
      <c r="O43" s="348"/>
      <c r="P43" s="349"/>
    </row>
    <row r="44" spans="1:16" x14ac:dyDescent="0.2">
      <c r="A44" s="159" t="s">
        <v>42</v>
      </c>
      <c r="B44" s="81"/>
      <c r="C44" s="81"/>
      <c r="D44" s="81" t="s">
        <v>42</v>
      </c>
      <c r="E44" s="363">
        <f t="shared" si="2"/>
        <v>11550</v>
      </c>
      <c r="F44" s="383">
        <v>1.037056277056277</v>
      </c>
      <c r="G44" s="363">
        <v>11978</v>
      </c>
      <c r="H44" s="367">
        <f t="shared" si="3"/>
        <v>1.0158749708955122</v>
      </c>
      <c r="I44" s="367">
        <f t="shared" si="5"/>
        <v>1.0535195152715535</v>
      </c>
      <c r="J44" s="363">
        <f t="shared" si="4"/>
        <v>11422.242781781453</v>
      </c>
      <c r="K44" s="214">
        <f>F36</f>
        <v>269.92</v>
      </c>
      <c r="L44" s="293">
        <v>270.34597037427466</v>
      </c>
      <c r="M44" s="159" t="s">
        <v>42</v>
      </c>
      <c r="O44" s="348"/>
      <c r="P44" s="349"/>
    </row>
    <row r="45" spans="1:16" x14ac:dyDescent="0.2">
      <c r="A45" s="159" t="s">
        <v>10</v>
      </c>
      <c r="B45" s="81" t="s">
        <v>27</v>
      </c>
      <c r="C45" s="81" t="s">
        <v>4</v>
      </c>
      <c r="D45" s="81" t="s">
        <v>10</v>
      </c>
      <c r="E45" s="363">
        <f t="shared" si="2"/>
        <v>6200</v>
      </c>
      <c r="F45" s="383">
        <v>1.0095161290322581</v>
      </c>
      <c r="G45" s="363">
        <v>6259</v>
      </c>
      <c r="H45" s="367">
        <f t="shared" si="3"/>
        <v>1.0158749708955122</v>
      </c>
      <c r="I45" s="367">
        <f t="shared" si="5"/>
        <v>1.0255421681991952</v>
      </c>
      <c r="J45" s="363">
        <f t="shared" si="4"/>
        <v>5968.5938863892243</v>
      </c>
      <c r="K45" s="214">
        <f>F19</f>
        <v>466.35</v>
      </c>
      <c r="L45" s="293">
        <v>471.20463671940956</v>
      </c>
      <c r="M45" s="159" t="s">
        <v>10</v>
      </c>
      <c r="O45" s="348"/>
      <c r="P45" s="349"/>
    </row>
    <row r="46" spans="1:16" x14ac:dyDescent="0.2">
      <c r="A46" s="159" t="s">
        <v>19</v>
      </c>
      <c r="B46" s="81"/>
      <c r="C46" s="81"/>
      <c r="D46" s="81" t="s">
        <v>19</v>
      </c>
      <c r="E46" s="363">
        <f t="shared" si="2"/>
        <v>18720</v>
      </c>
      <c r="F46" s="383">
        <v>1.0063568376068377</v>
      </c>
      <c r="G46" s="363">
        <v>18839</v>
      </c>
      <c r="H46" s="367">
        <f t="shared" si="3"/>
        <v>1.0158749708955122</v>
      </c>
      <c r="I46" s="367">
        <f t="shared" si="5"/>
        <v>1.022332723114346</v>
      </c>
      <c r="J46" s="363">
        <f t="shared" si="4"/>
        <v>17964.904972948811</v>
      </c>
      <c r="K46" s="214">
        <f>F18</f>
        <v>269.92</v>
      </c>
      <c r="L46" s="293">
        <v>270.34597037427466</v>
      </c>
      <c r="M46" s="159" t="s">
        <v>19</v>
      </c>
      <c r="O46" s="348"/>
      <c r="P46" s="349"/>
    </row>
    <row r="47" spans="1:16" x14ac:dyDescent="0.2">
      <c r="A47" s="159" t="s">
        <v>20</v>
      </c>
      <c r="B47" s="81"/>
      <c r="C47" s="81"/>
      <c r="D47" s="81" t="s">
        <v>20</v>
      </c>
      <c r="E47" s="363">
        <f t="shared" si="2"/>
        <v>3140</v>
      </c>
      <c r="F47" s="383">
        <v>0.99840764331210186</v>
      </c>
      <c r="G47" s="363">
        <v>3135</v>
      </c>
      <c r="H47" s="367">
        <f t="shared" si="3"/>
        <v>1.0158749708955122</v>
      </c>
      <c r="I47" s="367">
        <f t="shared" si="5"/>
        <v>1.0142573355915383</v>
      </c>
      <c r="J47" s="363">
        <f t="shared" si="4"/>
        <v>2989.5417532880997</v>
      </c>
      <c r="K47" s="214">
        <f>F21</f>
        <v>269.92</v>
      </c>
      <c r="L47" s="293">
        <v>270.34597037427466</v>
      </c>
      <c r="M47" s="159" t="s">
        <v>20</v>
      </c>
      <c r="O47" s="350"/>
      <c r="P47" s="351"/>
    </row>
    <row r="48" spans="1:16" x14ac:dyDescent="0.2">
      <c r="A48" s="159" t="s">
        <v>160</v>
      </c>
      <c r="B48" s="81"/>
      <c r="C48" s="81"/>
      <c r="D48" s="81" t="s">
        <v>49</v>
      </c>
      <c r="E48" s="363">
        <f t="shared" si="2"/>
        <v>4205.6388888888896</v>
      </c>
      <c r="F48" s="383">
        <v>1.009145129224652</v>
      </c>
      <c r="G48" s="363">
        <v>4244.1000000000004</v>
      </c>
      <c r="H48" s="367">
        <f t="shared" si="3"/>
        <v>1.0158749708955122</v>
      </c>
      <c r="I48" s="367">
        <f t="shared" si="5"/>
        <v>1.0251652787804413</v>
      </c>
      <c r="J48" s="363">
        <f t="shared" si="4"/>
        <v>4047.1815486858141</v>
      </c>
      <c r="K48" s="214">
        <f>F22</f>
        <v>269.92</v>
      </c>
      <c r="L48" s="293">
        <v>270.34597037427466</v>
      </c>
      <c r="M48" s="159" t="s">
        <v>160</v>
      </c>
      <c r="O48" s="350"/>
      <c r="P48" s="351"/>
    </row>
    <row r="49" spans="1:16" x14ac:dyDescent="0.2">
      <c r="A49" s="159" t="s">
        <v>41</v>
      </c>
      <c r="B49" s="81"/>
      <c r="C49" s="81"/>
      <c r="D49" s="81"/>
      <c r="E49" s="363">
        <f t="shared" si="2"/>
        <v>2620</v>
      </c>
      <c r="F49" s="383">
        <v>1.000763358778626</v>
      </c>
      <c r="G49" s="363">
        <v>2622</v>
      </c>
      <c r="H49" s="367">
        <f t="shared" si="3"/>
        <v>1.0158749708955122</v>
      </c>
      <c r="I49" s="367">
        <f t="shared" si="5"/>
        <v>1.0166504479725316</v>
      </c>
      <c r="J49" s="363">
        <f t="shared" si="4"/>
        <v>2500.3440118409562</v>
      </c>
      <c r="K49" s="214">
        <f>F13</f>
        <v>269.92</v>
      </c>
      <c r="L49" s="293">
        <v>270.34597037427466</v>
      </c>
      <c r="M49" s="159" t="s">
        <v>41</v>
      </c>
      <c r="O49" s="350"/>
      <c r="P49" s="351"/>
    </row>
    <row r="50" spans="1:16" x14ac:dyDescent="0.2">
      <c r="A50" s="159" t="s">
        <v>29</v>
      </c>
      <c r="B50" s="81"/>
      <c r="C50" s="81"/>
      <c r="D50" s="81"/>
      <c r="E50" s="363">
        <f t="shared" si="2"/>
        <v>21200</v>
      </c>
      <c r="F50" s="383">
        <v>1.0858962264150944</v>
      </c>
      <c r="G50" s="363">
        <v>23021</v>
      </c>
      <c r="H50" s="367">
        <f t="shared" si="3"/>
        <v>1.0158749708955122</v>
      </c>
      <c r="I50" s="367">
        <f t="shared" si="5"/>
        <v>1.1031347974049805</v>
      </c>
      <c r="J50" s="363">
        <f t="shared" si="4"/>
        <v>21952.867847669972</v>
      </c>
      <c r="K50" s="214">
        <f>F23</f>
        <v>444.26</v>
      </c>
      <c r="L50" s="293">
        <v>444.68560406808871</v>
      </c>
      <c r="M50" s="159" t="s">
        <v>29</v>
      </c>
      <c r="O50" s="350"/>
      <c r="P50" s="351"/>
    </row>
    <row r="51" spans="1:16" x14ac:dyDescent="0.2">
      <c r="A51" s="159" t="s">
        <v>16</v>
      </c>
      <c r="B51" s="81" t="s">
        <v>27</v>
      </c>
      <c r="C51" s="81" t="s">
        <v>32</v>
      </c>
      <c r="D51" s="81" t="s">
        <v>16</v>
      </c>
      <c r="E51" s="363">
        <f t="shared" si="2"/>
        <v>3659.9999999999995</v>
      </c>
      <c r="F51" s="383">
        <v>1.0035519125683061</v>
      </c>
      <c r="G51" s="363">
        <v>3673</v>
      </c>
      <c r="H51" s="367">
        <f t="shared" si="3"/>
        <v>1.0158749708955122</v>
      </c>
      <c r="I51" s="367">
        <f t="shared" si="5"/>
        <v>1.0194832699724636</v>
      </c>
      <c r="J51" s="363">
        <f t="shared" si="4"/>
        <v>3502.5795406147345</v>
      </c>
      <c r="K51" s="214">
        <f>F33</f>
        <v>269.92</v>
      </c>
      <c r="L51" s="293">
        <v>270.34597037427466</v>
      </c>
      <c r="M51" s="159" t="s">
        <v>16</v>
      </c>
      <c r="O51" s="350"/>
      <c r="P51" s="351"/>
    </row>
    <row r="52" spans="1:16" x14ac:dyDescent="0.2">
      <c r="A52" s="159" t="s">
        <v>161</v>
      </c>
      <c r="B52" s="81"/>
      <c r="C52" s="81"/>
      <c r="D52" s="81"/>
      <c r="E52" s="363">
        <f t="shared" si="2"/>
        <v>1932.7168108075423</v>
      </c>
      <c r="F52" s="383">
        <v>1.2113000657462196</v>
      </c>
      <c r="G52" s="363">
        <v>2341.1</v>
      </c>
      <c r="H52" s="367">
        <f t="shared" si="3"/>
        <v>1.0158749708955122</v>
      </c>
      <c r="I52" s="367">
        <f t="shared" si="5"/>
        <v>1.2305294190356728</v>
      </c>
      <c r="J52" s="363">
        <f t="shared" si="4"/>
        <v>2232.477256339002</v>
      </c>
      <c r="K52" s="214">
        <f>F13</f>
        <v>269.92</v>
      </c>
      <c r="L52" s="293">
        <v>270.34597037427466</v>
      </c>
      <c r="M52" s="159" t="s">
        <v>161</v>
      </c>
      <c r="O52" s="350"/>
      <c r="P52" s="351"/>
    </row>
    <row r="53" spans="1:16" x14ac:dyDescent="0.2">
      <c r="A53" s="159" t="s">
        <v>11</v>
      </c>
      <c r="B53" s="81" t="s">
        <v>27</v>
      </c>
      <c r="C53" s="81" t="s">
        <v>32</v>
      </c>
      <c r="D53" s="81"/>
      <c r="E53" s="363">
        <f t="shared" si="2"/>
        <v>5730</v>
      </c>
      <c r="F53" s="383">
        <v>0.99808027923211173</v>
      </c>
      <c r="G53" s="363">
        <v>5719</v>
      </c>
      <c r="H53" s="367">
        <f t="shared" si="3"/>
        <v>1.0158749708955122</v>
      </c>
      <c r="I53" s="367">
        <f t="shared" si="5"/>
        <v>1.0139247746163063</v>
      </c>
      <c r="J53" s="363">
        <f t="shared" si="4"/>
        <v>5453.6488953922317</v>
      </c>
      <c r="K53" s="214">
        <f>F15</f>
        <v>269.92</v>
      </c>
      <c r="L53" s="293">
        <v>270.34597037427466</v>
      </c>
      <c r="M53" s="159" t="s">
        <v>11</v>
      </c>
      <c r="O53" s="350"/>
      <c r="P53" s="351"/>
    </row>
    <row r="54" spans="1:16" x14ac:dyDescent="0.2">
      <c r="A54" s="159" t="s">
        <v>12</v>
      </c>
      <c r="B54" s="81" t="s">
        <v>27</v>
      </c>
      <c r="C54" s="81"/>
      <c r="D54" s="81"/>
      <c r="E54" s="363">
        <f t="shared" si="2"/>
        <v>2900</v>
      </c>
      <c r="F54" s="383">
        <v>1.02</v>
      </c>
      <c r="G54" s="363">
        <v>2958</v>
      </c>
      <c r="H54" s="367">
        <f t="shared" si="3"/>
        <v>1.0158749708955122</v>
      </c>
      <c r="I54" s="367">
        <f t="shared" si="5"/>
        <v>1.0361924703134224</v>
      </c>
      <c r="J54" s="363">
        <f t="shared" si="4"/>
        <v>2820.7542284613078</v>
      </c>
      <c r="K54" s="214">
        <f>F14</f>
        <v>269.92</v>
      </c>
      <c r="L54" s="293">
        <v>270.34597037427466</v>
      </c>
      <c r="M54" s="159" t="s">
        <v>12</v>
      </c>
      <c r="O54" s="350"/>
      <c r="P54" s="351"/>
    </row>
    <row r="55" spans="1:16" x14ac:dyDescent="0.2">
      <c r="A55" s="159" t="s">
        <v>173</v>
      </c>
      <c r="B55" s="81"/>
      <c r="C55" s="81"/>
      <c r="D55" s="81"/>
      <c r="E55" s="363">
        <f t="shared" si="2"/>
        <v>60</v>
      </c>
      <c r="F55" s="383">
        <v>1</v>
      </c>
      <c r="G55" s="363">
        <v>60</v>
      </c>
      <c r="H55" s="367">
        <f t="shared" si="3"/>
        <v>1.0158749708955122</v>
      </c>
      <c r="I55" s="367">
        <f t="shared" si="5"/>
        <v>1.0158749708955122</v>
      </c>
      <c r="J55" s="363">
        <f t="shared" si="4"/>
        <v>57.216110110777038</v>
      </c>
      <c r="K55" s="214">
        <f>F13</f>
        <v>269.92</v>
      </c>
      <c r="L55" s="293">
        <v>270.34597037427466</v>
      </c>
      <c r="M55" s="159" t="s">
        <v>173</v>
      </c>
      <c r="O55" s="350"/>
      <c r="P55" s="351"/>
    </row>
    <row r="56" spans="1:16" x14ac:dyDescent="0.2">
      <c r="A56" s="159" t="s">
        <v>8</v>
      </c>
      <c r="B56" s="81" t="s">
        <v>27</v>
      </c>
      <c r="C56" s="81" t="s">
        <v>32</v>
      </c>
      <c r="D56" s="81"/>
      <c r="E56" s="363">
        <f t="shared" si="2"/>
        <v>8030</v>
      </c>
      <c r="F56" s="383">
        <v>1.0110834371108344</v>
      </c>
      <c r="G56" s="363">
        <v>8119</v>
      </c>
      <c r="H56" s="367">
        <f t="shared" si="3"/>
        <v>1.0158749708955122</v>
      </c>
      <c r="I56" s="367">
        <f t="shared" si="5"/>
        <v>1.0271343572479033</v>
      </c>
      <c r="J56" s="363">
        <f t="shared" si="4"/>
        <v>7742.2932998233127</v>
      </c>
      <c r="K56" s="214">
        <f>F15</f>
        <v>269.92</v>
      </c>
      <c r="L56" s="293">
        <v>270.34597037427466</v>
      </c>
      <c r="M56" s="159" t="s">
        <v>8</v>
      </c>
      <c r="O56" s="350"/>
      <c r="P56" s="351"/>
    </row>
    <row r="57" spans="1:16" x14ac:dyDescent="0.2">
      <c r="A57" s="159" t="s">
        <v>13</v>
      </c>
      <c r="B57" s="81" t="s">
        <v>27</v>
      </c>
      <c r="C57" s="81"/>
      <c r="D57" s="81"/>
      <c r="E57" s="363">
        <f t="shared" si="2"/>
        <v>2730</v>
      </c>
      <c r="F57" s="383">
        <v>1.0054945054945055</v>
      </c>
      <c r="G57" s="363">
        <v>2745</v>
      </c>
      <c r="H57" s="367">
        <f t="shared" si="3"/>
        <v>1.0158749708955122</v>
      </c>
      <c r="I57" s="367">
        <f t="shared" si="5"/>
        <v>1.0214567015048281</v>
      </c>
      <c r="J57" s="363">
        <f t="shared" si="4"/>
        <v>2617.637037568049</v>
      </c>
      <c r="K57" s="214">
        <f>F14</f>
        <v>269.92</v>
      </c>
      <c r="L57" s="293">
        <v>270.34597037427466</v>
      </c>
      <c r="M57" s="159" t="s">
        <v>13</v>
      </c>
      <c r="O57" s="350"/>
      <c r="P57" s="351"/>
    </row>
    <row r="58" spans="1:16" x14ac:dyDescent="0.2">
      <c r="A58" s="159" t="s">
        <v>14</v>
      </c>
      <c r="B58" s="81" t="s">
        <v>27</v>
      </c>
      <c r="C58" s="81" t="s">
        <v>4</v>
      </c>
      <c r="D58" s="81" t="s">
        <v>14</v>
      </c>
      <c r="E58" s="363">
        <f t="shared" si="2"/>
        <v>5810</v>
      </c>
      <c r="F58" s="383">
        <v>1.0013769363166953</v>
      </c>
      <c r="G58" s="363">
        <v>5818</v>
      </c>
      <c r="H58" s="367">
        <f t="shared" si="3"/>
        <v>1.0158749708955122</v>
      </c>
      <c r="I58" s="367">
        <f t="shared" si="5"/>
        <v>1.0172737660361599</v>
      </c>
      <c r="J58" s="363">
        <f t="shared" si="4"/>
        <v>5548.0554770750123</v>
      </c>
      <c r="K58" s="214">
        <f>F17</f>
        <v>269.92</v>
      </c>
      <c r="L58" s="293">
        <v>270.34597037427466</v>
      </c>
      <c r="M58" s="159" t="s">
        <v>14</v>
      </c>
      <c r="O58" s="350"/>
      <c r="P58" s="351"/>
    </row>
    <row r="59" spans="1:16" x14ac:dyDescent="0.2">
      <c r="A59" s="159" t="s">
        <v>9</v>
      </c>
      <c r="B59" s="81" t="s">
        <v>27</v>
      </c>
      <c r="C59" s="81"/>
      <c r="D59" s="81" t="s">
        <v>9</v>
      </c>
      <c r="E59" s="363">
        <f t="shared" si="2"/>
        <v>7034.2</v>
      </c>
      <c r="F59" s="383">
        <v>1.0008245429473146</v>
      </c>
      <c r="G59" s="363">
        <v>7040</v>
      </c>
      <c r="H59" s="367">
        <f t="shared" si="3"/>
        <v>1.0158749708955122</v>
      </c>
      <c r="I59" s="367">
        <f t="shared" si="5"/>
        <v>1.0167126034381175</v>
      </c>
      <c r="J59" s="363">
        <f t="shared" si="4"/>
        <v>6713.3569196645058</v>
      </c>
      <c r="K59" s="214">
        <f>F20</f>
        <v>269.92</v>
      </c>
      <c r="L59" s="293">
        <v>270.34597037427466</v>
      </c>
      <c r="M59" s="159" t="s">
        <v>9</v>
      </c>
      <c r="O59" s="350"/>
      <c r="P59" s="351"/>
    </row>
    <row r="60" spans="1:16" x14ac:dyDescent="0.2">
      <c r="A60" s="159" t="s">
        <v>7</v>
      </c>
      <c r="B60" s="81" t="s">
        <v>27</v>
      </c>
      <c r="C60" s="81" t="s">
        <v>32</v>
      </c>
      <c r="D60" s="81" t="s">
        <v>7</v>
      </c>
      <c r="E60" s="363">
        <f t="shared" si="2"/>
        <v>9420</v>
      </c>
      <c r="F60" s="383">
        <v>1.0174097664543524</v>
      </c>
      <c r="G60" s="363">
        <v>9584</v>
      </c>
      <c r="H60" s="367">
        <f t="shared" si="3"/>
        <v>1.0158749708955122</v>
      </c>
      <c r="I60" s="367">
        <f t="shared" si="5"/>
        <v>1.0335611168856251</v>
      </c>
      <c r="J60" s="363">
        <f t="shared" si="4"/>
        <v>9139.3199883614525</v>
      </c>
      <c r="K60" s="214">
        <f>F30</f>
        <v>269.92</v>
      </c>
      <c r="L60" s="293">
        <v>270.34597037427466</v>
      </c>
      <c r="M60" s="159" t="s">
        <v>7</v>
      </c>
      <c r="O60" s="350"/>
      <c r="P60" s="351"/>
    </row>
    <row r="61" spans="1:16" x14ac:dyDescent="0.2">
      <c r="A61" s="159" t="s">
        <v>17</v>
      </c>
      <c r="B61" s="81" t="s">
        <v>27</v>
      </c>
      <c r="C61" s="81" t="s">
        <v>32</v>
      </c>
      <c r="D61" s="81"/>
      <c r="E61" s="363">
        <f t="shared" si="2"/>
        <v>390</v>
      </c>
      <c r="F61" s="383">
        <v>0.99487179487179489</v>
      </c>
      <c r="G61" s="363">
        <v>388</v>
      </c>
      <c r="H61" s="367">
        <f t="shared" si="3"/>
        <v>1.0158749708955122</v>
      </c>
      <c r="I61" s="367">
        <f t="shared" si="5"/>
        <v>1.0106653556601506</v>
      </c>
      <c r="J61" s="363">
        <f t="shared" si="4"/>
        <v>369.99751204969147</v>
      </c>
      <c r="K61" s="214">
        <f>F15</f>
        <v>269.92</v>
      </c>
      <c r="L61" s="293">
        <v>270.34597037427466</v>
      </c>
      <c r="M61" s="159" t="s">
        <v>17</v>
      </c>
      <c r="O61" s="350"/>
      <c r="P61" s="351"/>
    </row>
    <row r="62" spans="1:16" ht="12.75" customHeight="1" x14ac:dyDescent="0.2">
      <c r="A62" s="85" t="s">
        <v>64</v>
      </c>
      <c r="B62" s="16"/>
      <c r="C62" s="24"/>
      <c r="D62" s="24"/>
      <c r="E62" s="154">
        <f>SUM(E41:E61)</f>
        <v>137798.86258260719</v>
      </c>
      <c r="F62" s="155"/>
      <c r="G62" s="156">
        <f>SUM(G41:G61)</f>
        <v>142285.79999999999</v>
      </c>
      <c r="H62" s="57"/>
      <c r="I62" s="57"/>
      <c r="J62" s="157">
        <f>SUM(J41:J61)</f>
        <v>135683.99999999997</v>
      </c>
      <c r="K62" s="226"/>
      <c r="L62" s="298" t="s">
        <v>23</v>
      </c>
      <c r="M62" s="298"/>
      <c r="O62" s="351"/>
    </row>
    <row r="63" spans="1:16" x14ac:dyDescent="0.2">
      <c r="A63" s="85" t="s">
        <v>162</v>
      </c>
      <c r="B63" s="24"/>
      <c r="C63" s="24"/>
      <c r="D63" s="24"/>
      <c r="E63" s="24"/>
      <c r="F63" s="24"/>
      <c r="G63" s="92" t="s">
        <v>23</v>
      </c>
      <c r="H63" s="24"/>
      <c r="I63" s="24"/>
      <c r="J63" s="104"/>
      <c r="K63" s="24"/>
      <c r="L63" s="299"/>
      <c r="M63" s="299"/>
      <c r="N63" s="24"/>
      <c r="O63" s="24"/>
      <c r="P63" s="14"/>
    </row>
    <row r="64" spans="1:16" ht="12.75" customHeight="1" x14ac:dyDescent="0.2">
      <c r="A64" s="255" t="s">
        <v>163</v>
      </c>
      <c r="B64" s="193"/>
      <c r="C64" s="193"/>
      <c r="D64" s="193"/>
      <c r="E64" s="193"/>
      <c r="F64" s="562"/>
      <c r="G64" s="562"/>
      <c r="H64" s="193"/>
      <c r="I64" s="193"/>
      <c r="J64" s="193"/>
      <c r="K64" s="193"/>
      <c r="L64" s="299"/>
      <c r="M64" s="299"/>
      <c r="N64" s="193"/>
      <c r="O64" s="193"/>
      <c r="P64" s="14"/>
    </row>
    <row r="65" spans="1:14" x14ac:dyDescent="0.2">
      <c r="A65" s="343"/>
      <c r="C65" s="292"/>
      <c r="D65" s="292"/>
      <c r="E65" s="352"/>
      <c r="F65" s="292"/>
      <c r="G65" s="292"/>
      <c r="I65" s="292"/>
      <c r="J65" s="292"/>
      <c r="M65" s="353" t="s">
        <v>23</v>
      </c>
    </row>
    <row r="66" spans="1:14" x14ac:dyDescent="0.2">
      <c r="A66" s="343"/>
      <c r="C66" s="292"/>
      <c r="D66" s="292"/>
      <c r="E66" s="352"/>
      <c r="F66" s="292"/>
      <c r="G66" s="292"/>
      <c r="H66" s="354"/>
      <c r="I66" s="292"/>
      <c r="J66" s="292"/>
      <c r="K66" s="355"/>
      <c r="L66" s="355"/>
      <c r="M66" s="356" t="s">
        <v>23</v>
      </c>
      <c r="N66" s="355"/>
    </row>
    <row r="67" spans="1:14" x14ac:dyDescent="0.2">
      <c r="M67" s="357" t="s">
        <v>23</v>
      </c>
    </row>
    <row r="68" spans="1:14" ht="15" x14ac:dyDescent="0.25">
      <c r="A68" s="10"/>
      <c r="F68" s="516"/>
      <c r="G68" s="354"/>
    </row>
    <row r="69" spans="1:14" x14ac:dyDescent="0.2">
      <c r="E69" s="354"/>
      <c r="F69" s="354"/>
      <c r="G69" s="354"/>
      <c r="H69" s="354"/>
    </row>
    <row r="70" spans="1:14" x14ac:dyDescent="0.2">
      <c r="E70" s="354"/>
      <c r="F70" s="354"/>
      <c r="G70" s="354"/>
    </row>
    <row r="79" spans="1:14" x14ac:dyDescent="0.2">
      <c r="B79" s="277" t="s">
        <v>23</v>
      </c>
    </row>
    <row r="80" spans="1:14" x14ac:dyDescent="0.2">
      <c r="B80" s="277" t="s">
        <v>23</v>
      </c>
    </row>
    <row r="81" spans="2:4" x14ac:dyDescent="0.2">
      <c r="B81" s="277" t="s">
        <v>23</v>
      </c>
      <c r="C81" s="277" t="s">
        <v>23</v>
      </c>
      <c r="D81" s="277" t="s">
        <v>23</v>
      </c>
    </row>
    <row r="82" spans="2:4" x14ac:dyDescent="0.2">
      <c r="B82" s="277" t="s">
        <v>23</v>
      </c>
    </row>
    <row r="83" spans="2:4" x14ac:dyDescent="0.2">
      <c r="B83" s="277" t="s">
        <v>23</v>
      </c>
    </row>
    <row r="84" spans="2:4" x14ac:dyDescent="0.2">
      <c r="B84" s="277" t="s">
        <v>23</v>
      </c>
    </row>
  </sheetData>
  <mergeCells count="1">
    <mergeCell ref="F64:G6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M52"/>
  <sheetViews>
    <sheetView zoomScaleNormal="100" workbookViewId="0"/>
  </sheetViews>
  <sheetFormatPr defaultRowHeight="12.75" x14ac:dyDescent="0.2"/>
  <cols>
    <col min="1" max="1" width="17.5703125" customWidth="1"/>
    <col min="2" max="3" width="12.7109375" customWidth="1"/>
    <col min="4" max="4" width="15.42578125" customWidth="1"/>
    <col min="5" max="10" width="15.7109375" customWidth="1"/>
    <col min="11" max="11" width="17.28515625" bestFit="1" customWidth="1"/>
    <col min="12" max="26" width="15.7109375" customWidth="1"/>
    <col min="27" max="27" width="17.28515625" customWidth="1"/>
    <col min="28" max="28" width="15.7109375" customWidth="1"/>
    <col min="29" max="30" width="15.7109375" style="360" customWidth="1"/>
    <col min="31" max="34" width="15.7109375" customWidth="1"/>
    <col min="37" max="37" width="12.85546875" customWidth="1"/>
    <col min="39" max="39" width="12.7109375" customWidth="1"/>
  </cols>
  <sheetData>
    <row r="1" spans="1:30" ht="18.75" x14ac:dyDescent="0.3">
      <c r="A1" s="94" t="s">
        <v>234</v>
      </c>
      <c r="B1" s="4"/>
      <c r="C1" s="4"/>
      <c r="D1" s="342"/>
      <c r="E1" s="4"/>
      <c r="F1" s="4"/>
      <c r="G1" s="4"/>
      <c r="H1" s="4"/>
      <c r="I1" s="4"/>
      <c r="J1" s="4"/>
      <c r="K1" s="4"/>
      <c r="L1" s="4"/>
      <c r="M1" s="4"/>
      <c r="N1" s="4"/>
      <c r="O1" s="4"/>
      <c r="P1" s="4"/>
      <c r="Q1" s="4"/>
      <c r="R1" s="4"/>
      <c r="S1" s="4"/>
      <c r="T1" s="4"/>
      <c r="U1" s="4"/>
      <c r="V1" s="4"/>
      <c r="W1" s="4"/>
      <c r="X1" s="4"/>
      <c r="Y1" s="4"/>
    </row>
    <row r="2" spans="1:30" ht="19.5" thickBot="1" x14ac:dyDescent="0.35">
      <c r="A2" s="1" t="s">
        <v>23</v>
      </c>
      <c r="B2" s="4"/>
      <c r="C2" s="4"/>
      <c r="D2" s="385"/>
      <c r="E2" s="5" t="s">
        <v>23</v>
      </c>
      <c r="F2" s="4"/>
      <c r="G2" s="11"/>
      <c r="H2" s="4"/>
      <c r="I2" s="4"/>
      <c r="J2" s="4"/>
      <c r="K2" s="4"/>
      <c r="L2" s="4"/>
      <c r="M2" s="4"/>
      <c r="N2" s="4"/>
      <c r="O2" s="4"/>
      <c r="P2" s="4"/>
      <c r="Q2" s="4"/>
      <c r="R2" s="4"/>
      <c r="S2" s="4"/>
      <c r="T2" s="4"/>
      <c r="U2" s="4"/>
      <c r="V2" s="4"/>
      <c r="W2" s="4"/>
      <c r="X2" s="4"/>
      <c r="Y2" s="4"/>
    </row>
    <row r="3" spans="1:30" ht="16.5" thickBot="1" x14ac:dyDescent="0.3">
      <c r="A3" s="141" t="s">
        <v>59</v>
      </c>
      <c r="B3" s="86"/>
      <c r="C3" s="86"/>
      <c r="D3" s="175"/>
      <c r="E3" s="175"/>
      <c r="F3" s="176"/>
      <c r="G3" s="14"/>
      <c r="H3" s="95" t="s">
        <v>23</v>
      </c>
      <c r="I3" s="96"/>
      <c r="J3" s="172" t="s">
        <v>23</v>
      </c>
      <c r="K3" s="95"/>
      <c r="L3" s="95"/>
      <c r="M3" s="14"/>
      <c r="N3" s="14"/>
      <c r="O3" s="14"/>
      <c r="P3" s="14"/>
      <c r="Q3" s="14"/>
      <c r="R3" s="14"/>
      <c r="S3" s="14"/>
      <c r="T3" s="14"/>
      <c r="U3" s="14"/>
      <c r="V3" s="14"/>
      <c r="W3" s="14"/>
      <c r="X3" s="14"/>
      <c r="Y3" s="95"/>
      <c r="Z3" s="14"/>
      <c r="AA3" s="14"/>
      <c r="AB3" s="14"/>
      <c r="AC3" s="14"/>
      <c r="AD3" s="14"/>
    </row>
    <row r="4" spans="1:30" ht="114.75" x14ac:dyDescent="0.2">
      <c r="A4" s="169" t="s">
        <v>2</v>
      </c>
      <c r="B4" s="170" t="s">
        <v>60</v>
      </c>
      <c r="C4" s="170" t="s">
        <v>61</v>
      </c>
      <c r="D4" s="170" t="s">
        <v>77</v>
      </c>
      <c r="E4" s="97" t="s">
        <v>62</v>
      </c>
      <c r="F4" s="97" t="s">
        <v>88</v>
      </c>
      <c r="G4" s="97" t="s">
        <v>68</v>
      </c>
      <c r="H4" s="97" t="s">
        <v>89</v>
      </c>
      <c r="I4" s="241" t="s">
        <v>91</v>
      </c>
      <c r="J4" s="368"/>
      <c r="K4" s="14"/>
      <c r="L4" s="69"/>
      <c r="M4" s="21"/>
      <c r="N4" s="14"/>
      <c r="O4" s="14"/>
      <c r="P4" s="14"/>
      <c r="Q4" s="14"/>
      <c r="R4" s="14"/>
      <c r="S4" s="14"/>
      <c r="T4" s="14"/>
      <c r="U4" s="14"/>
      <c r="V4" s="14"/>
      <c r="W4" s="14"/>
      <c r="X4" s="14"/>
      <c r="Y4" s="14"/>
      <c r="Z4" s="14"/>
      <c r="AA4" s="14"/>
    </row>
    <row r="5" spans="1:30" x14ac:dyDescent="0.2">
      <c r="A5" s="98" t="s">
        <v>27</v>
      </c>
      <c r="B5" s="101">
        <f>'BRA Load Pricing Results'!B14</f>
        <v>52121.969107247511</v>
      </c>
      <c r="C5" s="101">
        <f>'BRA Resource Clearing Results'!F28</f>
        <v>51303.199999999997</v>
      </c>
      <c r="D5" s="294">
        <v>818.7691072475136</v>
      </c>
      <c r="E5" s="99">
        <f>'BRA Resource Clearing Results'!B88</f>
        <v>0</v>
      </c>
      <c r="F5" s="39">
        <f>D5-E5</f>
        <v>818.7691072475136</v>
      </c>
      <c r="G5" s="39">
        <f>IF(F22&lt;&gt;0,'BRA ICTRs'!B47,0)</f>
        <v>0</v>
      </c>
      <c r="H5" s="39">
        <f>'BRA ICTRs'!C14+'BRA ICTRs'!C33</f>
        <v>818.7691072475136</v>
      </c>
      <c r="I5" s="242">
        <f>F5-G5-H5</f>
        <v>0</v>
      </c>
      <c r="J5" s="210"/>
      <c r="K5" s="271"/>
      <c r="L5" s="14"/>
      <c r="M5" s="275"/>
      <c r="N5" s="14"/>
      <c r="O5" s="14"/>
      <c r="P5" s="14"/>
      <c r="Q5" s="14"/>
      <c r="R5" s="14"/>
      <c r="S5" s="14"/>
      <c r="T5" s="14"/>
      <c r="U5" s="14"/>
      <c r="V5" s="14"/>
      <c r="W5" s="14"/>
      <c r="X5" s="14"/>
      <c r="Y5" s="14"/>
      <c r="Z5" s="14"/>
      <c r="AA5" s="14"/>
    </row>
    <row r="6" spans="1:30" x14ac:dyDescent="0.2">
      <c r="A6" s="98" t="s">
        <v>32</v>
      </c>
      <c r="B6" s="101">
        <f>'BRA Load Pricing Results'!B15</f>
        <v>28453.571558089421</v>
      </c>
      <c r="C6" s="101">
        <f>'BRA Resource Clearing Results'!F29</f>
        <v>24373.3</v>
      </c>
      <c r="D6" s="294">
        <v>4080.2715580894219</v>
      </c>
      <c r="E6" s="99">
        <f>'BRA Resource Clearing Results'!B89</f>
        <v>0</v>
      </c>
      <c r="F6" s="39">
        <f>D6-E6</f>
        <v>4080.2715580894219</v>
      </c>
      <c r="G6" s="39">
        <f>IF(H22&lt;&gt;0,'BRA ICTRs'!D47,0)</f>
        <v>0</v>
      </c>
      <c r="H6" s="39">
        <f>'BRA ICTRs'!D14+'BRA ICTRs'!D33</f>
        <v>948</v>
      </c>
      <c r="I6" s="242">
        <f>F6-G6-H6</f>
        <v>3132.2715580894219</v>
      </c>
      <c r="J6" s="210"/>
      <c r="K6" s="271"/>
      <c r="L6" s="14"/>
      <c r="M6" s="275"/>
      <c r="N6" s="14"/>
      <c r="O6" s="14"/>
      <c r="P6" s="14"/>
      <c r="Q6" s="14"/>
      <c r="R6" s="14"/>
      <c r="S6" s="14"/>
      <c r="T6" s="14"/>
      <c r="U6" s="14"/>
      <c r="V6" s="14"/>
      <c r="W6" s="14"/>
      <c r="X6" s="14"/>
      <c r="Y6" s="14"/>
      <c r="Z6" s="14"/>
      <c r="AA6" s="14"/>
    </row>
    <row r="7" spans="1:30" x14ac:dyDescent="0.2">
      <c r="A7" s="98" t="s">
        <v>4</v>
      </c>
      <c r="B7" s="101">
        <f>'BRA Load Pricing Results'!B16</f>
        <v>11516.649363464236</v>
      </c>
      <c r="C7" s="101">
        <f>'BRA Resource Clearing Results'!F30</f>
        <v>5060.8</v>
      </c>
      <c r="D7" s="294">
        <v>6455.8493634642355</v>
      </c>
      <c r="E7" s="99">
        <f>'BRA Resource Clearing Results'!B90</f>
        <v>0</v>
      </c>
      <c r="F7" s="39">
        <f t="shared" ref="F7:F17" si="0">D7-E7</f>
        <v>6455.8493634642355</v>
      </c>
      <c r="G7" s="39">
        <f>IF(J22&lt;&gt;0,'BRA ICTRs'!E47,0)</f>
        <v>0</v>
      </c>
      <c r="H7" s="39">
        <f>'BRA ICTRs'!E14+'BRA ICTRs'!E33</f>
        <v>1722</v>
      </c>
      <c r="I7" s="242">
        <f>F7-G7-H7</f>
        <v>4733.8493634642355</v>
      </c>
      <c r="J7" s="210"/>
      <c r="K7" s="28"/>
      <c r="L7" s="28"/>
      <c r="M7" s="28"/>
      <c r="N7" s="14"/>
      <c r="O7" s="14"/>
      <c r="P7" s="14"/>
      <c r="Q7" s="14"/>
      <c r="R7" s="14"/>
      <c r="S7" s="14"/>
      <c r="T7" s="14"/>
      <c r="U7" s="14"/>
      <c r="V7" s="14"/>
      <c r="W7" s="14"/>
      <c r="X7" s="14"/>
      <c r="Y7" s="14"/>
      <c r="Z7" s="14"/>
      <c r="AA7" s="14"/>
    </row>
    <row r="8" spans="1:30" x14ac:dyDescent="0.2">
      <c r="A8" s="98" t="s">
        <v>39</v>
      </c>
      <c r="B8" s="101">
        <f>'BRA Load Pricing Results'!J60</f>
        <v>9139.3199883614525</v>
      </c>
      <c r="C8" s="101">
        <f>'BRA Load Pricing Results'!C30</f>
        <v>4390.3</v>
      </c>
      <c r="D8" s="294">
        <v>4749.0199883614523</v>
      </c>
      <c r="E8" s="99">
        <f>IF('BRA Resource Clearing Results'!D91+'BRA Resource Clearing Results'!D92=0,0,('BRA Resource Clearing Results'!D91+'BRA Resource Clearing Results'!D92)/'BRA Load Pricing Results'!D30)</f>
        <v>0</v>
      </c>
      <c r="F8" s="39">
        <f t="shared" si="0"/>
        <v>4749.0199883614523</v>
      </c>
      <c r="G8" s="39">
        <f>IFERROR(('BRA ICTRs'!B93+'BRA ICTRs'!B94)/L22,0)</f>
        <v>0</v>
      </c>
      <c r="H8" s="39">
        <f>IFERROR(('BRA ICTRs'!C93+'BRA ICTRs'!C94)/L22,0)</f>
        <v>0</v>
      </c>
      <c r="I8" s="242">
        <f t="shared" ref="I8:I13" si="1">F8-G8-H8</f>
        <v>4749.0199883614523</v>
      </c>
      <c r="J8" s="210"/>
      <c r="K8" s="28"/>
      <c r="L8" s="28"/>
      <c r="M8" s="28"/>
      <c r="N8" s="14"/>
      <c r="O8" s="14"/>
      <c r="P8" s="14"/>
      <c r="Q8" s="14"/>
      <c r="R8" s="14"/>
      <c r="S8" s="14"/>
      <c r="T8" s="14"/>
      <c r="U8" s="14"/>
      <c r="V8" s="14"/>
      <c r="W8" s="14"/>
      <c r="X8" s="14"/>
      <c r="Y8" s="14"/>
      <c r="Z8" s="14"/>
      <c r="AA8" s="14"/>
    </row>
    <row r="9" spans="1:30" x14ac:dyDescent="0.2">
      <c r="A9" s="98" t="s">
        <v>37</v>
      </c>
      <c r="B9" s="101">
        <f>'BRA Load Pricing Results'!J51</f>
        <v>3502.5795406147345</v>
      </c>
      <c r="C9" s="101">
        <f>'BRA Load Pricing Results'!C33</f>
        <v>3925.9000000000005</v>
      </c>
      <c r="D9" s="294">
        <v>-423.32045938526608</v>
      </c>
      <c r="E9" s="99">
        <f>IF('BRA Resource Clearing Results'!D93=0,0,('BRA Resource Clearing Results'!D93/'BRA Load Pricing Results'!D33))</f>
        <v>0</v>
      </c>
      <c r="F9" s="39">
        <f t="shared" si="0"/>
        <v>-423.32045938526608</v>
      </c>
      <c r="G9" s="39">
        <f>IF(N22&lt;&gt;0,'BRA ICTRs'!I47,0)</f>
        <v>0</v>
      </c>
      <c r="H9" s="39">
        <f>'BRA ICTRs'!I14+'BRA ICTRs'!I33</f>
        <v>0</v>
      </c>
      <c r="I9" s="242">
        <f>F9-G9-H9</f>
        <v>-423.32045938526608</v>
      </c>
      <c r="J9" s="210"/>
      <c r="K9" s="28"/>
      <c r="L9" s="28"/>
      <c r="M9" s="28"/>
      <c r="N9" s="14"/>
      <c r="O9" s="14"/>
      <c r="P9" s="14"/>
      <c r="Q9" s="14"/>
      <c r="R9" s="14"/>
      <c r="S9" s="14"/>
      <c r="T9" s="14"/>
      <c r="U9" s="14"/>
      <c r="V9" s="14"/>
      <c r="W9" s="14"/>
      <c r="X9" s="14"/>
      <c r="Y9" s="14"/>
      <c r="Z9" s="14"/>
      <c r="AA9" s="14"/>
    </row>
    <row r="10" spans="1:30" x14ac:dyDescent="0.2">
      <c r="A10" s="98" t="s">
        <v>14</v>
      </c>
      <c r="B10" s="101">
        <f>'BRA Load Pricing Results'!J58</f>
        <v>5548.0554770750123</v>
      </c>
      <c r="C10" s="101">
        <f>'BRA Resource Clearing Results'!F34</f>
        <v>2263.1999999999998</v>
      </c>
      <c r="D10" s="294">
        <v>3284.8554770750125</v>
      </c>
      <c r="E10" s="99">
        <f>'BRA Resource Clearing Results'!B94</f>
        <v>0</v>
      </c>
      <c r="F10" s="39">
        <f>D10-E10</f>
        <v>3284.8554770750125</v>
      </c>
      <c r="G10" s="39">
        <f>IF(P22&lt;&gt;0,'BRA ICTRs'!J47,0)</f>
        <v>0</v>
      </c>
      <c r="H10" s="39">
        <f>'BRA ICTRs'!J14+'BRA ICTRs'!J33</f>
        <v>175</v>
      </c>
      <c r="I10" s="242">
        <f t="shared" si="1"/>
        <v>3109.8554770750125</v>
      </c>
      <c r="J10" s="210"/>
      <c r="K10" s="28"/>
      <c r="L10" s="28"/>
      <c r="M10" s="28"/>
      <c r="N10" s="14"/>
      <c r="O10" s="14"/>
      <c r="P10" s="14"/>
      <c r="Q10" s="14"/>
      <c r="R10" s="14"/>
      <c r="S10" s="14"/>
      <c r="T10" s="14"/>
      <c r="U10" s="14"/>
      <c r="V10" s="14"/>
      <c r="W10" s="14"/>
      <c r="X10" s="14"/>
      <c r="Y10" s="14"/>
      <c r="Z10" s="14"/>
      <c r="AA10" s="14"/>
    </row>
    <row r="11" spans="1:30" x14ac:dyDescent="0.2">
      <c r="A11" s="98" t="s">
        <v>98</v>
      </c>
      <c r="B11" s="101">
        <f>'BRA Load Pricing Results'!J44</f>
        <v>11422.242781781453</v>
      </c>
      <c r="C11" s="101">
        <f>'BRA Load Pricing Results'!C36</f>
        <v>7764.9</v>
      </c>
      <c r="D11" s="294">
        <v>3657.3427817814536</v>
      </c>
      <c r="E11" s="99">
        <f>IF('BRA Resource Clearing Results'!D95+'BRA Resource Clearing Results'!D96=0,0,('BRA Resource Clearing Results'!D95+'BRA Resource Clearing Results'!D96)/'BRA Load Pricing Results'!D36)</f>
        <v>0</v>
      </c>
      <c r="F11" s="39">
        <f t="shared" si="0"/>
        <v>3657.3427817814536</v>
      </c>
      <c r="G11" s="39">
        <v>0</v>
      </c>
      <c r="H11" s="39">
        <v>0</v>
      </c>
      <c r="I11" s="242">
        <f t="shared" si="1"/>
        <v>3657.3427817814536</v>
      </c>
      <c r="J11" s="210"/>
      <c r="K11" s="271"/>
      <c r="L11" s="14"/>
      <c r="M11" s="28"/>
      <c r="N11" s="14"/>
      <c r="O11" s="14"/>
      <c r="P11" s="14"/>
      <c r="Q11" s="14"/>
      <c r="R11" s="14"/>
      <c r="S11" s="14"/>
      <c r="T11" s="14"/>
      <c r="U11" s="14"/>
      <c r="V11" s="14"/>
      <c r="W11" s="14"/>
      <c r="X11" s="14"/>
      <c r="Y11" s="14"/>
      <c r="Z11" s="14"/>
      <c r="AA11" s="14"/>
    </row>
    <row r="12" spans="1:30" x14ac:dyDescent="0.2">
      <c r="A12" s="100" t="s">
        <v>19</v>
      </c>
      <c r="B12" s="101">
        <f>'BRA Load Pricing Results'!J46</f>
        <v>17964.904972948811</v>
      </c>
      <c r="C12" s="101">
        <f>'BRA Resource Clearing Results'!F37</f>
        <v>21813.9</v>
      </c>
      <c r="D12" s="294">
        <v>-3848.9950270511908</v>
      </c>
      <c r="E12" s="99">
        <f>'BRA Resource Clearing Results'!B97</f>
        <v>0</v>
      </c>
      <c r="F12" s="39">
        <f t="shared" si="0"/>
        <v>-3848.9950270511908</v>
      </c>
      <c r="G12" s="39">
        <f>IF(T22&lt;&gt;0,'BRA ICTRs'!N47,0)</f>
        <v>0</v>
      </c>
      <c r="H12" s="39">
        <f>'BRA ICTRs'!N14+'BRA ICTRs'!N33</f>
        <v>0</v>
      </c>
      <c r="I12" s="242">
        <f>F12-G12-H12</f>
        <v>-3848.9950270511908</v>
      </c>
      <c r="J12" s="210"/>
      <c r="K12" s="271"/>
      <c r="L12" s="14"/>
      <c r="M12" s="28"/>
      <c r="N12" s="14"/>
      <c r="O12" s="14"/>
      <c r="P12" s="14"/>
      <c r="Q12" s="14"/>
      <c r="R12" s="14"/>
      <c r="S12" s="14"/>
      <c r="T12" s="14"/>
      <c r="U12" s="14"/>
      <c r="V12" s="14"/>
      <c r="W12" s="14"/>
      <c r="X12" s="14"/>
      <c r="Y12" s="14"/>
      <c r="Z12" s="14"/>
      <c r="AA12" s="14"/>
    </row>
    <row r="13" spans="1:30" x14ac:dyDescent="0.2">
      <c r="A13" s="100" t="s">
        <v>10</v>
      </c>
      <c r="B13" s="101">
        <f>'BRA Load Pricing Results'!J45</f>
        <v>5968.5938863892243</v>
      </c>
      <c r="C13" s="101">
        <f>'BRA Resource Clearing Results'!F38</f>
        <v>606.9</v>
      </c>
      <c r="D13" s="294">
        <v>5361.6938863892246</v>
      </c>
      <c r="E13" s="99">
        <f>'BRA Resource Clearing Results'!B98</f>
        <v>0</v>
      </c>
      <c r="F13" s="39">
        <f t="shared" si="0"/>
        <v>5361.6938863892246</v>
      </c>
      <c r="G13" s="39">
        <f>IF(V22&lt;&gt;0,'BRA ICTRs'!K47,0)</f>
        <v>65.7</v>
      </c>
      <c r="H13" s="39">
        <f>'BRA ICTRs'!K14+'BRA ICTRs'!K33</f>
        <v>306</v>
      </c>
      <c r="I13" s="242">
        <f t="shared" si="1"/>
        <v>4989.9938863892248</v>
      </c>
      <c r="J13" s="210"/>
      <c r="K13" s="271"/>
      <c r="L13" s="14"/>
      <c r="M13" s="28"/>
      <c r="N13" s="14"/>
      <c r="O13" s="14"/>
      <c r="P13" s="14"/>
      <c r="Q13" s="14"/>
      <c r="R13" s="14"/>
      <c r="S13" s="14"/>
      <c r="T13" s="14"/>
      <c r="U13" s="14"/>
      <c r="V13" s="14"/>
      <c r="W13" s="14"/>
      <c r="X13" s="14"/>
      <c r="Y13" s="14"/>
      <c r="Z13" s="14"/>
      <c r="AA13" s="14"/>
    </row>
    <row r="14" spans="1:30" x14ac:dyDescent="0.2">
      <c r="A14" s="194" t="s">
        <v>9</v>
      </c>
      <c r="B14" s="195">
        <f>'BRA Load Pricing Results'!J59</f>
        <v>6713.3569196645058</v>
      </c>
      <c r="C14" s="195">
        <f>'BRA Resource Clearing Results'!D59</f>
        <v>8757.6</v>
      </c>
      <c r="D14" s="294">
        <v>-2044.2430803354946</v>
      </c>
      <c r="E14" s="99">
        <f>'BRA Resource Clearing Results'!B99</f>
        <v>0</v>
      </c>
      <c r="F14" s="338">
        <f t="shared" ref="F14:F15" si="2">D14-E14</f>
        <v>-2044.2430803354946</v>
      </c>
      <c r="G14" s="338">
        <v>0</v>
      </c>
      <c r="H14" s="338">
        <v>0</v>
      </c>
      <c r="I14" s="243">
        <f t="shared" ref="I14:I15" si="3">F14-G14-H14</f>
        <v>-2044.2430803354946</v>
      </c>
      <c r="J14" s="210"/>
      <c r="K14" s="271"/>
      <c r="L14" s="14"/>
      <c r="M14" s="28"/>
      <c r="N14" s="14"/>
      <c r="O14" s="14"/>
      <c r="P14" s="14"/>
      <c r="Q14" s="14"/>
      <c r="R14" s="14"/>
      <c r="S14" s="14"/>
      <c r="T14" s="14"/>
      <c r="U14" s="14"/>
      <c r="V14" s="14"/>
      <c r="W14" s="14"/>
      <c r="X14" s="14"/>
      <c r="Y14" s="14"/>
      <c r="Z14" s="14"/>
      <c r="AA14" s="14"/>
    </row>
    <row r="15" spans="1:30" x14ac:dyDescent="0.2">
      <c r="A15" s="100" t="s">
        <v>20</v>
      </c>
      <c r="B15" s="101">
        <f>'BRA Load Pricing Results'!J47</f>
        <v>2989.5417532880997</v>
      </c>
      <c r="C15" s="101">
        <f>'BRA Resource Clearing Results'!D60</f>
        <v>488.6</v>
      </c>
      <c r="D15" s="294">
        <v>2500.9417532880998</v>
      </c>
      <c r="E15" s="99">
        <f>'BRA Resource Clearing Results'!B100</f>
        <v>0</v>
      </c>
      <c r="F15" s="39">
        <f t="shared" si="2"/>
        <v>2500.9417532880998</v>
      </c>
      <c r="G15" s="39">
        <v>0</v>
      </c>
      <c r="H15" s="39">
        <v>0</v>
      </c>
      <c r="I15" s="242">
        <f t="shared" si="3"/>
        <v>2500.9417532880998</v>
      </c>
      <c r="J15" s="210"/>
      <c r="K15" s="271" t="s">
        <v>23</v>
      </c>
      <c r="L15" s="14"/>
      <c r="M15" s="28"/>
      <c r="N15" s="14"/>
      <c r="O15" s="14"/>
      <c r="P15" s="14"/>
      <c r="Q15" s="14"/>
      <c r="R15" s="14"/>
      <c r="S15" s="14"/>
      <c r="T15" s="14"/>
      <c r="U15" s="14"/>
      <c r="V15" s="14"/>
      <c r="W15" s="14"/>
      <c r="X15" s="14"/>
      <c r="Y15" s="14"/>
      <c r="Z15" s="14"/>
      <c r="AA15" s="14"/>
    </row>
    <row r="16" spans="1:30" x14ac:dyDescent="0.2">
      <c r="A16" s="100" t="s">
        <v>49</v>
      </c>
      <c r="B16" s="101">
        <f>'BRA Load Pricing Results'!J48</f>
        <v>4047.1815486858141</v>
      </c>
      <c r="C16" s="101">
        <f>'BRA Resource Clearing Results'!D61</f>
        <v>1633.8</v>
      </c>
      <c r="D16" s="294">
        <v>2413.3815486858139</v>
      </c>
      <c r="E16" s="99">
        <f>'BRA Resource Clearing Results'!B101</f>
        <v>0</v>
      </c>
      <c r="F16" s="39">
        <f t="shared" si="0"/>
        <v>2413.3815486858139</v>
      </c>
      <c r="G16" s="39">
        <f>IF(AB22&lt;&gt;0,'BRA ICTRs'!L47,0)</f>
        <v>0</v>
      </c>
      <c r="H16" s="39">
        <f>'BRA ICTRs'!L14+'BRA ICTRs'!L33</f>
        <v>0</v>
      </c>
      <c r="I16" s="242">
        <f>F16-G16-H16</f>
        <v>2413.3815486858139</v>
      </c>
      <c r="J16" s="210"/>
      <c r="K16" s="271"/>
      <c r="L16" s="14"/>
      <c r="M16" s="28"/>
      <c r="N16" s="14"/>
      <c r="O16" s="14"/>
      <c r="P16" s="14"/>
      <c r="Q16" s="14"/>
      <c r="R16" s="14"/>
      <c r="S16" s="14"/>
      <c r="T16" s="14"/>
      <c r="U16" s="14"/>
      <c r="V16" s="14"/>
      <c r="W16" s="14"/>
      <c r="X16" s="14"/>
      <c r="Y16" s="14"/>
      <c r="Z16" s="14"/>
      <c r="AA16" s="14"/>
    </row>
    <row r="17" spans="1:39" s="360" customFormat="1" ht="13.5" thickBot="1" x14ac:dyDescent="0.25">
      <c r="A17" s="196" t="s">
        <v>29</v>
      </c>
      <c r="B17" s="197">
        <f>'BRA Load Pricing Results'!J50</f>
        <v>21952.867847669972</v>
      </c>
      <c r="C17" s="197">
        <f>'BRA Resource Clearing Results'!D62</f>
        <v>20049.600000000002</v>
      </c>
      <c r="D17" s="295">
        <v>1903.2678476699693</v>
      </c>
      <c r="E17" s="384">
        <f>'BRA Resource Clearing Results'!B102</f>
        <v>0</v>
      </c>
      <c r="F17" s="198">
        <f t="shared" si="0"/>
        <v>1903.2678476699693</v>
      </c>
      <c r="G17" s="198">
        <v>0</v>
      </c>
      <c r="H17" s="198">
        <v>0</v>
      </c>
      <c r="I17" s="244">
        <f>F17-G17-H17</f>
        <v>1903.2678476699693</v>
      </c>
      <c r="J17" s="210"/>
      <c r="K17" s="271"/>
      <c r="L17" s="14"/>
      <c r="M17" s="28"/>
      <c r="N17" s="14"/>
      <c r="O17" s="14"/>
      <c r="P17" s="14"/>
      <c r="Q17" s="14"/>
      <c r="R17" s="14"/>
      <c r="S17" s="14"/>
      <c r="T17" s="14"/>
      <c r="U17" s="14"/>
      <c r="V17" s="14"/>
      <c r="W17" s="14"/>
      <c r="X17" s="14"/>
      <c r="Y17" s="14"/>
      <c r="Z17" s="14"/>
      <c r="AA17" s="14"/>
    </row>
    <row r="18" spans="1:39" x14ac:dyDescent="0.2">
      <c r="A18" s="24" t="s">
        <v>78</v>
      </c>
      <c r="B18" s="24"/>
      <c r="C18" s="24"/>
      <c r="E18" s="24"/>
      <c r="F18" s="46"/>
      <c r="G18" s="47"/>
      <c r="H18" s="64"/>
      <c r="I18" s="47"/>
      <c r="J18" s="31"/>
      <c r="K18" s="103"/>
      <c r="L18" s="272"/>
      <c r="M18" s="14"/>
      <c r="N18" s="28"/>
      <c r="O18" s="14"/>
      <c r="P18" s="14"/>
      <c r="Q18" s="14"/>
      <c r="R18" s="14"/>
      <c r="S18" s="14"/>
      <c r="T18" s="14"/>
      <c r="U18" s="14"/>
      <c r="V18" s="14"/>
      <c r="W18" s="14"/>
      <c r="X18" s="14"/>
      <c r="Y18" s="14"/>
      <c r="Z18" s="14"/>
      <c r="AA18" s="14"/>
      <c r="AB18" s="14"/>
      <c r="AC18" s="14"/>
      <c r="AD18" s="14"/>
    </row>
    <row r="19" spans="1:39" ht="12.75" customHeight="1" thickBot="1" x14ac:dyDescent="0.25">
      <c r="A19" s="102"/>
      <c r="B19" s="24"/>
      <c r="C19" s="24"/>
      <c r="D19" s="46"/>
      <c r="E19" s="104"/>
      <c r="F19" s="46"/>
      <c r="G19" s="47"/>
      <c r="H19" s="64"/>
      <c r="I19" s="47"/>
      <c r="J19" s="31"/>
      <c r="K19" s="103"/>
      <c r="L19" s="14"/>
      <c r="M19" s="14"/>
      <c r="N19" s="28"/>
      <c r="O19" s="14"/>
      <c r="P19" s="14"/>
      <c r="Q19" s="14"/>
      <c r="R19" s="14"/>
      <c r="S19" s="14"/>
      <c r="T19" s="14"/>
      <c r="U19" s="14"/>
      <c r="V19" s="14"/>
      <c r="W19" s="14"/>
      <c r="X19" s="14"/>
      <c r="Y19" s="14"/>
      <c r="Z19" s="14"/>
      <c r="AA19" s="14"/>
      <c r="AB19" s="14"/>
      <c r="AC19" s="14"/>
      <c r="AD19" s="14"/>
    </row>
    <row r="20" spans="1:39" ht="15" customHeight="1" thickBot="1" x14ac:dyDescent="0.25">
      <c r="A20" s="565" t="s">
        <v>75</v>
      </c>
      <c r="B20" s="566"/>
      <c r="C20" s="566"/>
      <c r="D20" s="567"/>
      <c r="E20" s="105"/>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row>
    <row r="21" spans="1:39" x14ac:dyDescent="0.2">
      <c r="A21" s="568"/>
      <c r="B21" s="569"/>
      <c r="C21" s="569"/>
      <c r="D21" s="570"/>
      <c r="E21" s="563" t="s">
        <v>27</v>
      </c>
      <c r="F21" s="564"/>
      <c r="G21" s="563" t="s">
        <v>32</v>
      </c>
      <c r="H21" s="564"/>
      <c r="I21" s="563" t="s">
        <v>4</v>
      </c>
      <c r="J21" s="564"/>
      <c r="K21" s="563" t="s">
        <v>39</v>
      </c>
      <c r="L21" s="564"/>
      <c r="M21" s="563" t="s">
        <v>37</v>
      </c>
      <c r="N21" s="564"/>
      <c r="O21" s="563" t="s">
        <v>14</v>
      </c>
      <c r="P21" s="564"/>
      <c r="Q21" s="563" t="s">
        <v>98</v>
      </c>
      <c r="R21" s="564"/>
      <c r="S21" s="563" t="s">
        <v>19</v>
      </c>
      <c r="T21" s="564"/>
      <c r="U21" s="563" t="s">
        <v>10</v>
      </c>
      <c r="V21" s="564"/>
      <c r="W21" s="563" t="s">
        <v>9</v>
      </c>
      <c r="X21" s="564"/>
      <c r="Y21" s="563" t="s">
        <v>20</v>
      </c>
      <c r="Z21" s="564"/>
      <c r="AA21" s="563" t="s">
        <v>49</v>
      </c>
      <c r="AB21" s="564"/>
      <c r="AC21" s="563" t="s">
        <v>29</v>
      </c>
      <c r="AD21" s="564"/>
      <c r="AE21" s="14"/>
      <c r="AF21" s="14"/>
      <c r="AG21" s="14"/>
      <c r="AH21" s="14"/>
    </row>
    <row r="22" spans="1:39" ht="30.75" customHeight="1" thickBot="1" x14ac:dyDescent="0.25">
      <c r="A22" s="571"/>
      <c r="B22" s="572"/>
      <c r="C22" s="572"/>
      <c r="D22" s="573"/>
      <c r="E22" s="120" t="s">
        <v>40</v>
      </c>
      <c r="F22" s="106">
        <f>'BRA Resource Clearing Results'!C6</f>
        <v>0</v>
      </c>
      <c r="G22" s="120" t="s">
        <v>40</v>
      </c>
      <c r="H22" s="106">
        <f>'BRA Resource Clearing Results'!C7</f>
        <v>0</v>
      </c>
      <c r="I22" s="120" t="s">
        <v>40</v>
      </c>
      <c r="J22" s="106">
        <f>'BRA Resource Clearing Results'!C8</f>
        <v>0</v>
      </c>
      <c r="K22" s="120" t="s">
        <v>40</v>
      </c>
      <c r="L22" s="106">
        <f>'BRA Load Pricing Results'!D30</f>
        <v>0</v>
      </c>
      <c r="M22" s="120" t="s">
        <v>40</v>
      </c>
      <c r="N22" s="121">
        <f>'BRA Load Pricing Results'!D33</f>
        <v>0</v>
      </c>
      <c r="O22" s="120" t="s">
        <v>40</v>
      </c>
      <c r="P22" s="121">
        <f>'BRA Resource Clearing Results'!C12</f>
        <v>0</v>
      </c>
      <c r="Q22" s="120" t="s">
        <v>40</v>
      </c>
      <c r="R22" s="121">
        <f>'BRA Load Pricing Results'!D36</f>
        <v>0</v>
      </c>
      <c r="S22" s="120" t="s">
        <v>40</v>
      </c>
      <c r="T22" s="121">
        <f>'BRA Resource Clearing Results'!C15</f>
        <v>0</v>
      </c>
      <c r="U22" s="120" t="s">
        <v>40</v>
      </c>
      <c r="V22" s="121">
        <f>'BRA Resource Clearing Results'!C16</f>
        <v>196.43</v>
      </c>
      <c r="W22" s="120" t="s">
        <v>40</v>
      </c>
      <c r="X22" s="121">
        <f>'BRA Resource Clearing Results'!C17</f>
        <v>0</v>
      </c>
      <c r="Y22" s="120" t="s">
        <v>40</v>
      </c>
      <c r="Z22" s="121">
        <f>'BRA Resource Clearing Results'!C18</f>
        <v>0</v>
      </c>
      <c r="AA22" s="120" t="s">
        <v>40</v>
      </c>
      <c r="AB22" s="121">
        <f>'BRA Resource Clearing Results'!C19</f>
        <v>0</v>
      </c>
      <c r="AC22" s="120" t="s">
        <v>40</v>
      </c>
      <c r="AD22" s="121">
        <f>'BRA Resource Clearing Results'!C20</f>
        <v>174.33999999999997</v>
      </c>
      <c r="AE22" s="14"/>
      <c r="AF22" s="14"/>
      <c r="AG22" s="14"/>
      <c r="AH22" s="95"/>
    </row>
    <row r="23" spans="1:39" ht="63.75" x14ac:dyDescent="0.2">
      <c r="A23" s="78" t="s">
        <v>6</v>
      </c>
      <c r="B23" s="79" t="s">
        <v>26</v>
      </c>
      <c r="C23" s="79" t="s">
        <v>25</v>
      </c>
      <c r="D23" s="80" t="s">
        <v>30</v>
      </c>
      <c r="E23" s="78" t="s">
        <v>121</v>
      </c>
      <c r="F23" s="80" t="s">
        <v>122</v>
      </c>
      <c r="G23" s="78" t="s">
        <v>121</v>
      </c>
      <c r="H23" s="80" t="s">
        <v>122</v>
      </c>
      <c r="I23" s="78" t="s">
        <v>121</v>
      </c>
      <c r="J23" s="80" t="s">
        <v>122</v>
      </c>
      <c r="K23" s="78" t="s">
        <v>123</v>
      </c>
      <c r="L23" s="80" t="s">
        <v>122</v>
      </c>
      <c r="M23" s="78" t="s">
        <v>121</v>
      </c>
      <c r="N23" s="80" t="s">
        <v>124</v>
      </c>
      <c r="O23" s="78" t="s">
        <v>121</v>
      </c>
      <c r="P23" s="80" t="s">
        <v>124</v>
      </c>
      <c r="Q23" s="78" t="s">
        <v>121</v>
      </c>
      <c r="R23" s="80" t="s">
        <v>124</v>
      </c>
      <c r="S23" s="78" t="s">
        <v>121</v>
      </c>
      <c r="T23" s="80" t="s">
        <v>124</v>
      </c>
      <c r="U23" s="78" t="s">
        <v>121</v>
      </c>
      <c r="V23" s="80" t="s">
        <v>124</v>
      </c>
      <c r="W23" s="78" t="s">
        <v>121</v>
      </c>
      <c r="X23" s="80" t="s">
        <v>122</v>
      </c>
      <c r="Y23" s="78" t="s">
        <v>121</v>
      </c>
      <c r="Z23" s="80" t="s">
        <v>124</v>
      </c>
      <c r="AA23" s="78" t="s">
        <v>121</v>
      </c>
      <c r="AB23" s="80" t="s">
        <v>122</v>
      </c>
      <c r="AC23" s="78" t="s">
        <v>121</v>
      </c>
      <c r="AD23" s="80" t="s">
        <v>122</v>
      </c>
      <c r="AE23" s="78" t="s">
        <v>72</v>
      </c>
      <c r="AF23" s="79" t="s">
        <v>125</v>
      </c>
      <c r="AG23" s="236" t="s">
        <v>48</v>
      </c>
      <c r="AH23" s="237" t="s">
        <v>126</v>
      </c>
      <c r="AI23" s="6"/>
    </row>
    <row r="24" spans="1:39" x14ac:dyDescent="0.2">
      <c r="A24" s="44" t="s">
        <v>15</v>
      </c>
      <c r="B24" s="81" t="s">
        <v>27</v>
      </c>
      <c r="C24" s="81" t="s">
        <v>32</v>
      </c>
      <c r="D24" s="82"/>
      <c r="E24" s="107">
        <f>IF(B24="MAAC",$I$5*'BRA Load Pricing Results'!J41/'BRA Load Pricing Results'!$B$14,0)</f>
        <v>0</v>
      </c>
      <c r="F24" s="108">
        <f>E24*$F$22</f>
        <v>0</v>
      </c>
      <c r="G24" s="107">
        <f>IF(C24="EMAAC",$I$6*'BRA Load Pricing Results'!J41/'BRA Load Pricing Results'!$B$15,0)</f>
        <v>247.21829610900824</v>
      </c>
      <c r="H24" s="108">
        <f>G24*$H$22</f>
        <v>0</v>
      </c>
      <c r="I24" s="107">
        <f>IF(C24="SWMAAC",$I$7*'BRA Load Pricing Results'!J41/'BRA Load Pricing Results'!$B$16,0)</f>
        <v>0</v>
      </c>
      <c r="J24" s="108">
        <f>I24*$J$22</f>
        <v>0</v>
      </c>
      <c r="K24" s="107">
        <f>IF(D24="PS",$I$8*'BRA Load Pricing Results'!J41/'BRA Load Pricing Results'!$J$60,0)</f>
        <v>0</v>
      </c>
      <c r="L24" s="108">
        <f>K24*$L$22</f>
        <v>0</v>
      </c>
      <c r="M24" s="107">
        <f>IF(D24="DPL",$I$9*'BRA Load Pricing Results'!J41/'BRA Load Pricing Results'!$J$51,0)</f>
        <v>0</v>
      </c>
      <c r="N24" s="108">
        <f>M24*$N$22</f>
        <v>0</v>
      </c>
      <c r="O24" s="107">
        <f>IF(D24="PEPCO",$I$10*'BRA Load Pricing Results'!J41/'BRA Load Pricing Results'!$J$58,0)</f>
        <v>0</v>
      </c>
      <c r="P24" s="108">
        <f>O24*$P$22</f>
        <v>0</v>
      </c>
      <c r="Q24" s="107">
        <f>IF(D24="ATSI",$I$11*'BRA Load Pricing Results'!J41/'BRA Load Pricing Results'!$J$44,0)</f>
        <v>0</v>
      </c>
      <c r="R24" s="108">
        <f>Q24*$R$22</f>
        <v>0</v>
      </c>
      <c r="S24" s="107">
        <f>IF(D24="COMED",$I$12*'BRA Load Pricing Results'!J41/'BRA Load Pricing Results'!$J$46,0)</f>
        <v>0</v>
      </c>
      <c r="T24" s="108">
        <f>S24*$T$22</f>
        <v>0</v>
      </c>
      <c r="U24" s="107">
        <f>IF(D24="BGE",$I$13*'BRA Load Pricing Results'!J41/'BRA Load Pricing Results'!$J$45,0)</f>
        <v>0</v>
      </c>
      <c r="V24" s="108">
        <f>U24*$V$22</f>
        <v>0</v>
      </c>
      <c r="W24" s="107">
        <f>IF(D24="PL",$I$14*'BRA Load Pricing Results'!J41/'BRA Load Pricing Results'!$J$59,0)</f>
        <v>0</v>
      </c>
      <c r="X24" s="108">
        <f>W24*$X$22</f>
        <v>0</v>
      </c>
      <c r="Y24" s="107">
        <f>IF(D24="DAYTON",$I$15*'BRA Load Pricing Results'!J41/'BRA Load Pricing Results'!$J$47,0)</f>
        <v>0</v>
      </c>
      <c r="Z24" s="108">
        <f>Y24*$Z$22</f>
        <v>0</v>
      </c>
      <c r="AA24" s="107">
        <f>IF(D24="DEOK",$I$16*'BRA Load Pricing Results'!J41/'BRA Load Pricing Results'!$J$48,0)</f>
        <v>0</v>
      </c>
      <c r="AB24" s="108">
        <f>AA24*$AB$22</f>
        <v>0</v>
      </c>
      <c r="AC24" s="107">
        <f>IF(D24=$AC$21,$I$17*'BRA Load Pricing Results'!J41/'BRA Load Pricing Results'!$J$50,0)</f>
        <v>0</v>
      </c>
      <c r="AD24" s="108">
        <f>AC24*$AD$22</f>
        <v>0</v>
      </c>
      <c r="AE24" s="109">
        <f>MAX(E24,G24,I24,K24,M24,O24,Q24+S24+U24+W24+Y24+AA24+AC24)</f>
        <v>247.21829610900824</v>
      </c>
      <c r="AF24" s="23">
        <f>F24+H24+J24+L24+N24+P24+R24+T24+V24+X24+Z24+AB24+AD24</f>
        <v>0</v>
      </c>
      <c r="AG24" s="212">
        <f>AF24/'BRA Load Pricing Results'!J41</f>
        <v>0</v>
      </c>
      <c r="AH24" s="238">
        <f>IF(AE24=0,0,AF24/AE24)</f>
        <v>0</v>
      </c>
      <c r="AI24" s="235"/>
      <c r="AJ24" s="203"/>
      <c r="AK24" s="233"/>
      <c r="AL24" s="233"/>
      <c r="AM24" s="234"/>
    </row>
    <row r="25" spans="1:39" x14ac:dyDescent="0.2">
      <c r="A25" s="44" t="s">
        <v>28</v>
      </c>
      <c r="B25" s="81"/>
      <c r="C25" s="81"/>
      <c r="D25" s="82"/>
      <c r="E25" s="107">
        <f>IF(B25="MAAC",$I$5*'BRA Load Pricing Results'!J42/'BRA Load Pricing Results'!$B$14,0)</f>
        <v>0</v>
      </c>
      <c r="F25" s="108">
        <f>E25*$F$22</f>
        <v>0</v>
      </c>
      <c r="G25" s="107">
        <f>IF(C25="EMAAC",$I$6*'BRA Load Pricing Results'!J42/'BRA Load Pricing Results'!$B$15,0)</f>
        <v>0</v>
      </c>
      <c r="H25" s="108">
        <f>G25*$H$22</f>
        <v>0</v>
      </c>
      <c r="I25" s="107">
        <f>IF(C25="SWMAAC",$I$7*'BRA Load Pricing Results'!J42/'BRA Load Pricing Results'!$B$16,0)</f>
        <v>0</v>
      </c>
      <c r="J25" s="108">
        <f>I25*$J$22</f>
        <v>0</v>
      </c>
      <c r="K25" s="107">
        <f>IF(D25="PS",$I$8*'BRA Load Pricing Results'!J42/'BRA Load Pricing Results'!$J$60,0)</f>
        <v>0</v>
      </c>
      <c r="L25" s="108">
        <f>K25*$L$22</f>
        <v>0</v>
      </c>
      <c r="M25" s="107">
        <f>IF(D25="DPL",$I$9*'BRA Load Pricing Results'!J42/'BRA Load Pricing Results'!$J$51,0)</f>
        <v>0</v>
      </c>
      <c r="N25" s="108">
        <f t="shared" ref="N25:N40" si="4">M25*$N$22</f>
        <v>0</v>
      </c>
      <c r="O25" s="107">
        <f>IF(D25="PEPCO",$I$10*'BRA Load Pricing Results'!J42/'BRA Load Pricing Results'!$J$58,0)</f>
        <v>0</v>
      </c>
      <c r="P25" s="108">
        <f>O25*$P$22</f>
        <v>0</v>
      </c>
      <c r="Q25" s="107">
        <f>IF(D25="ATSI",$I$11*'BRA Load Pricing Results'!J42/'BRA Load Pricing Results'!$J$44,0)</f>
        <v>0</v>
      </c>
      <c r="R25" s="108">
        <f t="shared" ref="R25:R44" si="5">Q25*$R$22</f>
        <v>0</v>
      </c>
      <c r="S25" s="107">
        <f>IF(D25="COMED",$I$12*'BRA Load Pricing Results'!J42/'BRA Load Pricing Results'!$J$46,0)</f>
        <v>0</v>
      </c>
      <c r="T25" s="108">
        <f t="shared" ref="T25:T44" si="6">S25*$T$22</f>
        <v>0</v>
      </c>
      <c r="U25" s="107">
        <f>IF(D25="BGE",$I$13*'BRA Load Pricing Results'!J42/'BRA Load Pricing Results'!$J$45,0)</f>
        <v>0</v>
      </c>
      <c r="V25" s="108">
        <f>U25*$V$22</f>
        <v>0</v>
      </c>
      <c r="W25" s="107">
        <f>IF(D25="PL",$I$14*'BRA Load Pricing Results'!J42/'BRA Load Pricing Results'!$J$59,0)</f>
        <v>0</v>
      </c>
      <c r="X25" s="108">
        <f>W25*$X$22</f>
        <v>0</v>
      </c>
      <c r="Y25" s="107">
        <f>IF(D25="DAYTON",$I$15*'BRA Load Pricing Results'!J42/'BRA Load Pricing Results'!$J$47,0)</f>
        <v>0</v>
      </c>
      <c r="Z25" s="108">
        <f t="shared" ref="Z25:Z43" si="7">Y25*$Z$22</f>
        <v>0</v>
      </c>
      <c r="AA25" s="107">
        <f>IF(D25="DEOK",$I$16*'BRA Load Pricing Results'!J42/'BRA Load Pricing Results'!$J$48,0)</f>
        <v>0</v>
      </c>
      <c r="AB25" s="108">
        <f t="shared" ref="AB25:AB41" si="8">AA25*$AB$22</f>
        <v>0</v>
      </c>
      <c r="AC25" s="107">
        <f>IF(D25=$AC$21,$I$17*'BRA Load Pricing Results'!J42/'BRA Load Pricing Results'!$J$50,0)</f>
        <v>0</v>
      </c>
      <c r="AD25" s="108">
        <f t="shared" ref="AD25:AD44" si="9">AC25*$AD$22</f>
        <v>0</v>
      </c>
      <c r="AE25" s="109">
        <f t="shared" ref="AE25:AE44" si="10">MAX(E25,G25,I25,K25,M25,O25,Q25+S25+U25+W25+Y25+AA25+AC25)</f>
        <v>0</v>
      </c>
      <c r="AF25" s="23">
        <f t="shared" ref="AF25:AF44" si="11">F25+H25+J25+L25+N25+P25+R25+T25+V25+X25+Z25+AB25+AD25</f>
        <v>0</v>
      </c>
      <c r="AG25" s="212">
        <f>AF25/'BRA Load Pricing Results'!J42</f>
        <v>0</v>
      </c>
      <c r="AH25" s="238">
        <f>IF(AE25=0,0,AF25/AE25)</f>
        <v>0</v>
      </c>
      <c r="AI25" s="235"/>
      <c r="AJ25" s="203"/>
      <c r="AK25" s="233"/>
      <c r="AL25" s="233"/>
      <c r="AM25" s="234"/>
    </row>
    <row r="26" spans="1:39" x14ac:dyDescent="0.2">
      <c r="A26" s="44" t="s">
        <v>18</v>
      </c>
      <c r="B26" s="81" t="s">
        <v>23</v>
      </c>
      <c r="C26" s="81"/>
      <c r="D26" s="82"/>
      <c r="E26" s="107">
        <f>IF(B26="MAAC",$I$5*'BRA Load Pricing Results'!J43/'BRA Load Pricing Results'!$B$14,0)</f>
        <v>0</v>
      </c>
      <c r="F26" s="108">
        <f t="shared" ref="F26:F44" si="12">E26*$F$22</f>
        <v>0</v>
      </c>
      <c r="G26" s="107">
        <f>IF(C26="EMAAC",$I$6*'BRA Load Pricing Results'!J43/'BRA Load Pricing Results'!$B$15,0)</f>
        <v>0</v>
      </c>
      <c r="H26" s="108">
        <f>G26*$H$22</f>
        <v>0</v>
      </c>
      <c r="I26" s="107">
        <f>IF(C26="SWMAAC",$I$7*'BRA Load Pricing Results'!J43/'BRA Load Pricing Results'!$B$16,0)</f>
        <v>0</v>
      </c>
      <c r="J26" s="108">
        <f t="shared" ref="J26:J44" si="13">I26*$J$22</f>
        <v>0</v>
      </c>
      <c r="K26" s="107">
        <f>IF(D26="PS",$I$8*'BRA Load Pricing Results'!J43/'BRA Load Pricing Results'!$J$60,0)</f>
        <v>0</v>
      </c>
      <c r="L26" s="108">
        <f>K26*$L$22</f>
        <v>0</v>
      </c>
      <c r="M26" s="107">
        <f>IF(D26="DPL",$I$9*'BRA Load Pricing Results'!J43/'BRA Load Pricing Results'!$J$51,0)</f>
        <v>0</v>
      </c>
      <c r="N26" s="108">
        <f t="shared" si="4"/>
        <v>0</v>
      </c>
      <c r="O26" s="107">
        <f>IF(D26="PEPCO",$I$10*'BRA Load Pricing Results'!J43/'BRA Load Pricing Results'!$J$58,0)</f>
        <v>0</v>
      </c>
      <c r="P26" s="108">
        <f>O26*$P$22</f>
        <v>0</v>
      </c>
      <c r="Q26" s="107">
        <f>IF(D26="ATSI",$I$11*'BRA Load Pricing Results'!J43/'BRA Load Pricing Results'!$J$44,0)</f>
        <v>0</v>
      </c>
      <c r="R26" s="108">
        <f t="shared" si="5"/>
        <v>0</v>
      </c>
      <c r="S26" s="107">
        <f>IF(D26="COMED",$I$12*'BRA Load Pricing Results'!J43/'BRA Load Pricing Results'!$J$46,0)</f>
        <v>0</v>
      </c>
      <c r="T26" s="108">
        <f t="shared" si="6"/>
        <v>0</v>
      </c>
      <c r="U26" s="107">
        <f>IF(D26="BGE",$I$13*'BRA Load Pricing Results'!J43/'BRA Load Pricing Results'!$J$45,0)</f>
        <v>0</v>
      </c>
      <c r="V26" s="108">
        <f>U26*$V$22</f>
        <v>0</v>
      </c>
      <c r="W26" s="107">
        <f>IF(D26="PL",$I$14*'BRA Load Pricing Results'!J43/'BRA Load Pricing Results'!$J$59,0)</f>
        <v>0</v>
      </c>
      <c r="X26" s="108">
        <f>W26*$X$22</f>
        <v>0</v>
      </c>
      <c r="Y26" s="107">
        <f>IF(D26="DAYTON",$I$15*'BRA Load Pricing Results'!J43/'BRA Load Pricing Results'!$J$47,0)</f>
        <v>0</v>
      </c>
      <c r="Z26" s="108">
        <f t="shared" si="7"/>
        <v>0</v>
      </c>
      <c r="AA26" s="107">
        <f>IF(D26="DEOK",$I$16*'BRA Load Pricing Results'!J43/'BRA Load Pricing Results'!$J$48,0)</f>
        <v>0</v>
      </c>
      <c r="AB26" s="108">
        <f t="shared" si="8"/>
        <v>0</v>
      </c>
      <c r="AC26" s="107">
        <f>IF(D26=$AC$21,$I$17*'BRA Load Pricing Results'!J43/'BRA Load Pricing Results'!$J$50,0)</f>
        <v>0</v>
      </c>
      <c r="AD26" s="108">
        <f t="shared" si="9"/>
        <v>0</v>
      </c>
      <c r="AE26" s="109">
        <f t="shared" si="10"/>
        <v>0</v>
      </c>
      <c r="AF26" s="23">
        <f t="shared" si="11"/>
        <v>0</v>
      </c>
      <c r="AG26" s="212">
        <f>AF26/'BRA Load Pricing Results'!J43</f>
        <v>0</v>
      </c>
      <c r="AH26" s="238">
        <f>IF(AE26=0,0,AF26/AE26)</f>
        <v>0</v>
      </c>
      <c r="AI26" s="235"/>
      <c r="AJ26" s="203"/>
      <c r="AK26" s="233"/>
      <c r="AL26" s="233"/>
      <c r="AM26" s="234"/>
    </row>
    <row r="27" spans="1:39" x14ac:dyDescent="0.2">
      <c r="A27" s="44" t="s">
        <v>42</v>
      </c>
      <c r="B27" s="81"/>
      <c r="C27" s="81"/>
      <c r="D27" s="82" t="s">
        <v>42</v>
      </c>
      <c r="E27" s="107">
        <f>IF(B27="MAAC",$I$5*'BRA Load Pricing Results'!J44/'BRA Load Pricing Results'!$B$14,0)</f>
        <v>0</v>
      </c>
      <c r="F27" s="108">
        <f t="shared" si="12"/>
        <v>0</v>
      </c>
      <c r="G27" s="107">
        <f>IF(C27="EMAAC",$I$6*'BRA Load Pricing Results'!J44/'BRA Load Pricing Results'!$B$15,0)</f>
        <v>0</v>
      </c>
      <c r="H27" s="108">
        <f>G27*$H$22</f>
        <v>0</v>
      </c>
      <c r="I27" s="107">
        <f>IF(C27="SWMAAC",$I$7*'BRA Load Pricing Results'!J44/'BRA Load Pricing Results'!$B$16,0)</f>
        <v>0</v>
      </c>
      <c r="J27" s="108">
        <f t="shared" si="13"/>
        <v>0</v>
      </c>
      <c r="K27" s="107">
        <f>IF(D27="PS",$I$8*'BRA Load Pricing Results'!J44/'BRA Load Pricing Results'!$J$60,0)</f>
        <v>0</v>
      </c>
      <c r="L27" s="108">
        <f t="shared" ref="L27:L44" si="14">K27*$L$22</f>
        <v>0</v>
      </c>
      <c r="M27" s="107">
        <f>IF(D27="DPL",$I$9*'BRA Load Pricing Results'!J44/'BRA Load Pricing Results'!$J$51,0)</f>
        <v>0</v>
      </c>
      <c r="N27" s="108">
        <f t="shared" si="4"/>
        <v>0</v>
      </c>
      <c r="O27" s="107">
        <f>IF(D27="PEPCO",$I$10*'BRA Load Pricing Results'!J44/'BRA Load Pricing Results'!$J$58,0)</f>
        <v>0</v>
      </c>
      <c r="P27" s="108">
        <f t="shared" ref="P27:P40" si="15">O27*$P$22</f>
        <v>0</v>
      </c>
      <c r="Q27" s="107">
        <f>IF(D27="ATSI",$I$11*'BRA Load Pricing Results'!J44/'BRA Load Pricing Results'!$J$44,0)</f>
        <v>3657.3427817814536</v>
      </c>
      <c r="R27" s="108">
        <f>Q27*$R$22</f>
        <v>0</v>
      </c>
      <c r="S27" s="107">
        <f>IF(D27="COMED",$I$12*'BRA Load Pricing Results'!J44/'BRA Load Pricing Results'!$J$46,0)</f>
        <v>0</v>
      </c>
      <c r="T27" s="108">
        <f t="shared" si="6"/>
        <v>0</v>
      </c>
      <c r="U27" s="107">
        <f>IF(D27="BGE",$I$13*'BRA Load Pricing Results'!J44/'BRA Load Pricing Results'!$J$45,0)</f>
        <v>0</v>
      </c>
      <c r="V27" s="108">
        <f>U27*$V$22</f>
        <v>0</v>
      </c>
      <c r="W27" s="107">
        <f>IF(D27="PL",$I$14*'BRA Load Pricing Results'!J44/'BRA Load Pricing Results'!$J$59,0)</f>
        <v>0</v>
      </c>
      <c r="X27" s="108">
        <f>W27*$X$22</f>
        <v>0</v>
      </c>
      <c r="Y27" s="107">
        <f>IF(D27="DAYTON",$I$15*'BRA Load Pricing Results'!J44/'BRA Load Pricing Results'!$J$47,0)</f>
        <v>0</v>
      </c>
      <c r="Z27" s="108">
        <f t="shared" si="7"/>
        <v>0</v>
      </c>
      <c r="AA27" s="107">
        <f>IF(D27="DEOK",$I$16*'BRA Load Pricing Results'!J44/'BRA Load Pricing Results'!$J$48,0)</f>
        <v>0</v>
      </c>
      <c r="AB27" s="108">
        <f t="shared" si="8"/>
        <v>0</v>
      </c>
      <c r="AC27" s="107">
        <f>IF(D27=$AC$21,$I$17*'BRA Load Pricing Results'!J44/'BRA Load Pricing Results'!$J$50,0)</f>
        <v>0</v>
      </c>
      <c r="AD27" s="108">
        <f t="shared" si="9"/>
        <v>0</v>
      </c>
      <c r="AE27" s="109">
        <f t="shared" si="10"/>
        <v>3657.3427817814536</v>
      </c>
      <c r="AF27" s="23">
        <f t="shared" si="11"/>
        <v>0</v>
      </c>
      <c r="AG27" s="212">
        <f>AF27/'BRA Load Pricing Results'!J44</f>
        <v>0</v>
      </c>
      <c r="AH27" s="238">
        <f>IF(AE27=0,0,AF27/AE27)</f>
        <v>0</v>
      </c>
      <c r="AI27" s="235"/>
      <c r="AJ27" s="203"/>
      <c r="AK27" s="233"/>
      <c r="AL27" s="233"/>
      <c r="AM27" s="234"/>
    </row>
    <row r="28" spans="1:39" x14ac:dyDescent="0.2">
      <c r="A28" s="44" t="s">
        <v>10</v>
      </c>
      <c r="B28" s="81" t="s">
        <v>27</v>
      </c>
      <c r="C28" s="81" t="s">
        <v>4</v>
      </c>
      <c r="D28" s="82" t="s">
        <v>10</v>
      </c>
      <c r="E28" s="107">
        <f>IF(B28="MAAC",$I$5*'BRA Load Pricing Results'!J45/'BRA Load Pricing Results'!$B$14,0)</f>
        <v>0</v>
      </c>
      <c r="F28" s="108">
        <f>E28*$F$22</f>
        <v>0</v>
      </c>
      <c r="G28" s="107">
        <f>IF(C28="EMAAC",$I$6*'BRA Load Pricing Results'!J45/'BRA Load Pricing Results'!$B$15,0)</f>
        <v>0</v>
      </c>
      <c r="H28" s="108">
        <f t="shared" ref="H28:H42" si="16">G28*$H$22</f>
        <v>0</v>
      </c>
      <c r="I28" s="107">
        <f>IF(C28="SWMAAC",$I$7*'BRA Load Pricing Results'!J45/'BRA Load Pricing Results'!$B$16,0)</f>
        <v>2453.3545719899525</v>
      </c>
      <c r="J28" s="108">
        <f>I28*$J$22</f>
        <v>0</v>
      </c>
      <c r="K28" s="107">
        <f>IF(D28="PS",$I$8*'BRA Load Pricing Results'!J45/'BRA Load Pricing Results'!$J$60,0)</f>
        <v>0</v>
      </c>
      <c r="L28" s="108">
        <f t="shared" si="14"/>
        <v>0</v>
      </c>
      <c r="M28" s="107">
        <f>IF(D28="DPL",$I$9*'BRA Load Pricing Results'!J45/'BRA Load Pricing Results'!$J$51,0)</f>
        <v>0</v>
      </c>
      <c r="N28" s="108">
        <f t="shared" si="4"/>
        <v>0</v>
      </c>
      <c r="O28" s="107">
        <f>IF(D28="PEPCO",$I$10*'BRA Load Pricing Results'!J45/'BRA Load Pricing Results'!$J$58,0)</f>
        <v>0</v>
      </c>
      <c r="P28" s="108">
        <f t="shared" si="15"/>
        <v>0</v>
      </c>
      <c r="Q28" s="107">
        <f>IF(D28="ATSI",$I$11*'BRA Load Pricing Results'!J45/'BRA Load Pricing Results'!$J$44,0)</f>
        <v>0</v>
      </c>
      <c r="R28" s="108">
        <f t="shared" si="5"/>
        <v>0</v>
      </c>
      <c r="S28" s="107">
        <f>IF(D28="COMED",$I$12*'BRA Load Pricing Results'!J45/'BRA Load Pricing Results'!$J$46,0)</f>
        <v>0</v>
      </c>
      <c r="T28" s="108">
        <f t="shared" si="6"/>
        <v>0</v>
      </c>
      <c r="U28" s="107">
        <f>IF(D28="BGE",$I$13*'BRA Load Pricing Results'!J45/'BRA Load Pricing Results'!$J$45,0)</f>
        <v>4989.9938863892248</v>
      </c>
      <c r="V28" s="108">
        <f>U28*$V$22</f>
        <v>980184.49910343543</v>
      </c>
      <c r="W28" s="107">
        <f>IF(D28="PL",$I$14*'BRA Load Pricing Results'!J45/'BRA Load Pricing Results'!$J$59,0)</f>
        <v>0</v>
      </c>
      <c r="X28" s="108">
        <f t="shared" ref="X28:X41" si="17">W28*$X$22</f>
        <v>0</v>
      </c>
      <c r="Y28" s="107">
        <f>IF(D28="DAYTON",$I$15*'BRA Load Pricing Results'!J45/'BRA Load Pricing Results'!$J$47,0)</f>
        <v>0</v>
      </c>
      <c r="Z28" s="108">
        <f t="shared" si="7"/>
        <v>0</v>
      </c>
      <c r="AA28" s="107">
        <f>IF(D28="DEOK",$I$16*'BRA Load Pricing Results'!J45/'BRA Load Pricing Results'!$J$48,0)</f>
        <v>0</v>
      </c>
      <c r="AB28" s="108">
        <f t="shared" si="8"/>
        <v>0</v>
      </c>
      <c r="AC28" s="107">
        <f>IF(D28=$AC$21,$I$17*'BRA Load Pricing Results'!J45/'BRA Load Pricing Results'!$J$50,0)</f>
        <v>0</v>
      </c>
      <c r="AD28" s="108">
        <f t="shared" si="9"/>
        <v>0</v>
      </c>
      <c r="AE28" s="109">
        <f t="shared" si="10"/>
        <v>4989.9938863892248</v>
      </c>
      <c r="AF28" s="23">
        <f t="shared" si="11"/>
        <v>980184.49910343543</v>
      </c>
      <c r="AG28" s="212">
        <f>AF28/'BRA Load Pricing Results'!J45</f>
        <v>164.22368781676488</v>
      </c>
      <c r="AH28" s="238">
        <f>IF(AE28=0,0,AF28/AE28)</f>
        <v>196.43</v>
      </c>
      <c r="AI28" s="235"/>
      <c r="AJ28" s="203"/>
      <c r="AK28" s="233"/>
      <c r="AL28" s="233"/>
      <c r="AM28" s="234"/>
    </row>
    <row r="29" spans="1:39" x14ac:dyDescent="0.2">
      <c r="A29" s="44" t="s">
        <v>19</v>
      </c>
      <c r="B29" s="81"/>
      <c r="C29" s="81"/>
      <c r="D29" s="82" t="s">
        <v>19</v>
      </c>
      <c r="E29" s="107">
        <f>IF(B29="MAAC",$I$5*'BRA Load Pricing Results'!J46/'BRA Load Pricing Results'!$B$14,0)</f>
        <v>0</v>
      </c>
      <c r="F29" s="108">
        <f t="shared" si="12"/>
        <v>0</v>
      </c>
      <c r="G29" s="107">
        <f>IF(C29="EMAAC",$I$6*'BRA Load Pricing Results'!J46/'BRA Load Pricing Results'!$B$15,0)</f>
        <v>0</v>
      </c>
      <c r="H29" s="108">
        <f t="shared" si="16"/>
        <v>0</v>
      </c>
      <c r="I29" s="107">
        <f>IF(C29="SWMAAC",$I$7*'BRA Load Pricing Results'!J46/'BRA Load Pricing Results'!$B$16,0)</f>
        <v>0</v>
      </c>
      <c r="J29" s="108">
        <f t="shared" si="13"/>
        <v>0</v>
      </c>
      <c r="K29" s="107">
        <f>IF(D29="PS",$I$8*'BRA Load Pricing Results'!J46/'BRA Load Pricing Results'!$J$60,0)</f>
        <v>0</v>
      </c>
      <c r="L29" s="108">
        <f t="shared" si="14"/>
        <v>0</v>
      </c>
      <c r="M29" s="107">
        <f>IF(D29="DPL",$I$9*'BRA Load Pricing Results'!J46/'BRA Load Pricing Results'!$J$51,0)</f>
        <v>0</v>
      </c>
      <c r="N29" s="108">
        <f t="shared" si="4"/>
        <v>0</v>
      </c>
      <c r="O29" s="107">
        <f>IF(D29="PEPCO",$I$10*'BRA Load Pricing Results'!J46/'BRA Load Pricing Results'!$J$58,0)</f>
        <v>0</v>
      </c>
      <c r="P29" s="108">
        <f t="shared" si="15"/>
        <v>0</v>
      </c>
      <c r="Q29" s="107">
        <f>IF(D29="ATSI",$I$11*'BRA Load Pricing Results'!J46/'BRA Load Pricing Results'!$J$44,0)</f>
        <v>0</v>
      </c>
      <c r="R29" s="108">
        <f t="shared" si="5"/>
        <v>0</v>
      </c>
      <c r="S29" s="110">
        <f>IF(D29="COMED",$I$12*'BRA Load Pricing Results'!J46/'BRA Load Pricing Results'!$J$46,0)</f>
        <v>-3848.9950270511908</v>
      </c>
      <c r="T29" s="108">
        <f>S29*$T$22</f>
        <v>0</v>
      </c>
      <c r="U29" s="107">
        <f>IF(D29="BGE",$I$13*'BRA Load Pricing Results'!J46/'BRA Load Pricing Results'!$J$45,0)</f>
        <v>0</v>
      </c>
      <c r="V29" s="108">
        <f t="shared" ref="V29:V44" si="18">U29*$V$22</f>
        <v>0</v>
      </c>
      <c r="W29" s="107">
        <f>IF(D29="PL",$I$14*'BRA Load Pricing Results'!J46/'BRA Load Pricing Results'!$J$59,0)</f>
        <v>0</v>
      </c>
      <c r="X29" s="108">
        <f t="shared" si="17"/>
        <v>0</v>
      </c>
      <c r="Y29" s="107">
        <f>IF(D29="DAYTON",$I$15*'BRA Load Pricing Results'!J46/'BRA Load Pricing Results'!$J$47,0)</f>
        <v>0</v>
      </c>
      <c r="Z29" s="108">
        <f t="shared" si="7"/>
        <v>0</v>
      </c>
      <c r="AA29" s="107">
        <f>IF(D29="DEOK",$I$16*'BRA Load Pricing Results'!J46/'BRA Load Pricing Results'!$J$48,0)</f>
        <v>0</v>
      </c>
      <c r="AB29" s="108">
        <f t="shared" si="8"/>
        <v>0</v>
      </c>
      <c r="AC29" s="107">
        <f>IF(D29=$AC$21,$I$17*'BRA Load Pricing Results'!J46/'BRA Load Pricing Results'!$J$50,0)</f>
        <v>0</v>
      </c>
      <c r="AD29" s="108">
        <f t="shared" si="9"/>
        <v>0</v>
      </c>
      <c r="AE29" s="109">
        <f t="shared" si="10"/>
        <v>0</v>
      </c>
      <c r="AF29" s="23">
        <f t="shared" si="11"/>
        <v>0</v>
      </c>
      <c r="AG29" s="212">
        <f>AF29/'BRA Load Pricing Results'!J46</f>
        <v>0</v>
      </c>
      <c r="AH29" s="238">
        <f t="shared" ref="AH29:AH44" si="19">IF(AE29=0,0,AF29/AE29)</f>
        <v>0</v>
      </c>
      <c r="AI29" s="235"/>
      <c r="AJ29" s="203"/>
      <c r="AK29" s="233"/>
      <c r="AL29" s="233"/>
      <c r="AM29" s="234"/>
    </row>
    <row r="30" spans="1:39" x14ac:dyDescent="0.2">
      <c r="A30" s="44" t="s">
        <v>20</v>
      </c>
      <c r="B30" s="81"/>
      <c r="C30" s="81"/>
      <c r="D30" s="82" t="s">
        <v>20</v>
      </c>
      <c r="E30" s="107">
        <f>IF(B30="MAAC",$I$5*'BRA Load Pricing Results'!J47/'BRA Load Pricing Results'!$B$14,0)</f>
        <v>0</v>
      </c>
      <c r="F30" s="108">
        <f t="shared" si="12"/>
        <v>0</v>
      </c>
      <c r="G30" s="107">
        <f>IF(C30="EMAAC",$I$6*'BRA Load Pricing Results'!J47/'BRA Load Pricing Results'!$B$15,0)</f>
        <v>0</v>
      </c>
      <c r="H30" s="108">
        <f>G30*$H$22</f>
        <v>0</v>
      </c>
      <c r="I30" s="107">
        <f>IF(C30="SWMAAC",$I$7*'BRA Load Pricing Results'!J47/'BRA Load Pricing Results'!$B$16,0)</f>
        <v>0</v>
      </c>
      <c r="J30" s="108">
        <f>I30*$J$22</f>
        <v>0</v>
      </c>
      <c r="K30" s="107">
        <f>IF(D30="PS",$I$8*'BRA Load Pricing Results'!J47/'BRA Load Pricing Results'!$J$60,0)</f>
        <v>0</v>
      </c>
      <c r="L30" s="108">
        <f t="shared" si="14"/>
        <v>0</v>
      </c>
      <c r="M30" s="107">
        <f>IF(D30="DPL",$I$9*'BRA Load Pricing Results'!J47/'BRA Load Pricing Results'!$J$51,0)</f>
        <v>0</v>
      </c>
      <c r="N30" s="108">
        <f t="shared" si="4"/>
        <v>0</v>
      </c>
      <c r="O30" s="107">
        <f>IF(D30="PEPCO",$I$10*'BRA Load Pricing Results'!J47/'BRA Load Pricing Results'!$J$58,0)</f>
        <v>0</v>
      </c>
      <c r="P30" s="108">
        <f t="shared" si="15"/>
        <v>0</v>
      </c>
      <c r="Q30" s="107">
        <f>IF(D30="ATSI",$I$11*'BRA Load Pricing Results'!J47/'BRA Load Pricing Results'!$J$44,0)</f>
        <v>0</v>
      </c>
      <c r="R30" s="108">
        <f t="shared" si="5"/>
        <v>0</v>
      </c>
      <c r="S30" s="107">
        <f>IF(D30="COMED",$I$12*'BRA Load Pricing Results'!J47/'BRA Load Pricing Results'!$J$46,0)</f>
        <v>0</v>
      </c>
      <c r="T30" s="108">
        <f t="shared" si="6"/>
        <v>0</v>
      </c>
      <c r="U30" s="107">
        <f>IF(D30="BGE",$I$13*'BRA Load Pricing Results'!J47/'BRA Load Pricing Results'!$J$45,0)</f>
        <v>0</v>
      </c>
      <c r="V30" s="108">
        <f t="shared" si="18"/>
        <v>0</v>
      </c>
      <c r="W30" s="107">
        <f>IF(D30="PL",$I$14*'BRA Load Pricing Results'!J47/'BRA Load Pricing Results'!$J$59,0)</f>
        <v>0</v>
      </c>
      <c r="X30" s="108">
        <f t="shared" si="17"/>
        <v>0</v>
      </c>
      <c r="Y30" s="107">
        <f>IF(D30="DAYTON",$I$15*'BRA Load Pricing Results'!J47/'BRA Load Pricing Results'!$J$47,0)</f>
        <v>2500.9417532880998</v>
      </c>
      <c r="Z30" s="108">
        <f t="shared" si="7"/>
        <v>0</v>
      </c>
      <c r="AA30" s="107">
        <f>IF(D30="DEOK",$I$16*'BRA Load Pricing Results'!J47/'BRA Load Pricing Results'!$J$48,0)</f>
        <v>0</v>
      </c>
      <c r="AB30" s="108">
        <f t="shared" si="8"/>
        <v>0</v>
      </c>
      <c r="AC30" s="107">
        <f>IF(D30=$AC$21,$I$17*'BRA Load Pricing Results'!J47/'BRA Load Pricing Results'!$J$50,0)</f>
        <v>0</v>
      </c>
      <c r="AD30" s="108">
        <f t="shared" si="9"/>
        <v>0</v>
      </c>
      <c r="AE30" s="109">
        <f t="shared" si="10"/>
        <v>2500.9417532880998</v>
      </c>
      <c r="AF30" s="23">
        <f t="shared" si="11"/>
        <v>0</v>
      </c>
      <c r="AG30" s="212">
        <f>AF30/'BRA Load Pricing Results'!J47</f>
        <v>0</v>
      </c>
      <c r="AH30" s="238">
        <f t="shared" si="19"/>
        <v>0</v>
      </c>
      <c r="AI30" s="235"/>
      <c r="AJ30" s="203"/>
      <c r="AK30" s="233"/>
      <c r="AL30" s="233"/>
      <c r="AM30" s="234"/>
    </row>
    <row r="31" spans="1:39" x14ac:dyDescent="0.2">
      <c r="A31" s="44" t="s">
        <v>49</v>
      </c>
      <c r="B31" s="81"/>
      <c r="C31" s="81"/>
      <c r="D31" s="82" t="s">
        <v>49</v>
      </c>
      <c r="E31" s="107">
        <f>IF(B31="MAAC",$I$5*'BRA Load Pricing Results'!J48/'BRA Load Pricing Results'!$B$14,0)</f>
        <v>0</v>
      </c>
      <c r="F31" s="108">
        <f t="shared" si="12"/>
        <v>0</v>
      </c>
      <c r="G31" s="107">
        <f>IF(C31="EMAAC",$I$6*'BRA Load Pricing Results'!J48/'BRA Load Pricing Results'!$B$15,0)</f>
        <v>0</v>
      </c>
      <c r="H31" s="108">
        <f>G31*$H$22</f>
        <v>0</v>
      </c>
      <c r="I31" s="107">
        <f>IF(C31="SWMAAC",$I$7*'BRA Load Pricing Results'!J48/'BRA Load Pricing Results'!$B$16,0)</f>
        <v>0</v>
      </c>
      <c r="J31" s="108">
        <f>I31*$J$22</f>
        <v>0</v>
      </c>
      <c r="K31" s="107">
        <f>IF(D31="PS",$I$8*'BRA Load Pricing Results'!J48/'BRA Load Pricing Results'!$J$60,0)</f>
        <v>0</v>
      </c>
      <c r="L31" s="108">
        <f>K31*$L$22</f>
        <v>0</v>
      </c>
      <c r="M31" s="107">
        <f>IF(D31="DPL",$I$9*'BRA Load Pricing Results'!J48/'BRA Load Pricing Results'!$J$51,0)</f>
        <v>0</v>
      </c>
      <c r="N31" s="108">
        <f>M31*$N$22</f>
        <v>0</v>
      </c>
      <c r="O31" s="107">
        <f>IF(D31="PEPCO",$I$10*'BRA Load Pricing Results'!J48/'BRA Load Pricing Results'!$J$58,0)</f>
        <v>0</v>
      </c>
      <c r="P31" s="108">
        <f>O31*$P$22</f>
        <v>0</v>
      </c>
      <c r="Q31" s="107">
        <f>IF(D31="ATSI",$I$11*'BRA Load Pricing Results'!J48/'BRA Load Pricing Results'!$J$44,0)</f>
        <v>0</v>
      </c>
      <c r="R31" s="108">
        <f t="shared" si="5"/>
        <v>0</v>
      </c>
      <c r="S31" s="107">
        <f>IF(D31="COMED",$I$12*'BRA Load Pricing Results'!J48/'BRA Load Pricing Results'!$J$46,0)</f>
        <v>0</v>
      </c>
      <c r="T31" s="108">
        <f t="shared" si="6"/>
        <v>0</v>
      </c>
      <c r="U31" s="107">
        <f>IF(D31="BGE",$I$13*'BRA Load Pricing Results'!J48/'BRA Load Pricing Results'!$J$45,0)</f>
        <v>0</v>
      </c>
      <c r="V31" s="108">
        <f t="shared" si="18"/>
        <v>0</v>
      </c>
      <c r="W31" s="107">
        <f>IF(D31="PL",$I$14*'BRA Load Pricing Results'!J48/'BRA Load Pricing Results'!$J$59,0)</f>
        <v>0</v>
      </c>
      <c r="X31" s="108">
        <f t="shared" si="17"/>
        <v>0</v>
      </c>
      <c r="Y31" s="107">
        <f>IF(D31="DAYTON",$I$15*'BRA Load Pricing Results'!J48/'BRA Load Pricing Results'!$J$47,0)</f>
        <v>0</v>
      </c>
      <c r="Z31" s="108">
        <f t="shared" si="7"/>
        <v>0</v>
      </c>
      <c r="AA31" s="107">
        <f>IF(D31="DEOK",$I$16*'BRA Load Pricing Results'!J48/'BRA Load Pricing Results'!$J$48,0)</f>
        <v>2413.3815486858139</v>
      </c>
      <c r="AB31" s="108">
        <f>AA31*$AB$22</f>
        <v>0</v>
      </c>
      <c r="AC31" s="107">
        <f>IF(D31=$AC$21,$I$17*'BRA Load Pricing Results'!J48/'BRA Load Pricing Results'!$J$50,0)</f>
        <v>0</v>
      </c>
      <c r="AD31" s="108">
        <f t="shared" si="9"/>
        <v>0</v>
      </c>
      <c r="AE31" s="109">
        <f t="shared" si="10"/>
        <v>2413.3815486858139</v>
      </c>
      <c r="AF31" s="23">
        <f t="shared" si="11"/>
        <v>0</v>
      </c>
      <c r="AG31" s="212">
        <f>AF31/'BRA Load Pricing Results'!J48</f>
        <v>0</v>
      </c>
      <c r="AH31" s="238">
        <f t="shared" si="19"/>
        <v>0</v>
      </c>
      <c r="AI31" s="235"/>
      <c r="AJ31" s="203"/>
      <c r="AK31" s="233"/>
      <c r="AL31" s="233"/>
      <c r="AM31" s="234"/>
    </row>
    <row r="32" spans="1:39" x14ac:dyDescent="0.2">
      <c r="A32" s="44" t="s">
        <v>41</v>
      </c>
      <c r="B32" s="81"/>
      <c r="C32" s="81"/>
      <c r="D32" s="82"/>
      <c r="E32" s="107">
        <f>IF(B32="MAAC",$I$5*'BRA Load Pricing Results'!J49/'BRA Load Pricing Results'!$B$14,0)</f>
        <v>0</v>
      </c>
      <c r="F32" s="108">
        <f t="shared" si="12"/>
        <v>0</v>
      </c>
      <c r="G32" s="107">
        <f>IF(C32="EMAAC",$I$6*'BRA Load Pricing Results'!J49/'BRA Load Pricing Results'!$B$15,0)</f>
        <v>0</v>
      </c>
      <c r="H32" s="108">
        <f>G32*$H$22</f>
        <v>0</v>
      </c>
      <c r="I32" s="107">
        <f>IF(C32="SWMAAC",$I$7*'BRA Load Pricing Results'!J49/'BRA Load Pricing Results'!$B$16,0)</f>
        <v>0</v>
      </c>
      <c r="J32" s="108">
        <f>I32*$J$22</f>
        <v>0</v>
      </c>
      <c r="K32" s="107">
        <f>IF(D32="PS",$I$8*'BRA Load Pricing Results'!J49/'BRA Load Pricing Results'!$J$60,0)</f>
        <v>0</v>
      </c>
      <c r="L32" s="108">
        <f>K32*$L$22</f>
        <v>0</v>
      </c>
      <c r="M32" s="107">
        <f>IF(D32="DPL",$I$9*'BRA Load Pricing Results'!J49/'BRA Load Pricing Results'!$J$51,0)</f>
        <v>0</v>
      </c>
      <c r="N32" s="108">
        <f>M32*$N$22</f>
        <v>0</v>
      </c>
      <c r="O32" s="107">
        <f>IF(D32="PEPCO",$I$10*'BRA Load Pricing Results'!#REF!/'BRA Load Pricing Results'!$J$58,0)</f>
        <v>0</v>
      </c>
      <c r="P32" s="108">
        <f>O32*$P$22</f>
        <v>0</v>
      </c>
      <c r="Q32" s="107">
        <f>IF(D32="ATSI",$I$11*'BRA Load Pricing Results'!J49/'BRA Load Pricing Results'!$J$44,0)</f>
        <v>0</v>
      </c>
      <c r="R32" s="108">
        <f t="shared" si="5"/>
        <v>0</v>
      </c>
      <c r="S32" s="107">
        <f>IF(D32="COMED",$I$12*'BRA Load Pricing Results'!J49/'BRA Load Pricing Results'!$J$46,0)</f>
        <v>0</v>
      </c>
      <c r="T32" s="108">
        <f t="shared" si="6"/>
        <v>0</v>
      </c>
      <c r="U32" s="107">
        <f>IF(D32="BGE",$I$13*'BRA Load Pricing Results'!J49/'BRA Load Pricing Results'!$J$45,0)</f>
        <v>0</v>
      </c>
      <c r="V32" s="108">
        <f t="shared" si="18"/>
        <v>0</v>
      </c>
      <c r="W32" s="107">
        <f>IF(D32="PL",$I$14*'BRA Load Pricing Results'!J49/'BRA Load Pricing Results'!$J$59,0)</f>
        <v>0</v>
      </c>
      <c r="X32" s="108">
        <f t="shared" si="17"/>
        <v>0</v>
      </c>
      <c r="Y32" s="107">
        <f>IF(D32="DAYTON",$I$15*'BRA Load Pricing Results'!J49/'BRA Load Pricing Results'!$J$47,0)</f>
        <v>0</v>
      </c>
      <c r="Z32" s="108">
        <f t="shared" si="7"/>
        <v>0</v>
      </c>
      <c r="AA32" s="107">
        <f>IF(D32="DEOK",$I$16*'BRA Load Pricing Results'!J49/'BRA Load Pricing Results'!$J$48,0)</f>
        <v>0</v>
      </c>
      <c r="AB32" s="108">
        <f t="shared" si="8"/>
        <v>0</v>
      </c>
      <c r="AC32" s="107">
        <f>IF(D32=$AC$21,$I$17*'BRA Load Pricing Results'!J49/'BRA Load Pricing Results'!$J$50,0)</f>
        <v>0</v>
      </c>
      <c r="AD32" s="108">
        <f t="shared" si="9"/>
        <v>0</v>
      </c>
      <c r="AE32" s="109">
        <f t="shared" si="10"/>
        <v>0</v>
      </c>
      <c r="AF32" s="23">
        <f t="shared" si="11"/>
        <v>0</v>
      </c>
      <c r="AG32" s="212">
        <f>AF32/'BRA Load Pricing Results'!J49</f>
        <v>0</v>
      </c>
      <c r="AH32" s="238">
        <f t="shared" si="19"/>
        <v>0</v>
      </c>
      <c r="AI32" s="235"/>
      <c r="AJ32" s="203"/>
      <c r="AK32" s="233"/>
      <c r="AL32" s="233"/>
      <c r="AM32" s="234"/>
    </row>
    <row r="33" spans="1:39" x14ac:dyDescent="0.2">
      <c r="A33" s="44" t="s">
        <v>29</v>
      </c>
      <c r="B33" s="81"/>
      <c r="C33" s="81"/>
      <c r="D33" s="82" t="s">
        <v>29</v>
      </c>
      <c r="E33" s="107">
        <f>IF(B33="MAAC",$I$5*'BRA Load Pricing Results'!J50/'BRA Load Pricing Results'!$B$14,0)</f>
        <v>0</v>
      </c>
      <c r="F33" s="108">
        <f t="shared" si="12"/>
        <v>0</v>
      </c>
      <c r="G33" s="107">
        <f>IF(C33="EMAAC",$I$6*'BRA Load Pricing Results'!J50/'BRA Load Pricing Results'!$B$15,0)</f>
        <v>0</v>
      </c>
      <c r="H33" s="108">
        <f t="shared" si="16"/>
        <v>0</v>
      </c>
      <c r="I33" s="107">
        <f>IF(C33="SWMAAC",$I$7*'BRA Load Pricing Results'!J50/'BRA Load Pricing Results'!$B$16,0)</f>
        <v>0</v>
      </c>
      <c r="J33" s="108">
        <f t="shared" si="13"/>
        <v>0</v>
      </c>
      <c r="K33" s="107">
        <f>IF(D33="PS",$I$8*'BRA Load Pricing Results'!J50/'BRA Load Pricing Results'!$J$60,0)</f>
        <v>0</v>
      </c>
      <c r="L33" s="108">
        <f t="shared" si="14"/>
        <v>0</v>
      </c>
      <c r="M33" s="107">
        <f>IF(D33="DPL",$I$9*'BRA Load Pricing Results'!J50/'BRA Load Pricing Results'!$J$51,0)</f>
        <v>0</v>
      </c>
      <c r="N33" s="108">
        <f t="shared" si="4"/>
        <v>0</v>
      </c>
      <c r="O33" s="107">
        <f>IF(D33="PEPCO",$I$10*'BRA Load Pricing Results'!J50/'BRA Load Pricing Results'!$J$58,0)</f>
        <v>0</v>
      </c>
      <c r="P33" s="108">
        <f t="shared" si="15"/>
        <v>0</v>
      </c>
      <c r="Q33" s="107">
        <f>IF(D33="ATSI",$I$11*'BRA Load Pricing Results'!J50/'BRA Load Pricing Results'!$J$44,0)</f>
        <v>0</v>
      </c>
      <c r="R33" s="108">
        <f t="shared" si="5"/>
        <v>0</v>
      </c>
      <c r="S33" s="107">
        <f>IF(D33="COMED",$I$12*'BRA Load Pricing Results'!J50/'BRA Load Pricing Results'!$J$46,0)</f>
        <v>0</v>
      </c>
      <c r="T33" s="108">
        <f t="shared" si="6"/>
        <v>0</v>
      </c>
      <c r="U33" s="107">
        <f>IF(D33="BGE",$I$13*'BRA Load Pricing Results'!J50/'BRA Load Pricing Results'!$J$45,0)</f>
        <v>0</v>
      </c>
      <c r="V33" s="108">
        <f t="shared" si="18"/>
        <v>0</v>
      </c>
      <c r="W33" s="107">
        <f>IF(D33="PL",$I$14*'BRA Load Pricing Results'!J50/'BRA Load Pricing Results'!$J$59,0)</f>
        <v>0</v>
      </c>
      <c r="X33" s="108">
        <f t="shared" si="17"/>
        <v>0</v>
      </c>
      <c r="Y33" s="107">
        <f>IF(D33="DAYTON",$I$15*'BRA Load Pricing Results'!J50/'BRA Load Pricing Results'!$J$47,0)</f>
        <v>0</v>
      </c>
      <c r="Z33" s="108">
        <f t="shared" si="7"/>
        <v>0</v>
      </c>
      <c r="AA33" s="107">
        <f>IF(D33="DEOK",$I$16*'BRA Load Pricing Results'!J50/'BRA Load Pricing Results'!$J$48,0)</f>
        <v>0</v>
      </c>
      <c r="AB33" s="108">
        <f t="shared" si="8"/>
        <v>0</v>
      </c>
      <c r="AC33" s="107">
        <f>IF(D33=$AC$21,$I$17*'BRA Load Pricing Results'!J50/'BRA Load Pricing Results'!$J$50,0)</f>
        <v>1903.2678476699696</v>
      </c>
      <c r="AD33" s="108">
        <f>AC33*$AD$22</f>
        <v>331815.71656278247</v>
      </c>
      <c r="AE33" s="109">
        <f t="shared" si="10"/>
        <v>1903.2678476699696</v>
      </c>
      <c r="AF33" s="23">
        <f t="shared" si="11"/>
        <v>331815.71656278247</v>
      </c>
      <c r="AG33" s="212">
        <f>AF33/'BRA Load Pricing Results'!J50</f>
        <v>15.114914318495323</v>
      </c>
      <c r="AH33" s="238">
        <f t="shared" si="19"/>
        <v>174.33999999999997</v>
      </c>
      <c r="AI33" s="235"/>
      <c r="AJ33" s="203"/>
      <c r="AK33" s="233"/>
      <c r="AL33" s="233"/>
      <c r="AM33" s="234"/>
    </row>
    <row r="34" spans="1:39" x14ac:dyDescent="0.2">
      <c r="A34" s="44" t="s">
        <v>16</v>
      </c>
      <c r="B34" s="81" t="s">
        <v>27</v>
      </c>
      <c r="C34" s="81" t="s">
        <v>32</v>
      </c>
      <c r="D34" s="82" t="s">
        <v>16</v>
      </c>
      <c r="E34" s="107">
        <f>IF(B34="MAAC",$I$5*'BRA Load Pricing Results'!J51/'BRA Load Pricing Results'!$B$14,0)</f>
        <v>0</v>
      </c>
      <c r="F34" s="108">
        <f t="shared" si="12"/>
        <v>0</v>
      </c>
      <c r="G34" s="107">
        <f>IF(C34="EMAAC",$I$6*'BRA Load Pricing Results'!J51/'BRA Load Pricing Results'!$B$15,0)</f>
        <v>385.57656119252124</v>
      </c>
      <c r="H34" s="108">
        <f>G34*$H$22</f>
        <v>0</v>
      </c>
      <c r="I34" s="107">
        <f>IF(C34="SWMAAC",$I$7*'BRA Load Pricing Results'!J51/'BRA Load Pricing Results'!$B$16,0)</f>
        <v>0</v>
      </c>
      <c r="J34" s="108">
        <f t="shared" si="13"/>
        <v>0</v>
      </c>
      <c r="K34" s="107">
        <f>IF(D34="PS",$I$8*'BRA Load Pricing Results'!J51/'BRA Load Pricing Results'!$J$60,0)</f>
        <v>0</v>
      </c>
      <c r="L34" s="108">
        <f t="shared" si="14"/>
        <v>0</v>
      </c>
      <c r="M34" s="107">
        <f>IF(D34="DPL",$I$9*'BRA Load Pricing Results'!J51/'BRA Load Pricing Results'!$J$51,0)</f>
        <v>-423.32045938526602</v>
      </c>
      <c r="N34" s="108">
        <f t="shared" si="4"/>
        <v>0</v>
      </c>
      <c r="O34" s="107">
        <f>IF(D34="PEPCO",$I$10*'BRA Load Pricing Results'!J51/'BRA Load Pricing Results'!$J$58,0)</f>
        <v>0</v>
      </c>
      <c r="P34" s="108">
        <f t="shared" si="15"/>
        <v>0</v>
      </c>
      <c r="Q34" s="107">
        <f>IF(D34="ATSI",$I$11*'BRA Load Pricing Results'!J51/'BRA Load Pricing Results'!$J$44,0)</f>
        <v>0</v>
      </c>
      <c r="R34" s="108">
        <f t="shared" si="5"/>
        <v>0</v>
      </c>
      <c r="S34" s="107">
        <f>IF(D34="COMED",$I$12*'BRA Load Pricing Results'!J51/'BRA Load Pricing Results'!$J$46,0)</f>
        <v>0</v>
      </c>
      <c r="T34" s="108">
        <f t="shared" si="6"/>
        <v>0</v>
      </c>
      <c r="U34" s="107">
        <f>IF(D34="BGE",$I$13*'BRA Load Pricing Results'!J51/'BRA Load Pricing Results'!$J$45,0)</f>
        <v>0</v>
      </c>
      <c r="V34" s="108">
        <f t="shared" si="18"/>
        <v>0</v>
      </c>
      <c r="W34" s="107">
        <f>IF(D34="PL",$I$14*'BRA Load Pricing Results'!J51/'BRA Load Pricing Results'!$J$59,0)</f>
        <v>0</v>
      </c>
      <c r="X34" s="108">
        <f t="shared" si="17"/>
        <v>0</v>
      </c>
      <c r="Y34" s="107">
        <f>IF(D34="DAYTON",$I$15*'BRA Load Pricing Results'!J51/'BRA Load Pricing Results'!$J$47,0)</f>
        <v>0</v>
      </c>
      <c r="Z34" s="108">
        <f t="shared" si="7"/>
        <v>0</v>
      </c>
      <c r="AA34" s="107">
        <f>IF(D34="DEOK",$I$16*'BRA Load Pricing Results'!J51/'BRA Load Pricing Results'!$J$48,0)</f>
        <v>0</v>
      </c>
      <c r="AB34" s="108">
        <f t="shared" si="8"/>
        <v>0</v>
      </c>
      <c r="AC34" s="107">
        <f>IF(D34=$AC$21,$I$17*'BRA Load Pricing Results'!J51/'BRA Load Pricing Results'!$J$50,0)</f>
        <v>0</v>
      </c>
      <c r="AD34" s="108">
        <f t="shared" si="9"/>
        <v>0</v>
      </c>
      <c r="AE34" s="109">
        <f t="shared" si="10"/>
        <v>385.57656119252124</v>
      </c>
      <c r="AF34" s="23">
        <f t="shared" si="11"/>
        <v>0</v>
      </c>
      <c r="AG34" s="212">
        <f>AF34/'BRA Load Pricing Results'!J51</f>
        <v>0</v>
      </c>
      <c r="AH34" s="238">
        <f t="shared" si="19"/>
        <v>0</v>
      </c>
      <c r="AI34" s="235"/>
      <c r="AJ34" s="203"/>
      <c r="AK34" s="233"/>
      <c r="AL34" s="233"/>
      <c r="AM34" s="234"/>
    </row>
    <row r="35" spans="1:39" x14ac:dyDescent="0.2">
      <c r="A35" s="44" t="s">
        <v>99</v>
      </c>
      <c r="B35" s="81"/>
      <c r="C35" s="81"/>
      <c r="D35" s="82"/>
      <c r="E35" s="107">
        <f>IF(B35="MAAC",$I$5*'BRA Load Pricing Results'!J52/'BRA Load Pricing Results'!$B$14,0)</f>
        <v>0</v>
      </c>
      <c r="F35" s="108">
        <f t="shared" si="12"/>
        <v>0</v>
      </c>
      <c r="G35" s="107">
        <f>IF(C35="EMAAC",$I$6*'BRA Load Pricing Results'!J52/'BRA Load Pricing Results'!$B$15,0)</f>
        <v>0</v>
      </c>
      <c r="H35" s="108">
        <f>G35*$H$22</f>
        <v>0</v>
      </c>
      <c r="I35" s="107">
        <f>IF(C35="SWMAAC",$I$7*'BRA Load Pricing Results'!J52/'BRA Load Pricing Results'!$B$16,0)</f>
        <v>0</v>
      </c>
      <c r="J35" s="108">
        <f>I35*$J$22</f>
        <v>0</v>
      </c>
      <c r="K35" s="107">
        <f>IF(D35="PS",$I$8*'BRA Load Pricing Results'!J52/'BRA Load Pricing Results'!$J$60,0)</f>
        <v>0</v>
      </c>
      <c r="L35" s="108">
        <f>K35*$L$22</f>
        <v>0</v>
      </c>
      <c r="M35" s="107">
        <f>IF(D35="DPL",$I$9*'BRA Load Pricing Results'!J52/'BRA Load Pricing Results'!$J$51,0)</f>
        <v>0</v>
      </c>
      <c r="N35" s="108">
        <f>M35*$N$22</f>
        <v>0</v>
      </c>
      <c r="O35" s="107">
        <f>IF(D35="PEPCO",$I$10*'BRA Load Pricing Results'!J52/'BRA Load Pricing Results'!$J$58,0)</f>
        <v>0</v>
      </c>
      <c r="P35" s="108">
        <f>O35*$P$22</f>
        <v>0</v>
      </c>
      <c r="Q35" s="107">
        <f>IF(D35="ATSI",$I$11*'BRA Load Pricing Results'!J52/'BRA Load Pricing Results'!$J$44,0)</f>
        <v>0</v>
      </c>
      <c r="R35" s="108">
        <f>Q35*$R$22</f>
        <v>0</v>
      </c>
      <c r="S35" s="107">
        <f>IF(D35="COMED",$I$12*'BRA Load Pricing Results'!J52/'BRA Load Pricing Results'!$J$46,0)</f>
        <v>0</v>
      </c>
      <c r="T35" s="108">
        <f t="shared" si="6"/>
        <v>0</v>
      </c>
      <c r="U35" s="107">
        <f>IF(D35="BGE",$I$13*'BRA Load Pricing Results'!J52/'BRA Load Pricing Results'!$J$45,0)</f>
        <v>0</v>
      </c>
      <c r="V35" s="108">
        <f t="shared" si="18"/>
        <v>0</v>
      </c>
      <c r="W35" s="107">
        <f>IF(D35="PL",$I$14*'BRA Load Pricing Results'!J52/'BRA Load Pricing Results'!$J$59,0)</f>
        <v>0</v>
      </c>
      <c r="X35" s="108">
        <f t="shared" si="17"/>
        <v>0</v>
      </c>
      <c r="Y35" s="107">
        <f>IF(D35="DAYTON",$I$15*'BRA Load Pricing Results'!J52/'BRA Load Pricing Results'!$J$47,0)</f>
        <v>0</v>
      </c>
      <c r="Z35" s="108">
        <f t="shared" si="7"/>
        <v>0</v>
      </c>
      <c r="AA35" s="107">
        <f>IF(D35="DEOK",$I$16*'BRA Load Pricing Results'!J52/'BRA Load Pricing Results'!$J$48,0)</f>
        <v>0</v>
      </c>
      <c r="AB35" s="108">
        <f t="shared" si="8"/>
        <v>0</v>
      </c>
      <c r="AC35" s="107">
        <f>IF(D35=$AC$21,$I$17*'BRA Load Pricing Results'!J52/'BRA Load Pricing Results'!$J$50,0)</f>
        <v>0</v>
      </c>
      <c r="AD35" s="108">
        <f t="shared" si="9"/>
        <v>0</v>
      </c>
      <c r="AE35" s="109">
        <f t="shared" si="10"/>
        <v>0</v>
      </c>
      <c r="AF35" s="23">
        <f t="shared" si="11"/>
        <v>0</v>
      </c>
      <c r="AG35" s="212">
        <f>AF35/'BRA Load Pricing Results'!J52</f>
        <v>0</v>
      </c>
      <c r="AH35" s="238">
        <f>IF(AE35=0,0,AF35/AE35)</f>
        <v>0</v>
      </c>
      <c r="AI35" s="235"/>
      <c r="AJ35" s="203"/>
      <c r="AK35" s="233"/>
      <c r="AL35" s="233"/>
      <c r="AM35" s="234"/>
    </row>
    <row r="36" spans="1:39" x14ac:dyDescent="0.2">
      <c r="A36" s="44" t="s">
        <v>11</v>
      </c>
      <c r="B36" s="81" t="s">
        <v>27</v>
      </c>
      <c r="C36" s="81" t="s">
        <v>32</v>
      </c>
      <c r="D36" s="82"/>
      <c r="E36" s="107">
        <f>IF(B36="MAAC",$I$5*'BRA Load Pricing Results'!J53/'BRA Load Pricing Results'!$B$14,0)</f>
        <v>0</v>
      </c>
      <c r="F36" s="108">
        <f t="shared" si="12"/>
        <v>0</v>
      </c>
      <c r="G36" s="107">
        <f>IF(C36="EMAAC",$I$6*'BRA Load Pricing Results'!J53/'BRA Load Pricing Results'!$B$15,0)</f>
        <v>600.35729742990168</v>
      </c>
      <c r="H36" s="108">
        <f>G36*$H$22</f>
        <v>0</v>
      </c>
      <c r="I36" s="107">
        <f>IF(C36="SWMAAC",$I$7*'BRA Load Pricing Results'!J53/'BRA Load Pricing Results'!$B$16,0)</f>
        <v>0</v>
      </c>
      <c r="J36" s="108">
        <f t="shared" si="13"/>
        <v>0</v>
      </c>
      <c r="K36" s="107">
        <f>IF(D36="PS",$I$8*'BRA Load Pricing Results'!J53/'BRA Load Pricing Results'!$J$60,0)</f>
        <v>0</v>
      </c>
      <c r="L36" s="108">
        <f t="shared" si="14"/>
        <v>0</v>
      </c>
      <c r="M36" s="107">
        <f>IF(D36="DPL",$I$9*'BRA Load Pricing Results'!J53/'BRA Load Pricing Results'!$J$51,0)</f>
        <v>0</v>
      </c>
      <c r="N36" s="108">
        <f t="shared" si="4"/>
        <v>0</v>
      </c>
      <c r="O36" s="107">
        <f>IF(D36="PEPCO",$I$10*'BRA Load Pricing Results'!J53/'BRA Load Pricing Results'!$J$58,0)</f>
        <v>0</v>
      </c>
      <c r="P36" s="108">
        <f t="shared" si="15"/>
        <v>0</v>
      </c>
      <c r="Q36" s="107">
        <f>IF(D36="ATSI",$I$11*'BRA Load Pricing Results'!J53/'BRA Load Pricing Results'!$J$44,0)</f>
        <v>0</v>
      </c>
      <c r="R36" s="108">
        <f t="shared" si="5"/>
        <v>0</v>
      </c>
      <c r="S36" s="107">
        <f>IF(D36="COMED",$I$12*'BRA Load Pricing Results'!J53/'BRA Load Pricing Results'!$J$46,0)</f>
        <v>0</v>
      </c>
      <c r="T36" s="108">
        <f t="shared" si="6"/>
        <v>0</v>
      </c>
      <c r="U36" s="107">
        <f>IF(D36="BGE",$I$13*'BRA Load Pricing Results'!J53/'BRA Load Pricing Results'!$J$45,0)</f>
        <v>0</v>
      </c>
      <c r="V36" s="108">
        <f t="shared" si="18"/>
        <v>0</v>
      </c>
      <c r="W36" s="107">
        <f>IF(D36="PL",$I$14*'BRA Load Pricing Results'!J53/'BRA Load Pricing Results'!$J$59,0)</f>
        <v>0</v>
      </c>
      <c r="X36" s="108">
        <f t="shared" si="17"/>
        <v>0</v>
      </c>
      <c r="Y36" s="107">
        <f>IF(D36="DAYTON",$I$15*'BRA Load Pricing Results'!J53/'BRA Load Pricing Results'!$J$47,0)</f>
        <v>0</v>
      </c>
      <c r="Z36" s="108">
        <f t="shared" si="7"/>
        <v>0</v>
      </c>
      <c r="AA36" s="107">
        <f>IF(D36="DEOK",$I$16*'BRA Load Pricing Results'!J53/'BRA Load Pricing Results'!$J$48,0)</f>
        <v>0</v>
      </c>
      <c r="AB36" s="108">
        <f t="shared" si="8"/>
        <v>0</v>
      </c>
      <c r="AC36" s="107">
        <f>IF(D36=$AC$21,$I$17*'BRA Load Pricing Results'!J53/'BRA Load Pricing Results'!$J$50,0)</f>
        <v>0</v>
      </c>
      <c r="AD36" s="108">
        <f t="shared" si="9"/>
        <v>0</v>
      </c>
      <c r="AE36" s="109">
        <f t="shared" si="10"/>
        <v>600.35729742990168</v>
      </c>
      <c r="AF36" s="23">
        <f t="shared" si="11"/>
        <v>0</v>
      </c>
      <c r="AG36" s="212">
        <f>AF36/'BRA Load Pricing Results'!J53</f>
        <v>0</v>
      </c>
      <c r="AH36" s="238">
        <f t="shared" si="19"/>
        <v>0</v>
      </c>
      <c r="AI36" s="235"/>
      <c r="AJ36" s="203"/>
      <c r="AK36" s="233"/>
      <c r="AL36" s="233"/>
      <c r="AM36" s="234"/>
    </row>
    <row r="37" spans="1:39" x14ac:dyDescent="0.2">
      <c r="A37" s="44" t="s">
        <v>12</v>
      </c>
      <c r="B37" s="81" t="s">
        <v>27</v>
      </c>
      <c r="C37" s="81"/>
      <c r="D37" s="82"/>
      <c r="E37" s="107">
        <f>IF(B37="MAAC",$I$5*'BRA Load Pricing Results'!J54/'BRA Load Pricing Results'!$B$14,0)</f>
        <v>0</v>
      </c>
      <c r="F37" s="108">
        <f t="shared" si="12"/>
        <v>0</v>
      </c>
      <c r="G37" s="107">
        <f>IF(C37="EMAAC",$I$6*'BRA Load Pricing Results'!J54/'BRA Load Pricing Results'!$B$15,0)</f>
        <v>0</v>
      </c>
      <c r="H37" s="108">
        <f t="shared" si="16"/>
        <v>0</v>
      </c>
      <c r="I37" s="107">
        <f>IF(C37="SWMAAC",$I$7*'BRA Load Pricing Results'!J54/'BRA Load Pricing Results'!$B$16,0)</f>
        <v>0</v>
      </c>
      <c r="J37" s="108">
        <f t="shared" si="13"/>
        <v>0</v>
      </c>
      <c r="K37" s="107">
        <f>IF(D37="PS",$I$8*'BRA Load Pricing Results'!J54/'BRA Load Pricing Results'!$J$60,0)</f>
        <v>0</v>
      </c>
      <c r="L37" s="108">
        <f t="shared" si="14"/>
        <v>0</v>
      </c>
      <c r="M37" s="107">
        <f>IF(D37="DPL",$I$9*'BRA Load Pricing Results'!J54/'BRA Load Pricing Results'!$J$51,0)</f>
        <v>0</v>
      </c>
      <c r="N37" s="108">
        <f t="shared" si="4"/>
        <v>0</v>
      </c>
      <c r="O37" s="107">
        <f>IF(D37="PEPCO",$I$10*'BRA Load Pricing Results'!J54/'BRA Load Pricing Results'!$J$58,0)</f>
        <v>0</v>
      </c>
      <c r="P37" s="108">
        <f t="shared" si="15"/>
        <v>0</v>
      </c>
      <c r="Q37" s="107">
        <f>IF(D37="ATSI",$I$11*'BRA Load Pricing Results'!J54/'BRA Load Pricing Results'!$J$44,0)</f>
        <v>0</v>
      </c>
      <c r="R37" s="108">
        <f t="shared" si="5"/>
        <v>0</v>
      </c>
      <c r="S37" s="107">
        <f>IF(D37="COMED",$I$12*'BRA Load Pricing Results'!J54/'BRA Load Pricing Results'!$J$46,0)</f>
        <v>0</v>
      </c>
      <c r="T37" s="108">
        <f t="shared" si="6"/>
        <v>0</v>
      </c>
      <c r="U37" s="107">
        <f>IF(D37="BGE",$I$13*'BRA Load Pricing Results'!J54/'BRA Load Pricing Results'!$J$45,0)</f>
        <v>0</v>
      </c>
      <c r="V37" s="108">
        <f t="shared" si="18"/>
        <v>0</v>
      </c>
      <c r="W37" s="107">
        <f>IF(D37="PL",$I$14*'BRA Load Pricing Results'!J54/'BRA Load Pricing Results'!$J$59,0)</f>
        <v>0</v>
      </c>
      <c r="X37" s="108">
        <f t="shared" si="17"/>
        <v>0</v>
      </c>
      <c r="Y37" s="107">
        <f>IF(D37="DAYTON",$I$15*'BRA Load Pricing Results'!J54/'BRA Load Pricing Results'!$J$47,0)</f>
        <v>0</v>
      </c>
      <c r="Z37" s="108">
        <f t="shared" si="7"/>
        <v>0</v>
      </c>
      <c r="AA37" s="107">
        <f>IF(D37="DEOK",$I$16*'BRA Load Pricing Results'!J54/'BRA Load Pricing Results'!$J$48,0)</f>
        <v>0</v>
      </c>
      <c r="AB37" s="108">
        <f t="shared" si="8"/>
        <v>0</v>
      </c>
      <c r="AC37" s="107">
        <f>IF(D37=$AC$21,$I$17*'BRA Load Pricing Results'!J54/'BRA Load Pricing Results'!$J$50,0)</f>
        <v>0</v>
      </c>
      <c r="AD37" s="108">
        <f t="shared" si="9"/>
        <v>0</v>
      </c>
      <c r="AE37" s="109">
        <f t="shared" si="10"/>
        <v>0</v>
      </c>
      <c r="AF37" s="23">
        <f t="shared" si="11"/>
        <v>0</v>
      </c>
      <c r="AG37" s="212">
        <f>AF37/'BRA Load Pricing Results'!J54</f>
        <v>0</v>
      </c>
      <c r="AH37" s="238">
        <f t="shared" si="19"/>
        <v>0</v>
      </c>
      <c r="AI37" s="235"/>
      <c r="AJ37" s="203"/>
      <c r="AK37" s="233"/>
      <c r="AL37" s="233"/>
      <c r="AM37" s="234"/>
    </row>
    <row r="38" spans="1:39" x14ac:dyDescent="0.2">
      <c r="A38" s="44" t="s">
        <v>173</v>
      </c>
      <c r="B38" s="81"/>
      <c r="C38" s="81"/>
      <c r="D38" s="82"/>
      <c r="E38" s="107">
        <f>IF(B38="MAAC",$I$5*'BRA Load Pricing Results'!J55/'BRA Load Pricing Results'!$B$14,0)</f>
        <v>0</v>
      </c>
      <c r="F38" s="108">
        <f t="shared" si="12"/>
        <v>0</v>
      </c>
      <c r="G38" s="107">
        <f>IF(C38="EMAAC",$I$6*'BRA Load Pricing Results'!J55/'BRA Load Pricing Results'!$B$15,0)</f>
        <v>0</v>
      </c>
      <c r="H38" s="108">
        <f t="shared" si="16"/>
        <v>0</v>
      </c>
      <c r="I38" s="107">
        <f>IF(C38="SWMAAC",$I$7*'BRA Load Pricing Results'!J55/'BRA Load Pricing Results'!$B$16,0)</f>
        <v>0</v>
      </c>
      <c r="J38" s="108">
        <f t="shared" si="13"/>
        <v>0</v>
      </c>
      <c r="K38" s="107">
        <f>IF(D38="PS",$I$8*'BRA Load Pricing Results'!J55/'BRA Load Pricing Results'!$J$60,0)</f>
        <v>0</v>
      </c>
      <c r="L38" s="108">
        <f t="shared" si="14"/>
        <v>0</v>
      </c>
      <c r="M38" s="107">
        <f>IF(D38="DPL",$I$9*'BRA Load Pricing Results'!J55/'BRA Load Pricing Results'!$J$51,0)</f>
        <v>0</v>
      </c>
      <c r="N38" s="108">
        <f t="shared" si="4"/>
        <v>0</v>
      </c>
      <c r="O38" s="107">
        <f>IF(D38="PEPCO",$I$10*'BRA Load Pricing Results'!J55/'BRA Load Pricing Results'!$J$58,0)</f>
        <v>0</v>
      </c>
      <c r="P38" s="108">
        <f t="shared" si="15"/>
        <v>0</v>
      </c>
      <c r="Q38" s="107">
        <f>IF(D38="ATSI",$I$11*'BRA Load Pricing Results'!J55/'BRA Load Pricing Results'!$J$44,0)</f>
        <v>0</v>
      </c>
      <c r="R38" s="108">
        <f t="shared" si="5"/>
        <v>0</v>
      </c>
      <c r="S38" s="107">
        <f>IF(D38="COMED",$I$12*'BRA Load Pricing Results'!J55/'BRA Load Pricing Results'!$J$46,0)</f>
        <v>0</v>
      </c>
      <c r="T38" s="108">
        <f t="shared" si="6"/>
        <v>0</v>
      </c>
      <c r="U38" s="107">
        <f>IF(D38="BGE",$I$13*'BRA Load Pricing Results'!J55/'BRA Load Pricing Results'!$J$45,0)</f>
        <v>0</v>
      </c>
      <c r="V38" s="108">
        <f t="shared" si="18"/>
        <v>0</v>
      </c>
      <c r="W38" s="107">
        <f>IF(D38="PL",$I$14*'BRA Load Pricing Results'!J55/'BRA Load Pricing Results'!$J$59,0)</f>
        <v>0</v>
      </c>
      <c r="X38" s="108">
        <f t="shared" si="17"/>
        <v>0</v>
      </c>
      <c r="Y38" s="107">
        <f>IF(D38="DAYTON",$I$15*'BRA Load Pricing Results'!J55/'BRA Load Pricing Results'!$J$47,0)</f>
        <v>0</v>
      </c>
      <c r="Z38" s="108">
        <f t="shared" si="7"/>
        <v>0</v>
      </c>
      <c r="AA38" s="107">
        <f>IF(D38="DEOK",$I$16*'BRA Load Pricing Results'!J55/'BRA Load Pricing Results'!$J$48,0)</f>
        <v>0</v>
      </c>
      <c r="AB38" s="108">
        <f t="shared" si="8"/>
        <v>0</v>
      </c>
      <c r="AC38" s="107">
        <f>IF(D38=$AC$21,$I$17*'BRA Load Pricing Results'!J55/'BRA Load Pricing Results'!$J$50,0)</f>
        <v>0</v>
      </c>
      <c r="AD38" s="108">
        <f t="shared" si="9"/>
        <v>0</v>
      </c>
      <c r="AE38" s="109">
        <f t="shared" si="10"/>
        <v>0</v>
      </c>
      <c r="AF38" s="23">
        <f t="shared" si="11"/>
        <v>0</v>
      </c>
      <c r="AG38" s="212">
        <f>AF38/'BRA Load Pricing Results'!J55</f>
        <v>0</v>
      </c>
      <c r="AH38" s="238">
        <f t="shared" si="19"/>
        <v>0</v>
      </c>
      <c r="AI38" s="235"/>
      <c r="AJ38" s="203"/>
      <c r="AK38" s="233"/>
      <c r="AL38" s="233"/>
      <c r="AM38" s="234"/>
    </row>
    <row r="39" spans="1:39" x14ac:dyDescent="0.2">
      <c r="A39" s="44" t="s">
        <v>8</v>
      </c>
      <c r="B39" s="81" t="s">
        <v>27</v>
      </c>
      <c r="C39" s="81" t="s">
        <v>32</v>
      </c>
      <c r="D39" s="82"/>
      <c r="E39" s="107">
        <f>IF(B39="MAAC",$I$5*'BRA Load Pricing Results'!J56/'BRA Load Pricing Results'!$B$14,0)</f>
        <v>0</v>
      </c>
      <c r="F39" s="108">
        <f t="shared" si="12"/>
        <v>0</v>
      </c>
      <c r="G39" s="107">
        <f>IF(C39="EMAAC",$I$6*'BRA Load Pricing Results'!J56/'BRA Load Pricing Results'!$B$15,0)</f>
        <v>852.29951002506925</v>
      </c>
      <c r="H39" s="108">
        <f>G39*$H$22</f>
        <v>0</v>
      </c>
      <c r="I39" s="107">
        <f>IF(C39="SWMAAC",$I$7*'BRA Load Pricing Results'!J56/'BRA Load Pricing Results'!$B$16,0)</f>
        <v>0</v>
      </c>
      <c r="J39" s="108">
        <f t="shared" si="13"/>
        <v>0</v>
      </c>
      <c r="K39" s="107">
        <f>IF(D39="PS",$I$8*'BRA Load Pricing Results'!J56/'BRA Load Pricing Results'!$J$60,0)</f>
        <v>0</v>
      </c>
      <c r="L39" s="108">
        <f t="shared" si="14"/>
        <v>0</v>
      </c>
      <c r="M39" s="107">
        <f>IF(D39="DPL",$I$9*'BRA Load Pricing Results'!J56/'BRA Load Pricing Results'!$J$51,0)</f>
        <v>0</v>
      </c>
      <c r="N39" s="108">
        <f t="shared" si="4"/>
        <v>0</v>
      </c>
      <c r="O39" s="107">
        <f>IF(D39="PEPCO",$I$10*'BRA Load Pricing Results'!J56/'BRA Load Pricing Results'!$J$58,0)</f>
        <v>0</v>
      </c>
      <c r="P39" s="108">
        <f t="shared" si="15"/>
        <v>0</v>
      </c>
      <c r="Q39" s="107">
        <f>IF(D39="ATSI",$I$11*'BRA Load Pricing Results'!J56/'BRA Load Pricing Results'!$J$44,0)</f>
        <v>0</v>
      </c>
      <c r="R39" s="108">
        <f t="shared" si="5"/>
        <v>0</v>
      </c>
      <c r="S39" s="107">
        <f>IF(D39="COMED",$I$12*'BRA Load Pricing Results'!J56/'BRA Load Pricing Results'!$J$46,0)</f>
        <v>0</v>
      </c>
      <c r="T39" s="108">
        <f t="shared" si="6"/>
        <v>0</v>
      </c>
      <c r="U39" s="107">
        <f>IF(D39="BGE",$I$13*'BRA Load Pricing Results'!J56/'BRA Load Pricing Results'!$J$45,0)</f>
        <v>0</v>
      </c>
      <c r="V39" s="108">
        <f t="shared" si="18"/>
        <v>0</v>
      </c>
      <c r="W39" s="107">
        <f>IF(D39="PL",$I$14*'BRA Load Pricing Results'!J56/'BRA Load Pricing Results'!$J$59,0)</f>
        <v>0</v>
      </c>
      <c r="X39" s="108">
        <f t="shared" si="17"/>
        <v>0</v>
      </c>
      <c r="Y39" s="107">
        <f>IF(D39="DAYTON",$I$15*'BRA Load Pricing Results'!J56/'BRA Load Pricing Results'!$J$47,0)</f>
        <v>0</v>
      </c>
      <c r="Z39" s="108">
        <f t="shared" si="7"/>
        <v>0</v>
      </c>
      <c r="AA39" s="107">
        <f>IF(D39="DEOK",$I$16*'BRA Load Pricing Results'!J56/'BRA Load Pricing Results'!$J$48,0)</f>
        <v>0</v>
      </c>
      <c r="AB39" s="108">
        <f t="shared" si="8"/>
        <v>0</v>
      </c>
      <c r="AC39" s="107">
        <f>IF(D39=$AC$21,$I$17*'BRA Load Pricing Results'!J56/'BRA Load Pricing Results'!$J$50,0)</f>
        <v>0</v>
      </c>
      <c r="AD39" s="108">
        <f t="shared" si="9"/>
        <v>0</v>
      </c>
      <c r="AE39" s="109">
        <f t="shared" si="10"/>
        <v>852.29951002506925</v>
      </c>
      <c r="AF39" s="23">
        <f t="shared" si="11"/>
        <v>0</v>
      </c>
      <c r="AG39" s="212">
        <f>AF39/'BRA Load Pricing Results'!J56</f>
        <v>0</v>
      </c>
      <c r="AH39" s="238">
        <f t="shared" si="19"/>
        <v>0</v>
      </c>
      <c r="AI39" s="235"/>
      <c r="AJ39" s="203"/>
      <c r="AK39" s="233"/>
      <c r="AL39" s="233"/>
      <c r="AM39" s="234"/>
    </row>
    <row r="40" spans="1:39" x14ac:dyDescent="0.2">
      <c r="A40" s="44" t="s">
        <v>13</v>
      </c>
      <c r="B40" s="81" t="s">
        <v>27</v>
      </c>
      <c r="C40" s="81"/>
      <c r="D40" s="82"/>
      <c r="E40" s="107">
        <f>IF(B40="MAAC",$I$5*'BRA Load Pricing Results'!J57/'BRA Load Pricing Results'!$B$14,0)</f>
        <v>0</v>
      </c>
      <c r="F40" s="108">
        <f t="shared" si="12"/>
        <v>0</v>
      </c>
      <c r="G40" s="107">
        <f>IF(C40="EMAAC",$I$6*'BRA Load Pricing Results'!J57/'BRA Load Pricing Results'!$B$15,0)</f>
        <v>0</v>
      </c>
      <c r="H40" s="108">
        <f t="shared" si="16"/>
        <v>0</v>
      </c>
      <c r="I40" s="107">
        <f>IF(C40="SWMAAC",$I$7*'BRA Load Pricing Results'!J57/'BRA Load Pricing Results'!$B$16,0)</f>
        <v>0</v>
      </c>
      <c r="J40" s="108">
        <f t="shared" si="13"/>
        <v>0</v>
      </c>
      <c r="K40" s="107">
        <f>IF(D40="PS",$I$8*'BRA Load Pricing Results'!J57/'BRA Load Pricing Results'!$J$60,0)</f>
        <v>0</v>
      </c>
      <c r="L40" s="108">
        <f t="shared" si="14"/>
        <v>0</v>
      </c>
      <c r="M40" s="107">
        <f>IF(D40="DPL",$I$9*'BRA Load Pricing Results'!J57/'BRA Load Pricing Results'!$J$51,0)</f>
        <v>0</v>
      </c>
      <c r="N40" s="108">
        <f t="shared" si="4"/>
        <v>0</v>
      </c>
      <c r="O40" s="107">
        <f>IF(D40="PEPCO",$I$10*'BRA Load Pricing Results'!J57/'BRA Load Pricing Results'!$J$58,0)</f>
        <v>0</v>
      </c>
      <c r="P40" s="108">
        <f t="shared" si="15"/>
        <v>0</v>
      </c>
      <c r="Q40" s="107">
        <f>IF(D40="ATSI",$I$11*'BRA Load Pricing Results'!J57/'BRA Load Pricing Results'!$J$44,0)</f>
        <v>0</v>
      </c>
      <c r="R40" s="108">
        <f t="shared" si="5"/>
        <v>0</v>
      </c>
      <c r="S40" s="107">
        <f>IF(D40="COMED",$I$12*'BRA Load Pricing Results'!J57/'BRA Load Pricing Results'!$J$46,0)</f>
        <v>0</v>
      </c>
      <c r="T40" s="108">
        <f t="shared" si="6"/>
        <v>0</v>
      </c>
      <c r="U40" s="107">
        <f>IF(D40="BGE",$I$13*'BRA Load Pricing Results'!J57/'BRA Load Pricing Results'!$J$45,0)</f>
        <v>0</v>
      </c>
      <c r="V40" s="108">
        <f t="shared" si="18"/>
        <v>0</v>
      </c>
      <c r="W40" s="107">
        <f>IF(D40="PL",$I$14*'BRA Load Pricing Results'!J57/'BRA Load Pricing Results'!$J$59,0)</f>
        <v>0</v>
      </c>
      <c r="X40" s="108">
        <f>W40*$X$22</f>
        <v>0</v>
      </c>
      <c r="Y40" s="107">
        <f>IF(D40="DAYTON",$I$15*'BRA Load Pricing Results'!J57/'BRA Load Pricing Results'!$J$47,0)</f>
        <v>0</v>
      </c>
      <c r="Z40" s="108">
        <f t="shared" si="7"/>
        <v>0</v>
      </c>
      <c r="AA40" s="107">
        <f>IF(D40="DEOK",$I$16*'BRA Load Pricing Results'!J57/'BRA Load Pricing Results'!$J$48,0)</f>
        <v>0</v>
      </c>
      <c r="AB40" s="108">
        <f t="shared" si="8"/>
        <v>0</v>
      </c>
      <c r="AC40" s="107">
        <f>IF(D40=$AC$21,$I$17*'BRA Load Pricing Results'!J57/'BRA Load Pricing Results'!$J$50,0)</f>
        <v>0</v>
      </c>
      <c r="AD40" s="108">
        <f t="shared" si="9"/>
        <v>0</v>
      </c>
      <c r="AE40" s="109">
        <f t="shared" si="10"/>
        <v>0</v>
      </c>
      <c r="AF40" s="23">
        <f t="shared" si="11"/>
        <v>0</v>
      </c>
      <c r="AG40" s="212">
        <f>AF40/'BRA Load Pricing Results'!J57</f>
        <v>0</v>
      </c>
      <c r="AH40" s="238">
        <f t="shared" si="19"/>
        <v>0</v>
      </c>
      <c r="AI40" s="235"/>
      <c r="AJ40" s="203"/>
      <c r="AK40" s="233"/>
      <c r="AL40" s="233"/>
      <c r="AM40" s="234"/>
    </row>
    <row r="41" spans="1:39" x14ac:dyDescent="0.2">
      <c r="A41" s="44" t="s">
        <v>14</v>
      </c>
      <c r="B41" s="81" t="s">
        <v>27</v>
      </c>
      <c r="C41" s="81" t="s">
        <v>4</v>
      </c>
      <c r="D41" s="82" t="s">
        <v>14</v>
      </c>
      <c r="E41" s="107">
        <f>IF(B41="MAAC",$I$5*'BRA Load Pricing Results'!J58/'BRA Load Pricing Results'!$B$14,0)</f>
        <v>0</v>
      </c>
      <c r="F41" s="108">
        <f t="shared" si="12"/>
        <v>0</v>
      </c>
      <c r="G41" s="107">
        <f>IF(C41="EMAAC",$I$6*'BRA Load Pricing Results'!J58/'BRA Load Pricing Results'!$B$15,0)</f>
        <v>0</v>
      </c>
      <c r="H41" s="108">
        <f t="shared" si="16"/>
        <v>0</v>
      </c>
      <c r="I41" s="107">
        <f>IF(C41="SWMAAC",$I$7*'BRA Load Pricing Results'!J58/'BRA Load Pricing Results'!$B$16,0)</f>
        <v>2280.4947914742838</v>
      </c>
      <c r="J41" s="108">
        <f>I41*$J$22</f>
        <v>0</v>
      </c>
      <c r="K41" s="107">
        <f>IF(D41="PS",$I$8*'BRA Load Pricing Results'!J58/'BRA Load Pricing Results'!$J$60,0)</f>
        <v>0</v>
      </c>
      <c r="L41" s="108">
        <f t="shared" si="14"/>
        <v>0</v>
      </c>
      <c r="M41" s="107">
        <f>IF(D41="DPL",$I$9*'BRA Load Pricing Results'!J58/'BRA Load Pricing Results'!$J$51,0)</f>
        <v>0</v>
      </c>
      <c r="N41" s="108">
        <f>M41*N22</f>
        <v>0</v>
      </c>
      <c r="O41" s="107">
        <f>IF(D41="PEPCO",$I$10*'BRA Load Pricing Results'!J58/'BRA Load Pricing Results'!$J$58,0)</f>
        <v>3109.8554770750125</v>
      </c>
      <c r="P41" s="108">
        <f>O41*$P$22</f>
        <v>0</v>
      </c>
      <c r="Q41" s="107">
        <f>IF(D41="ATSI",$I$11*'BRA Load Pricing Results'!J58/'BRA Load Pricing Results'!$J$44,0)</f>
        <v>0</v>
      </c>
      <c r="R41" s="108">
        <f t="shared" si="5"/>
        <v>0</v>
      </c>
      <c r="S41" s="107">
        <f>IF(D41="COMED",$I$12*'BRA Load Pricing Results'!J58/'BRA Load Pricing Results'!$J$46,0)</f>
        <v>0</v>
      </c>
      <c r="T41" s="108">
        <f t="shared" si="6"/>
        <v>0</v>
      </c>
      <c r="U41" s="107">
        <f>IF(D41="BGE",$I$13*'BRA Load Pricing Results'!J58/'BRA Load Pricing Results'!$J$45,0)</f>
        <v>0</v>
      </c>
      <c r="V41" s="108">
        <f t="shared" si="18"/>
        <v>0</v>
      </c>
      <c r="W41" s="107">
        <f>IF(D41="PL",$I$14*'BRA Load Pricing Results'!J58/'BRA Load Pricing Results'!$J$59,0)</f>
        <v>0</v>
      </c>
      <c r="X41" s="108">
        <f t="shared" si="17"/>
        <v>0</v>
      </c>
      <c r="Y41" s="107">
        <f>IF(D41="DAYTON",$I$15*'BRA Load Pricing Results'!J58/'BRA Load Pricing Results'!$J$47,0)</f>
        <v>0</v>
      </c>
      <c r="Z41" s="108">
        <f t="shared" si="7"/>
        <v>0</v>
      </c>
      <c r="AA41" s="107">
        <f>IF(D41="DEOK",$I$16*'BRA Load Pricing Results'!J58/'BRA Load Pricing Results'!$J$48,0)</f>
        <v>0</v>
      </c>
      <c r="AB41" s="108">
        <f t="shared" si="8"/>
        <v>0</v>
      </c>
      <c r="AC41" s="107">
        <f>IF(D41=$AC$21,$I$17*'BRA Load Pricing Results'!J58/'BRA Load Pricing Results'!$J$50,0)</f>
        <v>0</v>
      </c>
      <c r="AD41" s="108">
        <f t="shared" si="9"/>
        <v>0</v>
      </c>
      <c r="AE41" s="109">
        <f t="shared" si="10"/>
        <v>3109.8554770750125</v>
      </c>
      <c r="AF41" s="23">
        <f t="shared" si="11"/>
        <v>0</v>
      </c>
      <c r="AG41" s="212">
        <f>AF41/'BRA Load Pricing Results'!J58</f>
        <v>0</v>
      </c>
      <c r="AH41" s="238">
        <f t="shared" si="19"/>
        <v>0</v>
      </c>
      <c r="AI41" s="235"/>
      <c r="AJ41" s="203"/>
      <c r="AK41" s="233"/>
      <c r="AL41" s="233"/>
      <c r="AM41" s="234"/>
    </row>
    <row r="42" spans="1:39" x14ac:dyDescent="0.2">
      <c r="A42" s="44" t="s">
        <v>9</v>
      </c>
      <c r="B42" s="81" t="s">
        <v>27</v>
      </c>
      <c r="C42" s="81"/>
      <c r="D42" s="82" t="s">
        <v>9</v>
      </c>
      <c r="E42" s="107">
        <f>IF(B42="MAAC",$I$5*'BRA Load Pricing Results'!J59/'BRA Load Pricing Results'!$B$14,0)</f>
        <v>0</v>
      </c>
      <c r="F42" s="108">
        <f t="shared" si="12"/>
        <v>0</v>
      </c>
      <c r="G42" s="107">
        <f>IF(C42="EMAAC",$I$6*'BRA Load Pricing Results'!J59/'BRA Load Pricing Results'!$B$15,0)</f>
        <v>0</v>
      </c>
      <c r="H42" s="108">
        <f t="shared" si="16"/>
        <v>0</v>
      </c>
      <c r="I42" s="107">
        <f>IF(C42="SWMAAC",$I$7*'BRA Load Pricing Results'!J59/'BRA Load Pricing Results'!$B$16,0)</f>
        <v>0</v>
      </c>
      <c r="J42" s="108">
        <f t="shared" si="13"/>
        <v>0</v>
      </c>
      <c r="K42" s="107">
        <f>IF(D42="PS",$I$8*'BRA Load Pricing Results'!J59/'BRA Load Pricing Results'!$J$60,0)</f>
        <v>0</v>
      </c>
      <c r="L42" s="108">
        <f t="shared" si="14"/>
        <v>0</v>
      </c>
      <c r="M42" s="107">
        <f>IF(D42="DPL",$I$9*'BRA Load Pricing Results'!J59/'BRA Load Pricing Results'!$J$51,0)</f>
        <v>0</v>
      </c>
      <c r="N42" s="108">
        <f>M42*$N$22</f>
        <v>0</v>
      </c>
      <c r="O42" s="107">
        <f>IF(D42="PEPCO",$I$10*'BRA Load Pricing Results'!J59/'BRA Load Pricing Results'!$J$58,0)</f>
        <v>0</v>
      </c>
      <c r="P42" s="108">
        <f>O42*$P$22</f>
        <v>0</v>
      </c>
      <c r="Q42" s="107">
        <f>IF(D42="ATSI",$I$11*'BRA Load Pricing Results'!J59/'BRA Load Pricing Results'!$J$44,0)</f>
        <v>0</v>
      </c>
      <c r="R42" s="108">
        <f>Q42*$R$22</f>
        <v>0</v>
      </c>
      <c r="S42" s="107">
        <f>IF(D42="COMED",$I$12*'BRA Load Pricing Results'!J59/'BRA Load Pricing Results'!$J$46,0)</f>
        <v>0</v>
      </c>
      <c r="T42" s="108">
        <f t="shared" si="6"/>
        <v>0</v>
      </c>
      <c r="U42" s="107">
        <f>IF(D42="BGE",$I$13*'BRA Load Pricing Results'!J59/'BRA Load Pricing Results'!$J$45,0)</f>
        <v>0</v>
      </c>
      <c r="V42" s="108">
        <f t="shared" si="18"/>
        <v>0</v>
      </c>
      <c r="W42" s="107">
        <f>IF(D42="PL",$I$14*'BRA Load Pricing Results'!J59/'BRA Load Pricing Results'!$J$59,0)</f>
        <v>-2044.2430803354946</v>
      </c>
      <c r="X42" s="108">
        <f>W42*$X$22</f>
        <v>0</v>
      </c>
      <c r="Y42" s="107">
        <f>IF(D42="DAYTON",$I$15*'BRA Load Pricing Results'!J59/'BRA Load Pricing Results'!$J$47,0)</f>
        <v>0</v>
      </c>
      <c r="Z42" s="108">
        <f t="shared" si="7"/>
        <v>0</v>
      </c>
      <c r="AA42" s="107">
        <f>IF(D42="DEOK",$I$16*'BRA Load Pricing Results'!J59/'BRA Load Pricing Results'!$J$48,0)</f>
        <v>0</v>
      </c>
      <c r="AB42" s="108">
        <f>AA42*$AB$22</f>
        <v>0</v>
      </c>
      <c r="AC42" s="107">
        <f>IF(D42=$AC$21,$I$17*'BRA Load Pricing Results'!J59/'BRA Load Pricing Results'!$J$50,0)</f>
        <v>0</v>
      </c>
      <c r="AD42" s="108">
        <f t="shared" si="9"/>
        <v>0</v>
      </c>
      <c r="AE42" s="109">
        <f t="shared" si="10"/>
        <v>0</v>
      </c>
      <c r="AF42" s="23">
        <f t="shared" si="11"/>
        <v>0</v>
      </c>
      <c r="AG42" s="212">
        <f>AF42/'BRA Load Pricing Results'!J59</f>
        <v>0</v>
      </c>
      <c r="AH42" s="238">
        <f t="shared" si="19"/>
        <v>0</v>
      </c>
      <c r="AI42" s="235"/>
      <c r="AJ42" s="203"/>
      <c r="AK42" s="233"/>
      <c r="AL42" s="233"/>
      <c r="AM42" s="234"/>
    </row>
    <row r="43" spans="1:39" x14ac:dyDescent="0.2">
      <c r="A43" s="44" t="s">
        <v>7</v>
      </c>
      <c r="B43" s="81" t="s">
        <v>27</v>
      </c>
      <c r="C43" s="81" t="s">
        <v>32</v>
      </c>
      <c r="D43" s="82" t="s">
        <v>7</v>
      </c>
      <c r="E43" s="107">
        <f>IF(B43="MAAC",$I$5*'BRA Load Pricing Results'!J60/'BRA Load Pricing Results'!$B$14,0)</f>
        <v>0</v>
      </c>
      <c r="F43" s="108">
        <f t="shared" si="12"/>
        <v>0</v>
      </c>
      <c r="G43" s="107">
        <f>IF(C43="EMAAC",$I$6*'BRA Load Pricing Results'!J60/'BRA Load Pricing Results'!$B$15,0)</f>
        <v>1006.0892356300362</v>
      </c>
      <c r="H43" s="108">
        <f>G43*$H$22</f>
        <v>0</v>
      </c>
      <c r="I43" s="107">
        <f>IF(C43="SWMAAC",$I$7*'BRA Load Pricing Results'!J60/'BRA Load Pricing Results'!$B$16,0)</f>
        <v>0</v>
      </c>
      <c r="J43" s="108">
        <f t="shared" si="13"/>
        <v>0</v>
      </c>
      <c r="K43" s="107">
        <f>IF(D43="PS",$I$8*'BRA Load Pricing Results'!J60/'BRA Load Pricing Results'!$J$60,0)</f>
        <v>4749.0199883614523</v>
      </c>
      <c r="L43" s="318">
        <f>K43*$L$22</f>
        <v>0</v>
      </c>
      <c r="M43" s="107">
        <f>IF(D43="DPL",$I$9*'BRA Load Pricing Results'!J60/'BRA Load Pricing Results'!$J$51,0)</f>
        <v>0</v>
      </c>
      <c r="N43" s="108">
        <f>M43*$N$22</f>
        <v>0</v>
      </c>
      <c r="O43" s="107">
        <f>IF(D43="PEPCO",$I$10*'BRA Load Pricing Results'!J60/'BRA Load Pricing Results'!$J$58,0)</f>
        <v>0</v>
      </c>
      <c r="P43" s="108">
        <f>O43*$P$22</f>
        <v>0</v>
      </c>
      <c r="Q43" s="107">
        <f>IF(D43="ATSI",$I$11*'BRA Load Pricing Results'!J60/'BRA Load Pricing Results'!$J$44,0)</f>
        <v>0</v>
      </c>
      <c r="R43" s="108">
        <f t="shared" si="5"/>
        <v>0</v>
      </c>
      <c r="S43" s="107">
        <f>IF(D43="COMED",$I$12*'BRA Load Pricing Results'!J60/'BRA Load Pricing Results'!$J$46,0)</f>
        <v>0</v>
      </c>
      <c r="T43" s="108">
        <f t="shared" si="6"/>
        <v>0</v>
      </c>
      <c r="U43" s="107">
        <f>IF(D43="BGE",$I$13*'BRA Load Pricing Results'!J60/'BRA Load Pricing Results'!$J$45,0)</f>
        <v>0</v>
      </c>
      <c r="V43" s="108">
        <f t="shared" si="18"/>
        <v>0</v>
      </c>
      <c r="W43" s="107">
        <f>IF(D43="PL",$I$14*'BRA Load Pricing Results'!J60/'BRA Load Pricing Results'!$J$59,0)</f>
        <v>0</v>
      </c>
      <c r="X43" s="108">
        <f>W43*$X$22</f>
        <v>0</v>
      </c>
      <c r="Y43" s="107">
        <f>IF(D43="DAYTON",$I$15*'BRA Load Pricing Results'!J60/'BRA Load Pricing Results'!$J$47,0)</f>
        <v>0</v>
      </c>
      <c r="Z43" s="108">
        <f t="shared" si="7"/>
        <v>0</v>
      </c>
      <c r="AA43" s="107">
        <f>IF(D43="DEOK",$I$16*'BRA Load Pricing Results'!J60/'BRA Load Pricing Results'!$J$48,0)</f>
        <v>0</v>
      </c>
      <c r="AB43" s="108">
        <f>AA43*$AB$22</f>
        <v>0</v>
      </c>
      <c r="AC43" s="107">
        <f>IF(D43=$AC$21,$I$17*'BRA Load Pricing Results'!J60/'BRA Load Pricing Results'!$J$50,0)</f>
        <v>0</v>
      </c>
      <c r="AD43" s="108">
        <f t="shared" si="9"/>
        <v>0</v>
      </c>
      <c r="AE43" s="109">
        <f t="shared" si="10"/>
        <v>4749.0199883614523</v>
      </c>
      <c r="AF43" s="23">
        <f t="shared" si="11"/>
        <v>0</v>
      </c>
      <c r="AG43" s="212">
        <f>AF43/'BRA Load Pricing Results'!J60</f>
        <v>0</v>
      </c>
      <c r="AH43" s="238">
        <f t="shared" si="19"/>
        <v>0</v>
      </c>
      <c r="AI43" s="235"/>
      <c r="AJ43" s="203"/>
      <c r="AK43" s="233"/>
      <c r="AL43" s="233"/>
      <c r="AM43" s="234"/>
    </row>
    <row r="44" spans="1:39" ht="13.5" thickBot="1" x14ac:dyDescent="0.25">
      <c r="A44" s="111" t="s">
        <v>17</v>
      </c>
      <c r="B44" s="83" t="s">
        <v>27</v>
      </c>
      <c r="C44" s="83" t="s">
        <v>32</v>
      </c>
      <c r="D44" s="84"/>
      <c r="E44" s="112">
        <f>IF(B44="MAAC",$I$5*'BRA Load Pricing Results'!J61/'BRA Load Pricing Results'!$B$14,0)</f>
        <v>0</v>
      </c>
      <c r="F44" s="113">
        <f t="shared" si="12"/>
        <v>0</v>
      </c>
      <c r="G44" s="112">
        <f>IF(C44="EMAAC",$I$6*'BRA Load Pricing Results'!J61/'BRA Load Pricing Results'!$B$15,0)</f>
        <v>40.730657702885431</v>
      </c>
      <c r="H44" s="113">
        <f>G44*$H$22</f>
        <v>0</v>
      </c>
      <c r="I44" s="112">
        <f>IF(C44="SWMAAC",$I$7*'BRA Load Pricing Results'!J61/'BRA Load Pricing Results'!$B$16,0)</f>
        <v>0</v>
      </c>
      <c r="J44" s="113">
        <f t="shared" si="13"/>
        <v>0</v>
      </c>
      <c r="K44" s="112">
        <f>IF(D44="PS",$I$8*'BRA Load Pricing Results'!J61/'BRA Load Pricing Results'!$J$60,0)</f>
        <v>0</v>
      </c>
      <c r="L44" s="113">
        <f t="shared" si="14"/>
        <v>0</v>
      </c>
      <c r="M44" s="112">
        <f>IF(D44="DPL",$I$9*'BRA Load Pricing Results'!J61/'BRA Load Pricing Results'!$J$51,0)</f>
        <v>0</v>
      </c>
      <c r="N44" s="113">
        <f>M44*$N$22</f>
        <v>0</v>
      </c>
      <c r="O44" s="112">
        <f>IF(D44="PEPCO",$I$10*'BRA Load Pricing Results'!J61/'BRA Load Pricing Results'!$J$58,0)</f>
        <v>0</v>
      </c>
      <c r="P44" s="113">
        <f>O44*$P$22</f>
        <v>0</v>
      </c>
      <c r="Q44" s="112">
        <f>IF(D44="ATSI",$I$11*'BRA Load Pricing Results'!J61/'BRA Load Pricing Results'!$J$44,0)</f>
        <v>0</v>
      </c>
      <c r="R44" s="113">
        <f t="shared" si="5"/>
        <v>0</v>
      </c>
      <c r="S44" s="107">
        <f>IF(D44="COMED",$I$12*'BRA Load Pricing Results'!J61/'BRA Load Pricing Results'!$J$46,0)</f>
        <v>0</v>
      </c>
      <c r="T44" s="108">
        <f t="shared" si="6"/>
        <v>0</v>
      </c>
      <c r="U44" s="107">
        <f>IF(D44="BGE",$I$13*'BRA Load Pricing Results'!J61/'BRA Load Pricing Results'!$J$45,0)</f>
        <v>0</v>
      </c>
      <c r="V44" s="108">
        <f t="shared" si="18"/>
        <v>0</v>
      </c>
      <c r="W44" s="107">
        <f>IF(D44="PL",$I$14*'BRA Load Pricing Results'!J61/'BRA Load Pricing Results'!$J$59,0)</f>
        <v>0</v>
      </c>
      <c r="X44" s="108">
        <f>W44*$X$22</f>
        <v>0</v>
      </c>
      <c r="Y44" s="107">
        <f>IF(D44="DAYTON",$I$15*'BRA Load Pricing Results'!J61/'BRA Load Pricing Results'!$J$47,0)</f>
        <v>0</v>
      </c>
      <c r="Z44" s="108">
        <f>Y44*$Z$22</f>
        <v>0</v>
      </c>
      <c r="AA44" s="107">
        <f>IF(D44="DEOK",$I$16*'BRA Load Pricing Results'!J61/'BRA Load Pricing Results'!$J$59,0)</f>
        <v>0</v>
      </c>
      <c r="AB44" s="108">
        <f>AA44*$AB$22</f>
        <v>0</v>
      </c>
      <c r="AC44" s="107">
        <f>IF(D44=$AC$21,$I$17*'BRA Load Pricing Results'!J61/'BRA Load Pricing Results'!$J$50,0)</f>
        <v>0</v>
      </c>
      <c r="AD44" s="108">
        <f t="shared" si="9"/>
        <v>0</v>
      </c>
      <c r="AE44" s="109">
        <f t="shared" si="10"/>
        <v>40.730657702885431</v>
      </c>
      <c r="AF44" s="23">
        <f t="shared" si="11"/>
        <v>0</v>
      </c>
      <c r="AG44" s="239">
        <f>AF44/'BRA Load Pricing Results'!J61</f>
        <v>0</v>
      </c>
      <c r="AH44" s="240">
        <f t="shared" si="19"/>
        <v>0</v>
      </c>
      <c r="AI44" s="235"/>
      <c r="AJ44" s="203"/>
      <c r="AK44" s="233"/>
      <c r="AL44" s="233"/>
      <c r="AM44" s="234"/>
    </row>
    <row r="45" spans="1:39" ht="13.5" thickBot="1" x14ac:dyDescent="0.25">
      <c r="A45" s="574" t="s">
        <v>63</v>
      </c>
      <c r="B45" s="575"/>
      <c r="C45" s="575"/>
      <c r="D45" s="576"/>
      <c r="E45" s="114">
        <f>SUM(E24:E44)</f>
        <v>0</v>
      </c>
      <c r="F45" s="115">
        <f>SUM(F24:F44)</f>
        <v>0</v>
      </c>
      <c r="G45" s="114">
        <f>SUM(G24:G44)</f>
        <v>3132.2715580894214</v>
      </c>
      <c r="H45" s="115">
        <f t="shared" ref="H45:V45" si="20">SUM(H24:H44)</f>
        <v>0</v>
      </c>
      <c r="I45" s="114">
        <f t="shared" si="20"/>
        <v>4733.8493634642364</v>
      </c>
      <c r="J45" s="115">
        <f t="shared" si="20"/>
        <v>0</v>
      </c>
      <c r="K45" s="114">
        <f>SUM(K24:K44)</f>
        <v>4749.0199883614523</v>
      </c>
      <c r="L45" s="115">
        <f t="shared" si="20"/>
        <v>0</v>
      </c>
      <c r="M45" s="114">
        <f t="shared" si="20"/>
        <v>-423.32045938526602</v>
      </c>
      <c r="N45" s="115">
        <f t="shared" si="20"/>
        <v>0</v>
      </c>
      <c r="O45" s="114">
        <f t="shared" si="20"/>
        <v>3109.8554770750125</v>
      </c>
      <c r="P45" s="115">
        <f t="shared" si="20"/>
        <v>0</v>
      </c>
      <c r="Q45" s="114">
        <f t="shared" si="20"/>
        <v>3657.3427817814536</v>
      </c>
      <c r="R45" s="115">
        <f t="shared" si="20"/>
        <v>0</v>
      </c>
      <c r="S45" s="114">
        <f t="shared" si="20"/>
        <v>-3848.9950270511908</v>
      </c>
      <c r="T45" s="115">
        <f>SUM(T24:T44)</f>
        <v>0</v>
      </c>
      <c r="U45" s="114">
        <f t="shared" si="20"/>
        <v>4989.9938863892248</v>
      </c>
      <c r="V45" s="115">
        <f t="shared" si="20"/>
        <v>980184.49910343543</v>
      </c>
      <c r="W45" s="114">
        <f>SUM(W24:W44)</f>
        <v>-2044.2430803354946</v>
      </c>
      <c r="X45" s="115">
        <f>SUM(X24:X44)</f>
        <v>0</v>
      </c>
      <c r="Y45" s="114">
        <f t="shared" ref="Y45:Z45" si="21">SUM(Y24:Y44)</f>
        <v>2500.9417532880998</v>
      </c>
      <c r="Z45" s="115">
        <f t="shared" si="21"/>
        <v>0</v>
      </c>
      <c r="AA45" s="114">
        <f>SUM(AA24:AA44)</f>
        <v>2413.3815486858139</v>
      </c>
      <c r="AB45" s="115">
        <f t="shared" ref="AB45:AD45" si="22">SUM(AB24:AB44)</f>
        <v>0</v>
      </c>
      <c r="AC45" s="114">
        <f>SUM(AC24:AC44)</f>
        <v>1903.2678476699696</v>
      </c>
      <c r="AD45" s="115">
        <f t="shared" si="22"/>
        <v>331815.71656278247</v>
      </c>
      <c r="AE45" s="116"/>
      <c r="AF45" s="117">
        <f>SUM(AF24:AF44)</f>
        <v>1312000.215666218</v>
      </c>
      <c r="AG45" s="118"/>
      <c r="AH45" s="119"/>
      <c r="AI45" s="8"/>
    </row>
    <row r="46" spans="1:39" x14ac:dyDescent="0.2">
      <c r="A46" s="16" t="s">
        <v>64</v>
      </c>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row>
    <row r="47" spans="1:39" x14ac:dyDescent="0.2">
      <c r="A47" s="16" t="s">
        <v>65</v>
      </c>
      <c r="B47" s="14"/>
      <c r="C47" s="14"/>
      <c r="D47" s="14"/>
      <c r="E47" s="14"/>
      <c r="F47" s="14"/>
      <c r="G47" s="14"/>
      <c r="H47" s="14"/>
      <c r="I47" s="14"/>
      <c r="J47" s="14"/>
      <c r="K47" s="43"/>
      <c r="L47" s="14"/>
      <c r="M47" s="14"/>
      <c r="N47" s="14"/>
      <c r="O47" s="14"/>
      <c r="P47" s="14"/>
      <c r="Q47" s="14"/>
      <c r="R47" s="14"/>
      <c r="S47" s="14"/>
      <c r="T47" s="14"/>
      <c r="U47" s="14"/>
      <c r="V47" s="14"/>
      <c r="W47" s="14"/>
      <c r="X47" s="14"/>
      <c r="Y47" s="14"/>
      <c r="Z47" s="14"/>
      <c r="AA47" s="14"/>
      <c r="AB47" s="14"/>
      <c r="AC47" s="14"/>
      <c r="AD47" s="14"/>
    </row>
    <row r="48" spans="1:39" x14ac:dyDescent="0.2">
      <c r="A48" s="16" t="s">
        <v>113</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row r="49" spans="1:30" x14ac:dyDescent="0.2">
      <c r="A49" s="16" t="s">
        <v>66</v>
      </c>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row>
    <row r="50" spans="1:30" x14ac:dyDescent="0.2">
      <c r="A50" s="16" t="s">
        <v>67</v>
      </c>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row>
    <row r="51" spans="1:30" x14ac:dyDescent="0.2">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row>
    <row r="52" spans="1:30" x14ac:dyDescent="0.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row>
  </sheetData>
  <mergeCells count="15">
    <mergeCell ref="AC21:AD21"/>
    <mergeCell ref="A20:D22"/>
    <mergeCell ref="A45:D45"/>
    <mergeCell ref="E21:F21"/>
    <mergeCell ref="G21:H21"/>
    <mergeCell ref="S21:T21"/>
    <mergeCell ref="Q21:R21"/>
    <mergeCell ref="O21:P21"/>
    <mergeCell ref="Y21:Z21"/>
    <mergeCell ref="AA21:AB21"/>
    <mergeCell ref="K21:L21"/>
    <mergeCell ref="M21:N21"/>
    <mergeCell ref="I21:J21"/>
    <mergeCell ref="U21:V21"/>
    <mergeCell ref="W21:X21"/>
  </mergeCells>
  <printOptions horizontalCentered="1" verticalCentered="1"/>
  <pageMargins left="0.45" right="0.45" top="0.5" bottom="0.5" header="0.3" footer="0.3"/>
  <pageSetup paperSize="17" scale="4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BF160"/>
  <sheetViews>
    <sheetView zoomScale="90" zoomScaleNormal="90" workbookViewId="0"/>
  </sheetViews>
  <sheetFormatPr defaultRowHeight="12.75" x14ac:dyDescent="0.2"/>
  <cols>
    <col min="1" max="1" width="55.7109375" customWidth="1"/>
    <col min="2" max="17" width="15.7109375" customWidth="1"/>
    <col min="18" max="18" width="14.85546875" customWidth="1"/>
    <col min="19" max="21" width="15.7109375" customWidth="1"/>
    <col min="22" max="22" width="14.85546875" customWidth="1"/>
    <col min="23" max="25" width="15.7109375" customWidth="1"/>
    <col min="26" max="26" width="14" customWidth="1"/>
    <col min="27" max="28" width="15.7109375" customWidth="1"/>
    <col min="29" max="29" width="19.42578125" customWidth="1"/>
    <col min="30" max="30" width="15.7109375" customWidth="1"/>
    <col min="31" max="31" width="19.42578125" customWidth="1"/>
    <col min="32" max="32" width="15.7109375" customWidth="1"/>
    <col min="33" max="33" width="19.42578125" customWidth="1"/>
    <col min="34" max="34" width="15.7109375" customWidth="1"/>
    <col min="35" max="35" width="8.7109375" customWidth="1"/>
    <col min="36" max="36" width="18.7109375" customWidth="1"/>
  </cols>
  <sheetData>
    <row r="1" spans="1:23" ht="18.75" x14ac:dyDescent="0.3">
      <c r="A1" s="89" t="s">
        <v>237</v>
      </c>
      <c r="B1" s="7" t="s">
        <v>23</v>
      </c>
    </row>
    <row r="2" spans="1:23" ht="19.5" thickBot="1" x14ac:dyDescent="0.35">
      <c r="A2" s="3"/>
      <c r="C2" s="7"/>
      <c r="F2" s="292" t="s">
        <v>23</v>
      </c>
      <c r="G2" s="292" t="s">
        <v>23</v>
      </c>
      <c r="H2" s="292" t="s">
        <v>23</v>
      </c>
      <c r="I2" s="277" t="s">
        <v>23</v>
      </c>
    </row>
    <row r="3" spans="1:23" ht="13.5" customHeight="1" thickBot="1" x14ac:dyDescent="0.25">
      <c r="A3" s="581" t="s">
        <v>55</v>
      </c>
      <c r="B3" s="14"/>
      <c r="C3" s="122" t="s">
        <v>103</v>
      </c>
      <c r="D3" s="14"/>
      <c r="E3" s="14"/>
      <c r="F3" s="14"/>
      <c r="G3" s="14"/>
      <c r="H3" s="14"/>
      <c r="I3" s="122" t="s">
        <v>103</v>
      </c>
      <c r="J3" s="14"/>
      <c r="K3" s="14"/>
      <c r="L3" s="14"/>
      <c r="M3" s="14"/>
      <c r="N3" s="122" t="s">
        <v>103</v>
      </c>
      <c r="O3" s="14"/>
      <c r="P3" s="14"/>
      <c r="Q3" s="14"/>
      <c r="R3" s="14"/>
      <c r="S3" s="14"/>
      <c r="T3" s="14"/>
      <c r="U3" s="14"/>
      <c r="V3" s="14"/>
      <c r="W3" s="14"/>
    </row>
    <row r="4" spans="1:23" ht="18.75" customHeight="1" thickBot="1" x14ac:dyDescent="0.25">
      <c r="A4" s="582"/>
      <c r="B4" s="177" t="s">
        <v>27</v>
      </c>
      <c r="C4" s="177" t="s">
        <v>27</v>
      </c>
      <c r="D4" s="178" t="s">
        <v>32</v>
      </c>
      <c r="E4" s="178" t="s">
        <v>4</v>
      </c>
      <c r="F4" s="178" t="s">
        <v>7</v>
      </c>
      <c r="G4" s="178" t="s">
        <v>33</v>
      </c>
      <c r="H4" s="178" t="s">
        <v>34</v>
      </c>
      <c r="I4" s="178" t="s">
        <v>34</v>
      </c>
      <c r="J4" s="178" t="s">
        <v>14</v>
      </c>
      <c r="K4" s="178" t="s">
        <v>10</v>
      </c>
      <c r="L4" s="178" t="s">
        <v>49</v>
      </c>
      <c r="M4" s="178" t="s">
        <v>19</v>
      </c>
      <c r="N4" s="178" t="s">
        <v>19</v>
      </c>
      <c r="O4" s="127"/>
      <c r="P4" s="127"/>
      <c r="Q4" s="14"/>
      <c r="R4" s="14"/>
      <c r="S4" s="14"/>
      <c r="T4" s="14"/>
      <c r="U4" s="14"/>
      <c r="V4" s="14"/>
      <c r="W4" s="14"/>
    </row>
    <row r="5" spans="1:23" ht="26.25" customHeight="1" thickBot="1" x14ac:dyDescent="0.25">
      <c r="A5" s="230" t="s">
        <v>84</v>
      </c>
      <c r="B5" s="257" t="s">
        <v>87</v>
      </c>
      <c r="C5" s="257" t="s">
        <v>104</v>
      </c>
      <c r="D5" s="258" t="s">
        <v>105</v>
      </c>
      <c r="E5" s="258" t="s">
        <v>105</v>
      </c>
      <c r="F5" s="258" t="s">
        <v>105</v>
      </c>
      <c r="G5" s="258" t="s">
        <v>105</v>
      </c>
      <c r="H5" s="258" t="s">
        <v>87</v>
      </c>
      <c r="I5" s="258" t="s">
        <v>104</v>
      </c>
      <c r="J5" s="258" t="s">
        <v>105</v>
      </c>
      <c r="K5" s="258" t="s">
        <v>105</v>
      </c>
      <c r="L5" s="258" t="s">
        <v>105</v>
      </c>
      <c r="M5" s="258" t="s">
        <v>105</v>
      </c>
      <c r="N5" s="258" t="s">
        <v>104</v>
      </c>
      <c r="O5" s="127"/>
      <c r="P5" s="127"/>
      <c r="Q5" s="24"/>
      <c r="R5" s="14"/>
      <c r="S5" s="14"/>
      <c r="T5" s="14"/>
      <c r="U5" s="14"/>
      <c r="V5" s="14"/>
      <c r="W5" s="14"/>
    </row>
    <row r="6" spans="1:23" ht="20.100000000000001" customHeight="1" x14ac:dyDescent="0.2">
      <c r="A6" s="179" t="s">
        <v>118</v>
      </c>
      <c r="B6" s="260"/>
      <c r="C6" s="260"/>
      <c r="D6" s="261"/>
      <c r="E6" s="261"/>
      <c r="F6" s="261"/>
      <c r="G6" s="261"/>
      <c r="H6" s="261"/>
      <c r="I6" s="261"/>
      <c r="J6" s="261"/>
      <c r="K6" s="261"/>
      <c r="L6" s="261"/>
      <c r="M6" s="261"/>
      <c r="N6" s="261"/>
      <c r="O6" s="127"/>
      <c r="P6" s="127"/>
      <c r="Q6" s="24"/>
      <c r="R6" s="14"/>
      <c r="S6" s="14"/>
      <c r="T6" s="14"/>
      <c r="U6" s="14"/>
      <c r="V6" s="14"/>
      <c r="W6" s="14"/>
    </row>
    <row r="7" spans="1:23" ht="20.100000000000001" customHeight="1" x14ac:dyDescent="0.2">
      <c r="A7" s="180" t="s">
        <v>79</v>
      </c>
      <c r="B7" s="164">
        <v>160</v>
      </c>
      <c r="C7" s="165">
        <f>'BRA CTRs'!$F$5*'BRA ICTRs'!B7/'BRA ICTRs'!$B$49</f>
        <v>177.51091756043655</v>
      </c>
      <c r="D7" s="165">
        <v>0</v>
      </c>
      <c r="E7" s="165">
        <v>0</v>
      </c>
      <c r="F7" s="165">
        <v>0</v>
      </c>
      <c r="G7" s="165">
        <v>0</v>
      </c>
      <c r="H7" s="165">
        <v>0</v>
      </c>
      <c r="I7" s="165">
        <v>0</v>
      </c>
      <c r="J7" s="165">
        <v>0</v>
      </c>
      <c r="K7" s="165">
        <v>0</v>
      </c>
      <c r="L7" s="165">
        <v>0</v>
      </c>
      <c r="M7" s="165">
        <v>0</v>
      </c>
      <c r="N7" s="165">
        <v>0</v>
      </c>
      <c r="O7" s="30"/>
      <c r="P7" s="30"/>
      <c r="Q7" s="24"/>
      <c r="R7" s="14"/>
      <c r="S7" s="14"/>
      <c r="T7" s="14"/>
      <c r="U7" s="14"/>
      <c r="V7" s="14"/>
      <c r="W7" s="14"/>
    </row>
    <row r="8" spans="1:23" ht="20.100000000000001" customHeight="1" x14ac:dyDescent="0.2">
      <c r="A8" s="180" t="s">
        <v>80</v>
      </c>
      <c r="B8" s="164">
        <v>106</v>
      </c>
      <c r="C8" s="165">
        <f>'BRA CTRs'!$F$5*'BRA ICTRs'!B8/'BRA ICTRs'!$B$49</f>
        <v>117.60098288378921</v>
      </c>
      <c r="D8" s="165">
        <v>0</v>
      </c>
      <c r="E8" s="165">
        <v>0</v>
      </c>
      <c r="F8" s="165">
        <v>0</v>
      </c>
      <c r="G8" s="165">
        <v>0</v>
      </c>
      <c r="H8" s="165">
        <v>0</v>
      </c>
      <c r="I8" s="165">
        <v>0</v>
      </c>
      <c r="J8" s="165">
        <v>0</v>
      </c>
      <c r="K8" s="165">
        <v>0</v>
      </c>
      <c r="L8" s="165">
        <v>0</v>
      </c>
      <c r="M8" s="165">
        <v>0</v>
      </c>
      <c r="N8" s="165">
        <v>0</v>
      </c>
      <c r="O8" s="30"/>
      <c r="P8" s="30"/>
      <c r="Q8" s="24"/>
      <c r="R8" s="14"/>
      <c r="S8" s="14"/>
      <c r="T8" s="14"/>
      <c r="U8" s="14"/>
      <c r="V8" s="14"/>
      <c r="W8" s="14"/>
    </row>
    <row r="9" spans="1:23" ht="20.100000000000001" customHeight="1" x14ac:dyDescent="0.2">
      <c r="A9" s="180" t="s">
        <v>82</v>
      </c>
      <c r="B9" s="164">
        <v>117</v>
      </c>
      <c r="C9" s="165">
        <f>'BRA CTRs'!$F$5*'BRA ICTRs'!B9/'BRA ICTRs'!$B$49</f>
        <v>129.80485846606922</v>
      </c>
      <c r="D9" s="165">
        <v>0</v>
      </c>
      <c r="E9" s="165">
        <v>0</v>
      </c>
      <c r="F9" s="165">
        <v>0</v>
      </c>
      <c r="G9" s="165">
        <v>0</v>
      </c>
      <c r="H9" s="165">
        <v>0</v>
      </c>
      <c r="I9" s="165">
        <v>0</v>
      </c>
      <c r="J9" s="165">
        <v>0</v>
      </c>
      <c r="K9" s="165">
        <v>0</v>
      </c>
      <c r="L9" s="165">
        <v>0</v>
      </c>
      <c r="M9" s="165">
        <v>0</v>
      </c>
      <c r="N9" s="165">
        <v>0</v>
      </c>
      <c r="O9" s="30"/>
      <c r="P9" s="30"/>
      <c r="Q9" s="24"/>
      <c r="R9" s="14"/>
      <c r="S9" s="14"/>
      <c r="T9" s="14"/>
      <c r="U9" s="14"/>
      <c r="V9" s="14"/>
      <c r="W9" s="14"/>
    </row>
    <row r="10" spans="1:23" ht="24.95" customHeight="1" x14ac:dyDescent="0.2">
      <c r="A10" s="180" t="s">
        <v>83</v>
      </c>
      <c r="B10" s="164">
        <v>0</v>
      </c>
      <c r="C10" s="165">
        <f>'BRA CTRs'!$F$5*'BRA ICTRs'!B10/'BRA ICTRs'!$B$49</f>
        <v>0</v>
      </c>
      <c r="D10" s="165">
        <v>898</v>
      </c>
      <c r="E10" s="165">
        <v>0</v>
      </c>
      <c r="F10" s="165">
        <v>68.900000000000006</v>
      </c>
      <c r="G10" s="165">
        <v>105.5</v>
      </c>
      <c r="H10" s="165">
        <v>0</v>
      </c>
      <c r="I10" s="165">
        <v>0</v>
      </c>
      <c r="J10" s="165">
        <v>0</v>
      </c>
      <c r="K10" s="165">
        <v>0</v>
      </c>
      <c r="L10" s="165">
        <v>0</v>
      </c>
      <c r="M10" s="165">
        <v>0</v>
      </c>
      <c r="N10" s="165">
        <v>0</v>
      </c>
      <c r="O10" s="30"/>
      <c r="P10" s="30"/>
      <c r="Q10" s="24"/>
      <c r="R10" s="14"/>
      <c r="S10" s="14"/>
      <c r="T10" s="14"/>
      <c r="U10" s="14"/>
      <c r="V10" s="14"/>
      <c r="W10" s="14"/>
    </row>
    <row r="11" spans="1:23" ht="20.100000000000001" customHeight="1" x14ac:dyDescent="0.2">
      <c r="A11" s="180" t="s">
        <v>100</v>
      </c>
      <c r="B11" s="164">
        <v>339</v>
      </c>
      <c r="C11" s="165">
        <f>'BRA CTRs'!$F$5*'BRA ICTRs'!B11/'BRA ICTRs'!$B$49</f>
        <v>376.10125658117494</v>
      </c>
      <c r="D11" s="165">
        <v>0</v>
      </c>
      <c r="E11" s="165">
        <v>0</v>
      </c>
      <c r="F11" s="165">
        <v>0</v>
      </c>
      <c r="G11" s="165">
        <v>0</v>
      </c>
      <c r="H11" s="165">
        <v>0</v>
      </c>
      <c r="I11" s="165">
        <v>0</v>
      </c>
      <c r="J11" s="165">
        <v>0</v>
      </c>
      <c r="K11" s="165">
        <v>0</v>
      </c>
      <c r="L11" s="165">
        <v>0</v>
      </c>
      <c r="M11" s="165">
        <v>0</v>
      </c>
      <c r="N11" s="165">
        <v>0</v>
      </c>
      <c r="O11" s="30"/>
      <c r="P11" s="30"/>
      <c r="Q11" s="24"/>
      <c r="R11" s="14"/>
      <c r="S11" s="14"/>
      <c r="T11" s="14"/>
      <c r="U11" s="14"/>
      <c r="V11" s="14"/>
      <c r="W11" s="14"/>
    </row>
    <row r="12" spans="1:23" ht="24.95" customHeight="1" x14ac:dyDescent="0.2">
      <c r="A12" s="180" t="s">
        <v>119</v>
      </c>
      <c r="B12" s="164">
        <v>0</v>
      </c>
      <c r="C12" s="165">
        <f>'BRA CTRs'!$F$5*'BRA ICTRs'!B12/'BRA ICTRs'!$B$49</f>
        <v>0</v>
      </c>
      <c r="D12" s="165">
        <v>0</v>
      </c>
      <c r="E12" s="165">
        <v>256</v>
      </c>
      <c r="F12" s="165">
        <v>0</v>
      </c>
      <c r="G12" s="165">
        <v>0</v>
      </c>
      <c r="H12" s="165">
        <v>0</v>
      </c>
      <c r="I12" s="165">
        <v>0</v>
      </c>
      <c r="J12" s="165">
        <v>0</v>
      </c>
      <c r="K12" s="165">
        <v>0</v>
      </c>
      <c r="L12" s="165">
        <v>0</v>
      </c>
      <c r="M12" s="165">
        <v>0</v>
      </c>
      <c r="N12" s="165">
        <v>0</v>
      </c>
      <c r="O12" s="30"/>
      <c r="P12" s="30"/>
      <c r="Q12" s="24"/>
      <c r="R12" s="14"/>
      <c r="S12" s="14"/>
      <c r="T12" s="14"/>
      <c r="U12" s="14"/>
      <c r="V12" s="14"/>
      <c r="W12" s="14"/>
    </row>
    <row r="13" spans="1:23" s="360" customFormat="1" ht="24.95" customHeight="1" x14ac:dyDescent="0.2">
      <c r="A13" s="278" t="s">
        <v>240</v>
      </c>
      <c r="B13" s="279">
        <v>0</v>
      </c>
      <c r="C13" s="280">
        <v>0</v>
      </c>
      <c r="D13" s="281">
        <v>0</v>
      </c>
      <c r="E13" s="281">
        <v>1229</v>
      </c>
      <c r="F13" s="281">
        <v>0</v>
      </c>
      <c r="G13" s="281">
        <v>0</v>
      </c>
      <c r="H13" s="281">
        <v>0</v>
      </c>
      <c r="I13" s="281">
        <v>0</v>
      </c>
      <c r="J13" s="281">
        <v>0</v>
      </c>
      <c r="K13" s="281">
        <v>0</v>
      </c>
      <c r="L13" s="281">
        <v>0</v>
      </c>
      <c r="M13" s="281">
        <v>0</v>
      </c>
      <c r="N13" s="281">
        <v>0</v>
      </c>
      <c r="O13" s="30"/>
      <c r="P13" s="30"/>
      <c r="Q13" s="24"/>
      <c r="R13" s="14"/>
      <c r="S13" s="14"/>
      <c r="T13" s="14"/>
      <c r="U13" s="14"/>
      <c r="V13" s="14"/>
      <c r="W13" s="14"/>
    </row>
    <row r="14" spans="1:23" ht="20.100000000000001" customHeight="1" thickBot="1" x14ac:dyDescent="0.25">
      <c r="A14" s="245" t="s">
        <v>150</v>
      </c>
      <c r="B14" s="246">
        <f>SUM(B7:B13)</f>
        <v>722</v>
      </c>
      <c r="C14" s="246">
        <f>SUM(C7:C12)</f>
        <v>801.0180154914699</v>
      </c>
      <c r="D14" s="262">
        <f t="shared" ref="D14:N14" si="0">SUM(D7:D13)</f>
        <v>898</v>
      </c>
      <c r="E14" s="262">
        <f t="shared" si="0"/>
        <v>1485</v>
      </c>
      <c r="F14" s="262">
        <f t="shared" si="0"/>
        <v>68.900000000000006</v>
      </c>
      <c r="G14" s="262">
        <f t="shared" si="0"/>
        <v>105.5</v>
      </c>
      <c r="H14" s="262">
        <f t="shared" si="0"/>
        <v>0</v>
      </c>
      <c r="I14" s="262">
        <f t="shared" si="0"/>
        <v>0</v>
      </c>
      <c r="J14" s="262">
        <f t="shared" si="0"/>
        <v>0</v>
      </c>
      <c r="K14" s="262">
        <f t="shared" si="0"/>
        <v>0</v>
      </c>
      <c r="L14" s="262">
        <f t="shared" si="0"/>
        <v>0</v>
      </c>
      <c r="M14" s="262">
        <f t="shared" si="0"/>
        <v>0</v>
      </c>
      <c r="N14" s="262">
        <f t="shared" si="0"/>
        <v>0</v>
      </c>
      <c r="O14" s="30"/>
      <c r="P14" s="30"/>
      <c r="Q14" s="24"/>
      <c r="R14" s="14"/>
      <c r="S14" s="14"/>
      <c r="T14" s="14"/>
      <c r="U14" s="14"/>
      <c r="V14" s="14"/>
      <c r="W14" s="14"/>
    </row>
    <row r="15" spans="1:23" ht="20.100000000000001" customHeight="1" x14ac:dyDescent="0.2">
      <c r="A15" s="179" t="s">
        <v>115</v>
      </c>
      <c r="B15" s="263" t="s">
        <v>23</v>
      </c>
      <c r="C15" s="263" t="s">
        <v>23</v>
      </c>
      <c r="D15" s="264"/>
      <c r="E15" s="264"/>
      <c r="F15" s="264"/>
      <c r="G15" s="264"/>
      <c r="H15" s="264"/>
      <c r="I15" s="264"/>
      <c r="J15" s="264"/>
      <c r="K15" s="264"/>
      <c r="L15" s="264"/>
      <c r="M15" s="264"/>
      <c r="N15" s="264"/>
      <c r="O15" s="52"/>
      <c r="P15" s="128"/>
      <c r="Q15" s="24"/>
      <c r="R15" s="14"/>
      <c r="S15" s="14"/>
      <c r="T15" s="14"/>
      <c r="U15" s="14"/>
      <c r="V15" s="14"/>
      <c r="W15" s="14"/>
    </row>
    <row r="16" spans="1:23" ht="25.5" x14ac:dyDescent="0.2">
      <c r="A16" s="180" t="s">
        <v>127</v>
      </c>
      <c r="B16" s="164">
        <v>16</v>
      </c>
      <c r="C16" s="165">
        <f>'BRA CTRs'!$F$5*'BRA ICTRs'!B16/'BRA ICTRs'!$B$49</f>
        <v>17.751091756043657</v>
      </c>
      <c r="D16" s="165">
        <v>0</v>
      </c>
      <c r="E16" s="165">
        <v>237</v>
      </c>
      <c r="F16" s="165">
        <v>0</v>
      </c>
      <c r="G16" s="165">
        <v>0</v>
      </c>
      <c r="H16" s="165">
        <v>0</v>
      </c>
      <c r="I16" s="165">
        <v>0</v>
      </c>
      <c r="J16" s="165">
        <v>0</v>
      </c>
      <c r="K16" s="165">
        <v>124</v>
      </c>
      <c r="L16" s="165">
        <v>0</v>
      </c>
      <c r="M16" s="165">
        <v>0</v>
      </c>
      <c r="N16" s="165">
        <v>0</v>
      </c>
      <c r="O16" s="52"/>
      <c r="P16" s="128"/>
      <c r="Q16" s="24"/>
      <c r="R16" s="14"/>
      <c r="S16" s="14"/>
      <c r="T16" s="14"/>
      <c r="U16" s="14"/>
      <c r="V16" s="14"/>
      <c r="W16" s="14"/>
    </row>
    <row r="17" spans="1:23" ht="24.95" customHeight="1" x14ac:dyDescent="0.2">
      <c r="A17" s="180" t="s">
        <v>95</v>
      </c>
      <c r="B17" s="164">
        <v>0</v>
      </c>
      <c r="C17" s="165">
        <f>'BRA CTRs'!$F$5*'BRA ICTRs'!B17/'BRA ICTRs'!$B$49</f>
        <v>0</v>
      </c>
      <c r="D17" s="165">
        <v>0</v>
      </c>
      <c r="E17" s="165">
        <v>0</v>
      </c>
      <c r="F17" s="165">
        <v>340.2</v>
      </c>
      <c r="G17" s="165">
        <v>494.5</v>
      </c>
      <c r="H17" s="165">
        <v>0</v>
      </c>
      <c r="I17" s="165">
        <v>0</v>
      </c>
      <c r="J17" s="165">
        <v>0</v>
      </c>
      <c r="K17" s="165">
        <v>0</v>
      </c>
      <c r="L17" s="165">
        <v>0</v>
      </c>
      <c r="M17" s="165">
        <v>0</v>
      </c>
      <c r="N17" s="165">
        <v>0</v>
      </c>
      <c r="O17" s="52"/>
      <c r="P17" s="128"/>
      <c r="Q17" s="24"/>
      <c r="R17" s="14"/>
      <c r="S17" s="14"/>
      <c r="T17" s="14"/>
      <c r="U17" s="14"/>
      <c r="V17" s="14"/>
      <c r="W17" s="14"/>
    </row>
    <row r="18" spans="1:23" ht="24.95" customHeight="1" x14ac:dyDescent="0.2">
      <c r="A18" s="180" t="s">
        <v>81</v>
      </c>
      <c r="B18" s="164">
        <v>0</v>
      </c>
      <c r="C18" s="165">
        <f>'BRA CTRs'!$F$5*'BRA ICTRs'!B18/'BRA ICTRs'!$B$49</f>
        <v>0</v>
      </c>
      <c r="D18" s="165">
        <v>0</v>
      </c>
      <c r="E18" s="165">
        <v>0</v>
      </c>
      <c r="F18" s="165">
        <v>90.3</v>
      </c>
      <c r="G18" s="165">
        <v>0</v>
      </c>
      <c r="H18" s="165">
        <v>0</v>
      </c>
      <c r="I18" s="165">
        <v>0</v>
      </c>
      <c r="J18" s="165">
        <v>0</v>
      </c>
      <c r="K18" s="165">
        <v>0</v>
      </c>
      <c r="L18" s="165">
        <v>0</v>
      </c>
      <c r="M18" s="165">
        <v>0</v>
      </c>
      <c r="N18" s="165">
        <v>0</v>
      </c>
      <c r="O18" s="52"/>
      <c r="P18" s="128"/>
      <c r="Q18" s="24"/>
      <c r="R18" s="14"/>
      <c r="S18" s="14"/>
      <c r="T18" s="14"/>
      <c r="U18" s="14"/>
      <c r="V18" s="14"/>
      <c r="W18" s="14"/>
    </row>
    <row r="19" spans="1:23" ht="24.95" customHeight="1" x14ac:dyDescent="0.2">
      <c r="A19" s="180" t="s">
        <v>128</v>
      </c>
      <c r="B19" s="164">
        <v>0</v>
      </c>
      <c r="C19" s="165">
        <f>'BRA CTRs'!$F$5*'BRA ICTRs'!B19/'BRA ICTRs'!$B$49</f>
        <v>0</v>
      </c>
      <c r="D19" s="165">
        <v>0</v>
      </c>
      <c r="E19" s="165">
        <v>0</v>
      </c>
      <c r="F19" s="165">
        <v>0</v>
      </c>
      <c r="G19" s="165">
        <v>0</v>
      </c>
      <c r="H19" s="165">
        <v>0</v>
      </c>
      <c r="I19" s="165">
        <v>0</v>
      </c>
      <c r="J19" s="165">
        <v>0</v>
      </c>
      <c r="K19" s="165">
        <v>182</v>
      </c>
      <c r="L19" s="165">
        <v>0</v>
      </c>
      <c r="M19" s="165">
        <v>0</v>
      </c>
      <c r="N19" s="165">
        <v>0</v>
      </c>
      <c r="O19" s="52"/>
      <c r="P19" s="128"/>
      <c r="Q19" s="24"/>
      <c r="R19" s="14"/>
      <c r="S19" s="14"/>
      <c r="T19" s="14"/>
      <c r="U19" s="14"/>
      <c r="V19" s="14"/>
      <c r="W19" s="14"/>
    </row>
    <row r="20" spans="1:23" ht="65.099999999999994" customHeight="1" x14ac:dyDescent="0.2">
      <c r="A20" s="265" t="s">
        <v>139</v>
      </c>
      <c r="B20" s="164">
        <v>0</v>
      </c>
      <c r="C20" s="165">
        <f>'BRA CTRs'!$F$5*'BRA ICTRs'!B20/'BRA ICTRs'!$B$49</f>
        <v>0</v>
      </c>
      <c r="D20" s="165">
        <v>50</v>
      </c>
      <c r="E20" s="165">
        <v>0</v>
      </c>
      <c r="F20" s="165">
        <v>0</v>
      </c>
      <c r="G20" s="165">
        <v>0</v>
      </c>
      <c r="H20" s="165">
        <v>0</v>
      </c>
      <c r="I20" s="165">
        <v>0</v>
      </c>
      <c r="J20" s="165">
        <v>175</v>
      </c>
      <c r="K20" s="165">
        <v>0</v>
      </c>
      <c r="L20" s="165">
        <v>0</v>
      </c>
      <c r="M20" s="165">
        <v>0</v>
      </c>
      <c r="N20" s="165">
        <v>0</v>
      </c>
      <c r="O20" s="52"/>
      <c r="P20" s="128"/>
      <c r="Q20" s="24"/>
      <c r="R20" s="14"/>
      <c r="S20" s="14"/>
      <c r="T20" s="14"/>
      <c r="U20" s="14"/>
      <c r="V20" s="14"/>
      <c r="W20" s="14"/>
    </row>
    <row r="21" spans="1:23" ht="38.25" x14ac:dyDescent="0.2">
      <c r="A21" s="265" t="s">
        <v>206</v>
      </c>
      <c r="B21" s="164">
        <v>0</v>
      </c>
      <c r="C21" s="165">
        <f>'BRA CTRs'!$F$5*'BRA ICTRs'!B21/'BRA ICTRs'!$B$49</f>
        <v>0</v>
      </c>
      <c r="D21" s="165">
        <v>0</v>
      </c>
      <c r="E21" s="165">
        <v>0</v>
      </c>
      <c r="F21" s="165">
        <v>30</v>
      </c>
      <c r="G21" s="165">
        <v>5</v>
      </c>
      <c r="H21" s="165">
        <v>0</v>
      </c>
      <c r="I21" s="165">
        <v>0</v>
      </c>
      <c r="J21" s="165">
        <v>0</v>
      </c>
      <c r="K21" s="165">
        <v>0</v>
      </c>
      <c r="L21" s="165">
        <v>0</v>
      </c>
      <c r="M21" s="165">
        <v>0</v>
      </c>
      <c r="N21" s="165">
        <v>0</v>
      </c>
      <c r="O21" s="52"/>
      <c r="P21" s="128"/>
      <c r="Q21" s="24"/>
      <c r="R21" s="14"/>
      <c r="S21" s="14"/>
      <c r="T21" s="14"/>
      <c r="U21" s="14"/>
      <c r="V21" s="14"/>
      <c r="W21" s="14"/>
    </row>
    <row r="22" spans="1:23" ht="38.25" x14ac:dyDescent="0.2">
      <c r="A22" s="265" t="s">
        <v>207</v>
      </c>
      <c r="B22" s="164">
        <v>0</v>
      </c>
      <c r="C22" s="165">
        <f>'BRA CTRs'!$F$5*'BRA ICTRs'!B22/'BRA ICTRs'!$B$49</f>
        <v>0</v>
      </c>
      <c r="D22" s="165">
        <v>0</v>
      </c>
      <c r="E22" s="165">
        <v>0</v>
      </c>
      <c r="F22" s="165">
        <v>17</v>
      </c>
      <c r="G22" s="165">
        <v>3</v>
      </c>
      <c r="H22" s="165">
        <v>0</v>
      </c>
      <c r="I22" s="165">
        <v>0</v>
      </c>
      <c r="J22" s="165">
        <v>0</v>
      </c>
      <c r="K22" s="165">
        <v>0</v>
      </c>
      <c r="L22" s="165">
        <v>0</v>
      </c>
      <c r="M22" s="165">
        <v>0</v>
      </c>
      <c r="N22" s="165">
        <v>0</v>
      </c>
      <c r="O22" s="52"/>
      <c r="P22" s="128"/>
      <c r="Q22" s="24"/>
      <c r="R22" s="14"/>
      <c r="S22" s="14"/>
      <c r="T22" s="14"/>
      <c r="U22" s="14"/>
      <c r="V22" s="14"/>
      <c r="W22" s="14"/>
    </row>
    <row r="23" spans="1:23" ht="38.25" x14ac:dyDescent="0.2">
      <c r="A23" s="265" t="s">
        <v>208</v>
      </c>
      <c r="B23" s="164">
        <v>0</v>
      </c>
      <c r="C23" s="165">
        <f>'BRA CTRs'!$F$5*'BRA ICTRs'!B23/'BRA ICTRs'!$B$49</f>
        <v>0</v>
      </c>
      <c r="D23" s="165">
        <v>0</v>
      </c>
      <c r="E23" s="165">
        <v>0</v>
      </c>
      <c r="F23" s="165">
        <v>5</v>
      </c>
      <c r="G23" s="165">
        <v>1</v>
      </c>
      <c r="H23" s="165">
        <v>0</v>
      </c>
      <c r="I23" s="165">
        <v>0</v>
      </c>
      <c r="J23" s="165">
        <v>0</v>
      </c>
      <c r="K23" s="165">
        <v>0</v>
      </c>
      <c r="L23" s="165">
        <v>0</v>
      </c>
      <c r="M23" s="165">
        <v>0</v>
      </c>
      <c r="N23" s="165">
        <v>0</v>
      </c>
      <c r="O23" s="52"/>
      <c r="P23" s="128"/>
      <c r="Q23" s="24"/>
      <c r="R23" s="14"/>
      <c r="S23" s="14"/>
      <c r="T23" s="14"/>
      <c r="U23" s="14"/>
      <c r="V23" s="14"/>
      <c r="W23" s="14"/>
    </row>
    <row r="24" spans="1:23" ht="38.25" x14ac:dyDescent="0.2">
      <c r="A24" s="265" t="s">
        <v>209</v>
      </c>
      <c r="B24" s="164">
        <v>0</v>
      </c>
      <c r="C24" s="165">
        <f>'BRA CTRs'!$F$5*'BRA ICTRs'!B24/'BRA ICTRs'!$B$49</f>
        <v>0</v>
      </c>
      <c r="D24" s="165">
        <v>0</v>
      </c>
      <c r="E24" s="165">
        <v>0</v>
      </c>
      <c r="F24" s="165">
        <v>4</v>
      </c>
      <c r="G24" s="165">
        <v>1</v>
      </c>
      <c r="H24" s="165">
        <v>0</v>
      </c>
      <c r="I24" s="165">
        <v>0</v>
      </c>
      <c r="J24" s="165">
        <v>0</v>
      </c>
      <c r="K24" s="165">
        <v>0</v>
      </c>
      <c r="L24" s="165">
        <v>0</v>
      </c>
      <c r="M24" s="165">
        <v>0</v>
      </c>
      <c r="N24" s="165">
        <v>0</v>
      </c>
      <c r="O24" s="52"/>
      <c r="P24" s="128"/>
      <c r="Q24" s="24"/>
      <c r="R24" s="14"/>
      <c r="S24" s="14"/>
      <c r="T24" s="14"/>
      <c r="U24" s="14"/>
      <c r="V24" s="14"/>
      <c r="W24" s="14"/>
    </row>
    <row r="25" spans="1:23" ht="38.25" x14ac:dyDescent="0.2">
      <c r="A25" s="265" t="s">
        <v>210</v>
      </c>
      <c r="B25" s="164">
        <v>0</v>
      </c>
      <c r="C25" s="165">
        <f>'BRA CTRs'!$F$5*'BRA ICTRs'!B25/'BRA ICTRs'!$B$49</f>
        <v>0</v>
      </c>
      <c r="D25" s="165">
        <v>0</v>
      </c>
      <c r="E25" s="165">
        <v>0</v>
      </c>
      <c r="F25" s="165">
        <v>19</v>
      </c>
      <c r="G25" s="165">
        <v>3</v>
      </c>
      <c r="H25" s="165">
        <v>0</v>
      </c>
      <c r="I25" s="165">
        <v>0</v>
      </c>
      <c r="J25" s="165">
        <v>0</v>
      </c>
      <c r="K25" s="165">
        <v>0</v>
      </c>
      <c r="L25" s="165">
        <v>0</v>
      </c>
      <c r="M25" s="165">
        <v>0</v>
      </c>
      <c r="N25" s="165">
        <v>0</v>
      </c>
      <c r="O25" s="52"/>
      <c r="P25" s="128"/>
      <c r="Q25" s="24"/>
      <c r="R25" s="14"/>
      <c r="S25" s="14"/>
      <c r="T25" s="14"/>
      <c r="U25" s="14"/>
      <c r="V25" s="14"/>
      <c r="W25" s="14"/>
    </row>
    <row r="26" spans="1:23" ht="38.25" x14ac:dyDescent="0.2">
      <c r="A26" s="265" t="s">
        <v>211</v>
      </c>
      <c r="B26" s="164">
        <v>0</v>
      </c>
      <c r="C26" s="165">
        <f>'BRA CTRs'!$F$5*'BRA ICTRs'!B26/'BRA ICTRs'!$B$49</f>
        <v>0</v>
      </c>
      <c r="D26" s="165">
        <v>0</v>
      </c>
      <c r="E26" s="165">
        <v>0</v>
      </c>
      <c r="F26" s="165">
        <v>21</v>
      </c>
      <c r="G26" s="165">
        <v>3</v>
      </c>
      <c r="H26" s="165">
        <v>0</v>
      </c>
      <c r="I26" s="165">
        <v>0</v>
      </c>
      <c r="J26" s="165">
        <v>0</v>
      </c>
      <c r="K26" s="165">
        <v>0</v>
      </c>
      <c r="L26" s="165">
        <v>0</v>
      </c>
      <c r="M26" s="165">
        <v>0</v>
      </c>
      <c r="N26" s="165">
        <v>0</v>
      </c>
      <c r="O26" s="52"/>
      <c r="P26" s="128"/>
      <c r="Q26" s="24"/>
      <c r="R26" s="14"/>
      <c r="S26" s="14"/>
      <c r="T26" s="14"/>
      <c r="U26" s="14"/>
      <c r="V26" s="14"/>
      <c r="W26" s="14"/>
    </row>
    <row r="27" spans="1:23" ht="38.25" x14ac:dyDescent="0.2">
      <c r="A27" s="265" t="s">
        <v>212</v>
      </c>
      <c r="B27" s="164">
        <v>0</v>
      </c>
      <c r="C27" s="165">
        <f>'BRA CTRs'!$F$5*'BRA ICTRs'!B27/'BRA ICTRs'!$B$49</f>
        <v>0</v>
      </c>
      <c r="D27" s="165">
        <v>0</v>
      </c>
      <c r="E27" s="165">
        <v>0</v>
      </c>
      <c r="F27" s="165">
        <v>17</v>
      </c>
      <c r="G27" s="165">
        <v>3</v>
      </c>
      <c r="H27" s="165">
        <v>0</v>
      </c>
      <c r="I27" s="165">
        <v>0</v>
      </c>
      <c r="J27" s="165">
        <v>0</v>
      </c>
      <c r="K27" s="165">
        <v>0</v>
      </c>
      <c r="L27" s="165">
        <v>0</v>
      </c>
      <c r="M27" s="165">
        <v>0</v>
      </c>
      <c r="N27" s="165">
        <v>0</v>
      </c>
      <c r="O27" s="52"/>
      <c r="P27" s="128"/>
      <c r="Q27" s="24"/>
      <c r="R27" s="14"/>
      <c r="S27" s="14"/>
      <c r="T27" s="14"/>
      <c r="U27" s="14"/>
      <c r="V27" s="14"/>
      <c r="W27" s="14"/>
    </row>
    <row r="28" spans="1:23" ht="38.25" x14ac:dyDescent="0.2">
      <c r="A28" s="265" t="s">
        <v>213</v>
      </c>
      <c r="B28" s="164">
        <v>0</v>
      </c>
      <c r="C28" s="165">
        <f>'BRA CTRs'!$F$5*'BRA ICTRs'!B28/'BRA ICTRs'!$B$49</f>
        <v>0</v>
      </c>
      <c r="D28" s="165">
        <v>0</v>
      </c>
      <c r="E28" s="165">
        <v>0</v>
      </c>
      <c r="F28" s="165">
        <v>5</v>
      </c>
      <c r="G28" s="165">
        <v>1</v>
      </c>
      <c r="H28" s="165">
        <v>0</v>
      </c>
      <c r="I28" s="165">
        <v>0</v>
      </c>
      <c r="J28" s="165">
        <v>0</v>
      </c>
      <c r="K28" s="165">
        <v>0</v>
      </c>
      <c r="L28" s="165">
        <v>0</v>
      </c>
      <c r="M28" s="165">
        <v>0</v>
      </c>
      <c r="N28" s="165">
        <v>0</v>
      </c>
      <c r="O28" s="52"/>
      <c r="P28" s="128"/>
      <c r="Q28" s="24"/>
      <c r="R28" s="14"/>
      <c r="S28" s="14"/>
      <c r="T28" s="14"/>
      <c r="U28" s="14"/>
      <c r="V28" s="14"/>
      <c r="W28" s="14"/>
    </row>
    <row r="29" spans="1:23" ht="38.25" x14ac:dyDescent="0.2">
      <c r="A29" s="265" t="s">
        <v>214</v>
      </c>
      <c r="B29" s="164">
        <v>0</v>
      </c>
      <c r="C29" s="165">
        <f>'BRA CTRs'!$F$5*'BRA ICTRs'!B29/'BRA ICTRs'!$B$49</f>
        <v>0</v>
      </c>
      <c r="D29" s="165">
        <v>0</v>
      </c>
      <c r="E29" s="165">
        <v>0</v>
      </c>
      <c r="F29" s="165">
        <v>4</v>
      </c>
      <c r="G29" s="165">
        <v>1</v>
      </c>
      <c r="H29" s="165">
        <v>0</v>
      </c>
      <c r="I29" s="165">
        <v>0</v>
      </c>
      <c r="J29" s="165">
        <v>0</v>
      </c>
      <c r="K29" s="165">
        <v>0</v>
      </c>
      <c r="L29" s="165">
        <v>0</v>
      </c>
      <c r="M29" s="165">
        <v>0</v>
      </c>
      <c r="N29" s="165">
        <v>0</v>
      </c>
      <c r="O29" s="52"/>
      <c r="P29" s="128"/>
      <c r="Q29" s="24"/>
      <c r="R29" s="14"/>
      <c r="S29" s="14"/>
      <c r="T29" s="14"/>
      <c r="U29" s="14"/>
      <c r="V29" s="14"/>
      <c r="W29" s="14"/>
    </row>
    <row r="30" spans="1:23" ht="38.25" x14ac:dyDescent="0.2">
      <c r="A30" s="265" t="s">
        <v>215</v>
      </c>
      <c r="B30" s="164">
        <v>0</v>
      </c>
      <c r="C30" s="165">
        <f>'BRA CTRs'!$F$5*'BRA ICTRs'!B30/'BRA ICTRs'!$B$49</f>
        <v>0</v>
      </c>
      <c r="D30" s="165">
        <v>0</v>
      </c>
      <c r="E30" s="165">
        <v>0</v>
      </c>
      <c r="F30" s="165">
        <v>2</v>
      </c>
      <c r="G30" s="165">
        <v>0</v>
      </c>
      <c r="H30" s="165">
        <v>0</v>
      </c>
      <c r="I30" s="165">
        <v>0</v>
      </c>
      <c r="J30" s="165">
        <v>0</v>
      </c>
      <c r="K30" s="165">
        <v>0</v>
      </c>
      <c r="L30" s="165">
        <v>0</v>
      </c>
      <c r="M30" s="165">
        <v>0</v>
      </c>
      <c r="N30" s="165">
        <v>0</v>
      </c>
      <c r="O30" s="52"/>
      <c r="P30" s="128"/>
      <c r="Q30" s="24"/>
      <c r="R30" s="14"/>
      <c r="S30" s="14"/>
      <c r="T30" s="14"/>
      <c r="U30" s="14"/>
      <c r="V30" s="14"/>
      <c r="W30" s="14"/>
    </row>
    <row r="31" spans="1:23" ht="38.25" x14ac:dyDescent="0.2">
      <c r="A31" s="265" t="s">
        <v>216</v>
      </c>
      <c r="B31" s="164">
        <v>0</v>
      </c>
      <c r="C31" s="165">
        <f>'BRA CTRs'!$F$5*'BRA ICTRs'!B31/'BRA ICTRs'!$B$49</f>
        <v>0</v>
      </c>
      <c r="D31" s="165">
        <v>0</v>
      </c>
      <c r="E31" s="165">
        <v>0</v>
      </c>
      <c r="F31" s="165">
        <v>18</v>
      </c>
      <c r="G31" s="165">
        <v>3</v>
      </c>
      <c r="H31" s="165">
        <v>0</v>
      </c>
      <c r="I31" s="165">
        <v>0</v>
      </c>
      <c r="J31" s="165">
        <v>0</v>
      </c>
      <c r="K31" s="165">
        <v>0</v>
      </c>
      <c r="L31" s="165">
        <v>0</v>
      </c>
      <c r="M31" s="165">
        <v>0</v>
      </c>
      <c r="N31" s="165">
        <v>0</v>
      </c>
      <c r="O31" s="52"/>
      <c r="P31" s="128"/>
      <c r="Q31" s="24"/>
      <c r="R31" s="14"/>
      <c r="S31" s="14"/>
      <c r="T31" s="14"/>
      <c r="U31" s="14"/>
      <c r="V31" s="14"/>
      <c r="W31" s="14"/>
    </row>
    <row r="32" spans="1:23" ht="38.25" x14ac:dyDescent="0.2">
      <c r="A32" s="265" t="s">
        <v>217</v>
      </c>
      <c r="B32" s="164">
        <v>0</v>
      </c>
      <c r="C32" s="165">
        <f>'BRA CTRs'!$F$5*'BRA ICTRs'!B32/'BRA ICTRs'!$B$49</f>
        <v>0</v>
      </c>
      <c r="D32" s="165">
        <v>0</v>
      </c>
      <c r="E32" s="165">
        <v>0</v>
      </c>
      <c r="F32" s="165">
        <v>21</v>
      </c>
      <c r="G32" s="165">
        <v>3</v>
      </c>
      <c r="H32" s="165">
        <v>0</v>
      </c>
      <c r="I32" s="165">
        <v>0</v>
      </c>
      <c r="J32" s="165">
        <v>0</v>
      </c>
      <c r="K32" s="165">
        <v>0</v>
      </c>
      <c r="L32" s="165">
        <v>0</v>
      </c>
      <c r="M32" s="165">
        <v>0</v>
      </c>
      <c r="N32" s="165">
        <v>0</v>
      </c>
      <c r="O32" s="52"/>
      <c r="P32" s="128"/>
      <c r="Q32" s="24"/>
      <c r="R32" s="14"/>
      <c r="S32" s="14"/>
      <c r="T32" s="14"/>
      <c r="U32" s="14"/>
      <c r="V32" s="14"/>
      <c r="W32" s="14"/>
    </row>
    <row r="33" spans="1:23" ht="20.100000000000001" customHeight="1" thickBot="1" x14ac:dyDescent="0.25">
      <c r="A33" s="245" t="s">
        <v>85</v>
      </c>
      <c r="B33" s="262">
        <f>SUM(B16:B32)</f>
        <v>16</v>
      </c>
      <c r="C33" s="262">
        <f t="shared" ref="C33" si="1">SUM(C16:C32)</f>
        <v>17.751091756043657</v>
      </c>
      <c r="D33" s="262">
        <f t="shared" ref="D33" si="2">SUM(D16:D32)</f>
        <v>50</v>
      </c>
      <c r="E33" s="262">
        <f t="shared" ref="E33" si="3">SUM(E16:E32)</f>
        <v>237</v>
      </c>
      <c r="F33" s="262">
        <f>SUM(F16:F32)</f>
        <v>593.5</v>
      </c>
      <c r="G33" s="262">
        <f t="shared" ref="G33:M33" si="4">SUM(G16:G32)</f>
        <v>521.5</v>
      </c>
      <c r="H33" s="262">
        <f t="shared" si="4"/>
        <v>0</v>
      </c>
      <c r="I33" s="262">
        <f t="shared" si="4"/>
        <v>0</v>
      </c>
      <c r="J33" s="262">
        <f t="shared" si="4"/>
        <v>175</v>
      </c>
      <c r="K33" s="262">
        <f t="shared" si="4"/>
        <v>306</v>
      </c>
      <c r="L33" s="262">
        <f t="shared" si="4"/>
        <v>0</v>
      </c>
      <c r="M33" s="262">
        <f t="shared" si="4"/>
        <v>0</v>
      </c>
      <c r="N33" s="262">
        <f t="shared" ref="N33" si="5">SUM(N16:N32)</f>
        <v>0</v>
      </c>
      <c r="O33" s="52"/>
      <c r="P33" s="128"/>
      <c r="Q33" s="24"/>
      <c r="R33" s="14"/>
      <c r="S33" s="14"/>
      <c r="T33" s="14"/>
      <c r="U33" s="14"/>
      <c r="V33" s="14"/>
      <c r="W33" s="14"/>
    </row>
    <row r="34" spans="1:23" ht="20.100000000000001" customHeight="1" x14ac:dyDescent="0.2">
      <c r="A34" s="179" t="s">
        <v>69</v>
      </c>
      <c r="B34" s="268"/>
      <c r="C34" s="268"/>
      <c r="D34" s="269"/>
      <c r="E34" s="269"/>
      <c r="F34" s="269"/>
      <c r="G34" s="269"/>
      <c r="H34" s="269"/>
      <c r="I34" s="269"/>
      <c r="J34" s="269"/>
      <c r="K34" s="269"/>
      <c r="L34" s="269"/>
      <c r="M34" s="269"/>
      <c r="N34" s="269"/>
      <c r="O34" s="52"/>
      <c r="P34" s="128"/>
      <c r="Q34" s="24"/>
      <c r="R34" s="14"/>
      <c r="S34" s="14"/>
      <c r="T34" s="14"/>
      <c r="U34" s="14"/>
      <c r="V34" s="14"/>
      <c r="W34" s="14"/>
    </row>
    <row r="35" spans="1:23" ht="24.95" customHeight="1" x14ac:dyDescent="0.2">
      <c r="A35" s="180" t="s">
        <v>219</v>
      </c>
      <c r="B35" s="164">
        <v>159</v>
      </c>
      <c r="C35" s="165">
        <f>'BRA CTRs'!$F$5*'BRA ICTRs'!B35/'BRA ICTRs'!$B$49</f>
        <v>176.40147432568384</v>
      </c>
      <c r="D35" s="165">
        <v>0</v>
      </c>
      <c r="E35" s="165">
        <v>0</v>
      </c>
      <c r="F35" s="165">
        <v>0</v>
      </c>
      <c r="G35" s="165">
        <v>0</v>
      </c>
      <c r="H35" s="165">
        <v>0</v>
      </c>
      <c r="I35" s="165">
        <v>0</v>
      </c>
      <c r="J35" s="165">
        <v>0</v>
      </c>
      <c r="K35" s="165">
        <v>0</v>
      </c>
      <c r="L35" s="165">
        <v>0</v>
      </c>
      <c r="M35" s="165">
        <v>0</v>
      </c>
      <c r="N35" s="165">
        <v>0</v>
      </c>
      <c r="O35" s="52"/>
      <c r="P35" s="128"/>
      <c r="Q35" s="24"/>
      <c r="R35" s="14"/>
      <c r="S35" s="14"/>
      <c r="T35" s="14"/>
      <c r="U35" s="14"/>
      <c r="V35" s="14"/>
      <c r="W35" s="14"/>
    </row>
    <row r="36" spans="1:23" ht="24.95" customHeight="1" x14ac:dyDescent="0.2">
      <c r="A36" s="180" t="s">
        <v>220</v>
      </c>
      <c r="B36" s="164">
        <v>0</v>
      </c>
      <c r="C36" s="165">
        <f>'BRA CTRs'!$F$5*'BRA ICTRs'!B36/'BRA ICTRs'!$B$49</f>
        <v>0</v>
      </c>
      <c r="D36" s="165">
        <v>0</v>
      </c>
      <c r="E36" s="165">
        <v>0</v>
      </c>
      <c r="F36" s="165">
        <v>0</v>
      </c>
      <c r="G36" s="165">
        <v>0</v>
      </c>
      <c r="H36" s="165">
        <v>37</v>
      </c>
      <c r="I36" s="165">
        <v>0</v>
      </c>
      <c r="J36" s="165">
        <v>0</v>
      </c>
      <c r="K36" s="165">
        <v>0</v>
      </c>
      <c r="L36" s="165">
        <v>0</v>
      </c>
      <c r="M36" s="165">
        <v>0</v>
      </c>
      <c r="N36" s="165">
        <v>0</v>
      </c>
      <c r="O36" s="52"/>
      <c r="P36" s="128"/>
      <c r="Q36" s="24"/>
      <c r="R36" s="14"/>
      <c r="S36" s="14"/>
      <c r="T36" s="14"/>
      <c r="U36" s="14"/>
      <c r="V36" s="14"/>
      <c r="W36" s="14"/>
    </row>
    <row r="37" spans="1:23" ht="24.95" customHeight="1" x14ac:dyDescent="0.2">
      <c r="A37" s="180" t="s">
        <v>221</v>
      </c>
      <c r="B37" s="164">
        <v>0</v>
      </c>
      <c r="C37" s="165">
        <f>'BRA CTRs'!$F$5*'BRA ICTRs'!B37/'BRA ICTRs'!$B$49</f>
        <v>0</v>
      </c>
      <c r="D37" s="165">
        <v>0</v>
      </c>
      <c r="E37" s="166">
        <v>0</v>
      </c>
      <c r="F37" s="166">
        <v>0</v>
      </c>
      <c r="G37" s="166">
        <v>0</v>
      </c>
      <c r="H37" s="166">
        <v>35</v>
      </c>
      <c r="I37" s="165">
        <v>0</v>
      </c>
      <c r="J37" s="166">
        <v>0</v>
      </c>
      <c r="K37" s="165">
        <v>0</v>
      </c>
      <c r="L37" s="165">
        <v>0</v>
      </c>
      <c r="M37" s="165">
        <v>0</v>
      </c>
      <c r="N37" s="165">
        <v>0</v>
      </c>
      <c r="O37" s="52"/>
      <c r="P37" s="128"/>
      <c r="Q37" s="24"/>
      <c r="R37" s="14"/>
      <c r="S37" s="14"/>
      <c r="T37" s="14"/>
      <c r="U37" s="14"/>
      <c r="V37" s="14"/>
      <c r="W37" s="14"/>
    </row>
    <row r="38" spans="1:23" ht="24.95" customHeight="1" x14ac:dyDescent="0.2">
      <c r="A38" s="180" t="s">
        <v>222</v>
      </c>
      <c r="B38" s="164">
        <v>0</v>
      </c>
      <c r="C38" s="165">
        <f>'BRA CTRs'!$F$5*'BRA ICTRs'!B38/'BRA ICTRs'!$B$49</f>
        <v>0</v>
      </c>
      <c r="D38" s="165">
        <v>0</v>
      </c>
      <c r="E38" s="166">
        <v>0</v>
      </c>
      <c r="F38" s="166">
        <v>0</v>
      </c>
      <c r="G38" s="166">
        <v>0</v>
      </c>
      <c r="H38" s="166">
        <v>0</v>
      </c>
      <c r="I38" s="165">
        <v>0</v>
      </c>
      <c r="J38" s="166">
        <v>0</v>
      </c>
      <c r="K38" s="165">
        <v>0</v>
      </c>
      <c r="L38" s="165">
        <v>155</v>
      </c>
      <c r="M38" s="165">
        <v>0</v>
      </c>
      <c r="N38" s="165">
        <v>0</v>
      </c>
      <c r="O38" s="52"/>
      <c r="P38" s="128"/>
      <c r="Q38" s="24"/>
      <c r="R38" s="14"/>
      <c r="S38" s="14"/>
      <c r="T38" s="14"/>
      <c r="U38" s="14"/>
      <c r="V38" s="14"/>
      <c r="W38" s="14"/>
    </row>
    <row r="39" spans="1:23" ht="25.5" x14ac:dyDescent="0.2">
      <c r="A39" s="180" t="s">
        <v>223</v>
      </c>
      <c r="B39" s="164">
        <v>733</v>
      </c>
      <c r="C39" s="165">
        <f>'BRA CTRs'!$F$5*'BRA ICTRs'!B39/'BRA ICTRs'!$B$49</f>
        <v>813.22189107374993</v>
      </c>
      <c r="D39" s="165">
        <v>0</v>
      </c>
      <c r="E39" s="166">
        <v>0</v>
      </c>
      <c r="F39" s="166">
        <v>0</v>
      </c>
      <c r="G39" s="166">
        <v>0</v>
      </c>
      <c r="H39" s="166">
        <v>0</v>
      </c>
      <c r="I39" s="165">
        <v>0</v>
      </c>
      <c r="J39" s="166">
        <v>0</v>
      </c>
      <c r="K39" s="165">
        <v>0</v>
      </c>
      <c r="L39" s="165">
        <v>0</v>
      </c>
      <c r="M39" s="165">
        <v>0</v>
      </c>
      <c r="N39" s="165">
        <v>0</v>
      </c>
      <c r="O39" s="52"/>
      <c r="P39" s="128"/>
      <c r="Q39" s="24"/>
      <c r="R39" s="14"/>
      <c r="S39" s="14"/>
      <c r="T39" s="14"/>
      <c r="U39" s="14"/>
      <c r="V39" s="14"/>
      <c r="W39" s="14"/>
    </row>
    <row r="40" spans="1:23" ht="25.5" x14ac:dyDescent="0.2">
      <c r="A40" s="180" t="s">
        <v>224</v>
      </c>
      <c r="B40" s="164">
        <v>0</v>
      </c>
      <c r="C40" s="165">
        <f>'BRA CTRs'!$F$5*'BRA ICTRs'!B40/'BRA ICTRs'!$B$49</f>
        <v>0</v>
      </c>
      <c r="D40" s="165">
        <v>0</v>
      </c>
      <c r="E40" s="166">
        <v>0</v>
      </c>
      <c r="F40" s="166">
        <v>0</v>
      </c>
      <c r="G40" s="166">
        <v>0</v>
      </c>
      <c r="H40" s="166">
        <v>0</v>
      </c>
      <c r="I40" s="166">
        <v>0</v>
      </c>
      <c r="J40" s="166">
        <v>0</v>
      </c>
      <c r="K40" s="165">
        <v>65.7</v>
      </c>
      <c r="L40" s="165">
        <v>0</v>
      </c>
      <c r="M40" s="165">
        <v>0</v>
      </c>
      <c r="N40" s="165">
        <v>0</v>
      </c>
      <c r="O40" s="52"/>
      <c r="P40" s="128"/>
      <c r="Q40" s="24"/>
      <c r="R40" s="14"/>
      <c r="S40" s="14"/>
      <c r="T40" s="14"/>
      <c r="U40" s="14"/>
      <c r="V40" s="14"/>
      <c r="W40" s="14"/>
    </row>
    <row r="41" spans="1:23" ht="25.5" x14ac:dyDescent="0.2">
      <c r="A41" s="180" t="s">
        <v>225</v>
      </c>
      <c r="B41" s="164">
        <v>0</v>
      </c>
      <c r="C41" s="165">
        <f>'BRA CTRs'!$F$5*'BRA ICTRs'!B41/'BRA ICTRs'!$B$49</f>
        <v>0</v>
      </c>
      <c r="D41" s="165">
        <v>0</v>
      </c>
      <c r="E41" s="166">
        <v>0</v>
      </c>
      <c r="F41" s="166">
        <v>41</v>
      </c>
      <c r="G41" s="166">
        <v>21</v>
      </c>
      <c r="H41" s="166">
        <v>0</v>
      </c>
      <c r="I41" s="166">
        <v>0</v>
      </c>
      <c r="J41" s="166">
        <v>0</v>
      </c>
      <c r="K41" s="165">
        <v>0</v>
      </c>
      <c r="L41" s="165">
        <v>0</v>
      </c>
      <c r="M41" s="165">
        <v>0</v>
      </c>
      <c r="N41" s="165">
        <v>0</v>
      </c>
      <c r="O41" s="52"/>
      <c r="P41" s="128"/>
      <c r="Q41" s="24"/>
      <c r="R41" s="14"/>
      <c r="S41" s="14"/>
      <c r="T41" s="14"/>
      <c r="U41" s="14"/>
      <c r="V41" s="14"/>
      <c r="W41" s="14"/>
    </row>
    <row r="42" spans="1:23" ht="25.5" x14ac:dyDescent="0.2">
      <c r="A42" s="180" t="s">
        <v>226</v>
      </c>
      <c r="B42" s="164">
        <v>665</v>
      </c>
      <c r="C42" s="165">
        <f>'BRA CTRs'!$F$5*'BRA ICTRs'!B42/'BRA ICTRs'!$B$49</f>
        <v>737.77975111056435</v>
      </c>
      <c r="D42" s="165">
        <v>40</v>
      </c>
      <c r="E42" s="166">
        <v>0</v>
      </c>
      <c r="F42" s="166">
        <v>0</v>
      </c>
      <c r="G42" s="166">
        <v>0</v>
      </c>
      <c r="H42" s="166">
        <v>0</v>
      </c>
      <c r="I42" s="166">
        <v>0</v>
      </c>
      <c r="J42" s="166">
        <v>0</v>
      </c>
      <c r="K42" s="165">
        <v>0</v>
      </c>
      <c r="L42" s="165">
        <v>0</v>
      </c>
      <c r="M42" s="165">
        <v>0</v>
      </c>
      <c r="N42" s="165">
        <v>0</v>
      </c>
      <c r="O42" s="52"/>
      <c r="P42" s="128"/>
      <c r="Q42" s="24"/>
      <c r="R42" s="14"/>
      <c r="S42" s="14"/>
      <c r="T42" s="14"/>
      <c r="U42" s="14"/>
      <c r="V42" s="14"/>
      <c r="W42" s="14"/>
    </row>
    <row r="43" spans="1:23" ht="25.5" x14ac:dyDescent="0.2">
      <c r="A43" s="278" t="s">
        <v>218</v>
      </c>
      <c r="B43" s="279">
        <v>0</v>
      </c>
      <c r="C43" s="165">
        <f>'BRA CTRs'!$F$5*'BRA ICTRs'!B43/'BRA ICTRs'!$B$49</f>
        <v>0</v>
      </c>
      <c r="D43" s="281">
        <v>0</v>
      </c>
      <c r="E43" s="280">
        <v>0</v>
      </c>
      <c r="F43" s="280">
        <v>0</v>
      </c>
      <c r="G43" s="280">
        <v>0</v>
      </c>
      <c r="H43" s="280">
        <v>0</v>
      </c>
      <c r="I43" s="280">
        <v>0</v>
      </c>
      <c r="J43" s="280">
        <v>0</v>
      </c>
      <c r="K43" s="281">
        <v>0</v>
      </c>
      <c r="L43" s="281">
        <v>0</v>
      </c>
      <c r="M43" s="281">
        <v>1097</v>
      </c>
      <c r="N43" s="281">
        <v>0</v>
      </c>
      <c r="O43" s="52"/>
      <c r="P43" s="128"/>
      <c r="Q43" s="24"/>
      <c r="R43" s="14"/>
      <c r="S43" s="14"/>
      <c r="T43" s="14"/>
      <c r="U43" s="14"/>
      <c r="V43" s="14"/>
      <c r="W43" s="14"/>
    </row>
    <row r="44" spans="1:23" ht="25.5" x14ac:dyDescent="0.2">
      <c r="A44" s="180" t="s">
        <v>227</v>
      </c>
      <c r="B44" s="164">
        <v>0</v>
      </c>
      <c r="C44" s="165">
        <f>'BRA CTRs'!$F$5*'BRA ICTRs'!B44/'BRA ICTRs'!$B$49</f>
        <v>0</v>
      </c>
      <c r="D44" s="165">
        <v>0</v>
      </c>
      <c r="E44" s="166">
        <v>0</v>
      </c>
      <c r="F44" s="166">
        <v>0</v>
      </c>
      <c r="G44" s="166">
        <v>0</v>
      </c>
      <c r="H44" s="166">
        <v>0</v>
      </c>
      <c r="I44" s="166">
        <v>0</v>
      </c>
      <c r="J44" s="166">
        <v>0</v>
      </c>
      <c r="K44" s="165">
        <v>0</v>
      </c>
      <c r="L44" s="165">
        <v>0</v>
      </c>
      <c r="M44" s="165">
        <v>279</v>
      </c>
      <c r="N44" s="165">
        <v>0</v>
      </c>
      <c r="O44" s="52"/>
      <c r="P44" s="128"/>
      <c r="Q44" s="24"/>
      <c r="R44" s="14"/>
      <c r="S44" s="14"/>
      <c r="T44" s="14"/>
      <c r="U44" s="14"/>
      <c r="V44" s="14"/>
      <c r="W44" s="14"/>
    </row>
    <row r="45" spans="1:23" ht="25.5" x14ac:dyDescent="0.2">
      <c r="A45" s="278" t="s">
        <v>228</v>
      </c>
      <c r="B45" s="164">
        <v>0</v>
      </c>
      <c r="C45" s="165">
        <v>0</v>
      </c>
      <c r="D45" s="165">
        <v>0</v>
      </c>
      <c r="E45" s="166">
        <v>0</v>
      </c>
      <c r="F45" s="166">
        <v>1029</v>
      </c>
      <c r="G45" s="166">
        <v>0</v>
      </c>
      <c r="H45" s="166">
        <v>0</v>
      </c>
      <c r="I45" s="166">
        <v>0</v>
      </c>
      <c r="J45" s="166">
        <v>0</v>
      </c>
      <c r="K45" s="165">
        <v>0</v>
      </c>
      <c r="L45" s="165">
        <v>0</v>
      </c>
      <c r="M45" s="165">
        <v>0</v>
      </c>
      <c r="N45" s="165">
        <v>0</v>
      </c>
      <c r="O45" s="52"/>
      <c r="P45" s="128"/>
      <c r="Q45" s="24"/>
      <c r="R45" s="14"/>
      <c r="S45" s="14"/>
      <c r="T45" s="14"/>
      <c r="U45" s="14"/>
      <c r="V45" s="14"/>
      <c r="W45" s="14"/>
    </row>
    <row r="46" spans="1:23" ht="25.5" x14ac:dyDescent="0.2">
      <c r="A46" s="278" t="s">
        <v>229</v>
      </c>
      <c r="B46" s="164">
        <v>0</v>
      </c>
      <c r="C46" s="165">
        <v>0</v>
      </c>
      <c r="D46" s="165">
        <v>0</v>
      </c>
      <c r="E46" s="166">
        <v>0</v>
      </c>
      <c r="F46" s="166">
        <v>0</v>
      </c>
      <c r="G46" s="166">
        <v>618</v>
      </c>
      <c r="H46" s="166">
        <v>0</v>
      </c>
      <c r="I46" s="166">
        <v>0</v>
      </c>
      <c r="J46" s="166">
        <v>0</v>
      </c>
      <c r="K46" s="165">
        <v>0</v>
      </c>
      <c r="L46" s="165">
        <v>0</v>
      </c>
      <c r="M46" s="165">
        <v>0</v>
      </c>
      <c r="N46" s="165">
        <v>0</v>
      </c>
      <c r="O46" s="52"/>
      <c r="P46" s="128"/>
      <c r="Q46" s="24"/>
      <c r="R46" s="14"/>
      <c r="S46" s="14"/>
      <c r="T46" s="14"/>
      <c r="U46" s="14"/>
      <c r="V46" s="14"/>
      <c r="W46" s="14"/>
    </row>
    <row r="47" spans="1:23" ht="20.100000000000001" customHeight="1" thickBot="1" x14ac:dyDescent="0.25">
      <c r="A47" s="245" t="s">
        <v>73</v>
      </c>
      <c r="B47" s="246">
        <v>0</v>
      </c>
      <c r="C47" s="246">
        <f>SUM(C35:C46)</f>
        <v>1727.4031165099982</v>
      </c>
      <c r="D47" s="246">
        <v>0</v>
      </c>
      <c r="E47" s="246">
        <f t="shared" ref="E47:L47" si="6">SUM(E35:E44)</f>
        <v>0</v>
      </c>
      <c r="F47" s="246">
        <f>SUM(F35:F46)</f>
        <v>1070</v>
      </c>
      <c r="G47" s="246">
        <f>SUM(G35:G46)</f>
        <v>639</v>
      </c>
      <c r="H47" s="246">
        <f>SUM(H35:H46)</f>
        <v>72</v>
      </c>
      <c r="I47" s="246">
        <f t="shared" si="6"/>
        <v>0</v>
      </c>
      <c r="J47" s="246">
        <f t="shared" si="6"/>
        <v>0</v>
      </c>
      <c r="K47" s="246">
        <f>SUM(K35:K46)</f>
        <v>65.7</v>
      </c>
      <c r="L47" s="246">
        <f t="shared" si="6"/>
        <v>155</v>
      </c>
      <c r="M47" s="246">
        <f>SUM(M35:M46)</f>
        <v>1376</v>
      </c>
      <c r="N47" s="246">
        <f>SUM(N35:N46)</f>
        <v>0</v>
      </c>
      <c r="O47" s="52"/>
      <c r="P47" s="128"/>
      <c r="Q47" s="24"/>
      <c r="R47" s="14"/>
      <c r="S47" s="14"/>
      <c r="T47" s="14"/>
      <c r="U47" s="14"/>
      <c r="V47" s="14"/>
      <c r="W47" s="14"/>
    </row>
    <row r="48" spans="1:23" x14ac:dyDescent="0.2">
      <c r="A48" s="266"/>
      <c r="B48" s="259"/>
      <c r="C48" s="259"/>
      <c r="D48" s="267"/>
      <c r="E48" s="267"/>
      <c r="F48" s="267"/>
      <c r="G48" s="267"/>
      <c r="H48" s="267"/>
      <c r="I48" s="267"/>
      <c r="J48" s="267"/>
      <c r="K48" s="267"/>
      <c r="L48" s="267"/>
      <c r="M48" s="267"/>
      <c r="N48" s="267"/>
      <c r="O48" s="52"/>
      <c r="P48" s="128"/>
      <c r="Q48" s="24"/>
      <c r="R48" s="14"/>
      <c r="S48" s="14"/>
      <c r="T48" s="14"/>
      <c r="U48" s="14"/>
      <c r="V48" s="14"/>
      <c r="W48" s="14"/>
    </row>
    <row r="49" spans="1:58" ht="20.100000000000001" customHeight="1" thickBot="1" x14ac:dyDescent="0.25">
      <c r="A49" s="245" t="s">
        <v>74</v>
      </c>
      <c r="B49" s="246">
        <f t="shared" ref="B49:M49" si="7">B14+B33+B47</f>
        <v>738</v>
      </c>
      <c r="C49" s="246">
        <f t="shared" si="7"/>
        <v>2546.1722237575118</v>
      </c>
      <c r="D49" s="247">
        <f t="shared" si="7"/>
        <v>948</v>
      </c>
      <c r="E49" s="247">
        <f t="shared" si="7"/>
        <v>1722</v>
      </c>
      <c r="F49" s="247">
        <f t="shared" si="7"/>
        <v>1732.4</v>
      </c>
      <c r="G49" s="247">
        <f t="shared" si="7"/>
        <v>1266</v>
      </c>
      <c r="H49" s="247">
        <f t="shared" si="7"/>
        <v>72</v>
      </c>
      <c r="I49" s="247">
        <f t="shared" si="7"/>
        <v>0</v>
      </c>
      <c r="J49" s="247">
        <f t="shared" si="7"/>
        <v>175</v>
      </c>
      <c r="K49" s="247">
        <f t="shared" si="7"/>
        <v>371.7</v>
      </c>
      <c r="L49" s="247">
        <f t="shared" si="7"/>
        <v>155</v>
      </c>
      <c r="M49" s="247">
        <f t="shared" si="7"/>
        <v>1376</v>
      </c>
      <c r="N49" s="247">
        <f t="shared" ref="N49" si="8">N14+N33+N47</f>
        <v>0</v>
      </c>
      <c r="O49" s="129"/>
      <c r="P49" s="30"/>
      <c r="Q49" s="24"/>
      <c r="R49" s="14"/>
      <c r="S49" s="14"/>
      <c r="T49" s="14"/>
      <c r="U49" s="14"/>
      <c r="V49" s="14"/>
      <c r="W49" s="14"/>
    </row>
    <row r="50" spans="1:58" s="9" customFormat="1" ht="19.5" customHeight="1" x14ac:dyDescent="0.2">
      <c r="A50" s="256" t="s">
        <v>90</v>
      </c>
      <c r="B50" s="282"/>
      <c r="C50" s="282"/>
      <c r="D50" s="282"/>
      <c r="E50" s="282"/>
      <c r="F50" s="282"/>
      <c r="G50" s="282"/>
      <c r="H50" s="282"/>
      <c r="I50" s="282"/>
      <c r="J50" s="282"/>
      <c r="K50" s="282"/>
      <c r="L50" s="171"/>
      <c r="M50" s="130"/>
      <c r="N50" s="26"/>
      <c r="O50" s="24"/>
      <c r="P50" s="24"/>
      <c r="Q50" s="24"/>
      <c r="R50" s="24"/>
      <c r="S50" s="24"/>
      <c r="T50" s="24"/>
      <c r="U50" s="24"/>
      <c r="V50" s="24"/>
      <c r="W50" s="24"/>
      <c r="X50" s="24"/>
      <c r="Y50" s="24"/>
    </row>
    <row r="51" spans="1:58" s="9" customFormat="1" x14ac:dyDescent="0.2">
      <c r="A51" s="16"/>
      <c r="B51" s="131"/>
      <c r="C51" s="131"/>
      <c r="D51" s="32"/>
      <c r="E51" s="130"/>
      <c r="F51" s="130"/>
      <c r="G51" s="130"/>
      <c r="H51" s="130"/>
      <c r="I51" s="130"/>
      <c r="J51" s="26"/>
      <c r="K51" s="130"/>
      <c r="L51" s="130"/>
      <c r="M51" s="130"/>
      <c r="N51" s="26"/>
      <c r="O51" s="24"/>
      <c r="P51" s="24"/>
      <c r="Q51" s="24"/>
      <c r="R51" s="24"/>
      <c r="S51" s="24"/>
      <c r="T51" s="24"/>
      <c r="U51" s="24"/>
      <c r="V51" s="24"/>
      <c r="W51" s="24"/>
      <c r="X51" s="24"/>
      <c r="Y51" s="24"/>
    </row>
    <row r="52" spans="1:58" s="9" customFormat="1" x14ac:dyDescent="0.2">
      <c r="A52" s="132"/>
      <c r="B52" s="131"/>
      <c r="C52" s="131"/>
      <c r="D52" s="32"/>
      <c r="E52" s="130"/>
      <c r="F52" s="130"/>
      <c r="G52" s="130"/>
      <c r="H52" s="130"/>
      <c r="I52" s="130"/>
      <c r="J52" s="26"/>
      <c r="K52" s="130"/>
      <c r="L52" s="130"/>
      <c r="M52" s="130"/>
      <c r="N52" s="26"/>
      <c r="O52" s="24"/>
      <c r="P52" s="24"/>
      <c r="Q52" s="24"/>
      <c r="R52" s="24"/>
      <c r="S52" s="24"/>
      <c r="T52" s="24"/>
      <c r="U52" s="24"/>
      <c r="V52" s="24"/>
      <c r="W52" s="24"/>
      <c r="X52" s="24"/>
      <c r="Y52" s="24"/>
    </row>
    <row r="53" spans="1:58" ht="14.25" x14ac:dyDescent="0.2">
      <c r="A53" s="255"/>
      <c r="B53" s="255"/>
      <c r="C53" s="255"/>
      <c r="D53" s="255"/>
      <c r="E53" s="255"/>
      <c r="F53" s="255"/>
      <c r="G53" s="255"/>
      <c r="H53" s="14"/>
      <c r="I53" s="319"/>
      <c r="J53" s="319"/>
      <c r="K53" s="319"/>
      <c r="L53" s="181"/>
      <c r="M53" s="130"/>
      <c r="N53" s="26"/>
      <c r="O53" s="14"/>
      <c r="P53" s="14"/>
      <c r="Q53" s="14"/>
      <c r="R53" s="14"/>
      <c r="S53" s="14"/>
      <c r="T53" s="14"/>
      <c r="U53" s="14"/>
      <c r="V53" s="14"/>
      <c r="W53" s="14"/>
      <c r="X53" s="14"/>
      <c r="Y53" s="14"/>
    </row>
    <row r="54" spans="1:58" ht="13.5" thickBot="1" x14ac:dyDescent="0.25">
      <c r="A54" s="577" t="s">
        <v>174</v>
      </c>
      <c r="B54" s="255"/>
      <c r="C54" s="255"/>
      <c r="D54" s="255"/>
      <c r="E54" s="255"/>
      <c r="F54" s="255"/>
      <c r="G54" s="255"/>
      <c r="H54" s="14"/>
      <c r="I54" s="319"/>
      <c r="J54" s="319"/>
      <c r="K54" s="319"/>
      <c r="L54" s="200"/>
      <c r="M54" s="200"/>
      <c r="N54" s="200"/>
      <c r="O54" s="200"/>
      <c r="P54" s="14"/>
      <c r="Q54" s="14"/>
      <c r="R54" s="14"/>
      <c r="S54" s="14"/>
      <c r="T54" s="14"/>
      <c r="U54" s="14"/>
      <c r="V54" s="14"/>
      <c r="W54" s="14"/>
      <c r="X54" s="14"/>
    </row>
    <row r="55" spans="1:58" ht="13.5" thickBot="1" x14ac:dyDescent="0.25">
      <c r="A55" s="577"/>
      <c r="B55" s="320" t="s">
        <v>27</v>
      </c>
      <c r="C55" s="320" t="s">
        <v>32</v>
      </c>
      <c r="D55" s="320" t="s">
        <v>4</v>
      </c>
      <c r="E55" s="320" t="s">
        <v>7</v>
      </c>
      <c r="F55" s="320" t="s">
        <v>33</v>
      </c>
      <c r="G55" s="320" t="s">
        <v>34</v>
      </c>
      <c r="H55" s="320" t="s">
        <v>14</v>
      </c>
      <c r="I55" s="320" t="s">
        <v>10</v>
      </c>
      <c r="J55" s="320" t="s">
        <v>49</v>
      </c>
      <c r="K55" s="320" t="s">
        <v>19</v>
      </c>
      <c r="L55" s="284"/>
      <c r="M55" s="284"/>
      <c r="N55" s="285"/>
      <c r="O55" s="221"/>
      <c r="P55" s="220"/>
      <c r="Q55" s="221"/>
      <c r="R55" s="220"/>
      <c r="S55" s="219"/>
      <c r="T55" s="220"/>
      <c r="U55" s="219"/>
      <c r="V55" s="220"/>
      <c r="W55" s="219"/>
      <c r="X55" s="219"/>
      <c r="Y55" s="220"/>
      <c r="Z55" s="221"/>
      <c r="AA55" s="220"/>
      <c r="AB55" s="221"/>
      <c r="AC55" s="220"/>
      <c r="AD55" s="221"/>
      <c r="AE55" s="220"/>
      <c r="AF55" s="219"/>
      <c r="AG55" s="220"/>
      <c r="AH55" s="221"/>
      <c r="AI55" s="220"/>
      <c r="AJ55" s="222"/>
      <c r="AK55" s="220"/>
      <c r="AL55" s="221"/>
      <c r="AM55" s="220"/>
      <c r="AN55" s="221"/>
      <c r="AO55" s="220"/>
      <c r="AP55" s="221"/>
      <c r="AQ55" s="220"/>
      <c r="AR55" s="221"/>
      <c r="AS55" s="220"/>
      <c r="AT55" s="219"/>
      <c r="AU55" s="220"/>
      <c r="AV55" s="221"/>
      <c r="AW55" s="220"/>
      <c r="AX55" s="221"/>
      <c r="AY55" s="220"/>
      <c r="AZ55" s="219"/>
      <c r="BA55" s="220"/>
      <c r="BB55" s="222"/>
      <c r="BC55" s="220"/>
      <c r="BD55" s="219"/>
      <c r="BE55" s="220"/>
      <c r="BF55" s="219"/>
    </row>
    <row r="56" spans="1:58" ht="13.5" thickBot="1" x14ac:dyDescent="0.25">
      <c r="A56" s="321" t="s">
        <v>175</v>
      </c>
      <c r="B56" s="322">
        <f>'BRA Load Pricing Results'!D14</f>
        <v>0</v>
      </c>
      <c r="C56" s="323">
        <f>'BRA Load Pricing Results'!D15-'BRA Load Pricing Results'!D14</f>
        <v>0</v>
      </c>
      <c r="D56" s="323">
        <f>'BRA Load Pricing Results'!D16-'BRA Load Pricing Results'!D14</f>
        <v>0</v>
      </c>
      <c r="E56" s="324">
        <f>'BRA Load Pricing Results'!D28</f>
        <v>0</v>
      </c>
      <c r="F56" s="324">
        <f>'BRA Load Pricing Results'!D29-'BRA Load Pricing Results'!D28</f>
        <v>0</v>
      </c>
      <c r="G56" s="324">
        <f>'BRA Load Pricing Results'!D32</f>
        <v>0</v>
      </c>
      <c r="H56" s="323">
        <f>'BRA Load Pricing Results'!D17-'BRA Load Pricing Results'!D16</f>
        <v>0</v>
      </c>
      <c r="I56" s="323">
        <f>'BRA Load Pricing Results'!D19-'BRA Load Pricing Results'!D16</f>
        <v>196.43</v>
      </c>
      <c r="J56" s="323">
        <f>'BRA Load Pricing Results'!D22</f>
        <v>0</v>
      </c>
      <c r="K56" s="325">
        <f>'BRA Load Pricing Results'!D18</f>
        <v>0</v>
      </c>
      <c r="L56" s="284"/>
      <c r="M56" s="284"/>
      <c r="N56" s="285"/>
      <c r="O56" s="221"/>
      <c r="P56" s="220"/>
      <c r="Q56" s="221"/>
      <c r="R56" s="220"/>
      <c r="S56" s="219"/>
      <c r="T56" s="220"/>
      <c r="U56" s="219"/>
      <c r="V56" s="220"/>
      <c r="W56" s="219"/>
      <c r="X56" s="219"/>
      <c r="Y56" s="220"/>
      <c r="Z56" s="221"/>
      <c r="AA56" s="220"/>
      <c r="AB56" s="221"/>
      <c r="AC56" s="220"/>
      <c r="AD56" s="221"/>
      <c r="AE56" s="220"/>
      <c r="AF56" s="219"/>
      <c r="AG56" s="220"/>
      <c r="AH56" s="221"/>
      <c r="AI56" s="220"/>
      <c r="AJ56" s="222"/>
      <c r="AK56" s="220"/>
      <c r="AL56" s="221"/>
      <c r="AM56" s="220"/>
      <c r="AN56" s="221"/>
      <c r="AO56" s="220"/>
      <c r="AP56" s="221"/>
      <c r="AQ56" s="220"/>
      <c r="AR56" s="221"/>
      <c r="AS56" s="220"/>
      <c r="AT56" s="219"/>
      <c r="AU56" s="220"/>
      <c r="AV56" s="221"/>
      <c r="AW56" s="220"/>
      <c r="AX56" s="221"/>
      <c r="AY56" s="220"/>
      <c r="AZ56" s="219"/>
      <c r="BA56" s="220"/>
      <c r="BB56" s="222"/>
      <c r="BC56" s="220"/>
      <c r="BD56" s="219"/>
      <c r="BE56" s="220"/>
      <c r="BF56" s="219"/>
    </row>
    <row r="57" spans="1:58" ht="13.5" thickBot="1" x14ac:dyDescent="0.25">
      <c r="A57" s="326" t="s">
        <v>176</v>
      </c>
      <c r="B57" s="578" t="s">
        <v>177</v>
      </c>
      <c r="C57" s="579"/>
      <c r="D57" s="579"/>
      <c r="E57" s="579"/>
      <c r="F57" s="579"/>
      <c r="G57" s="579"/>
      <c r="H57" s="579"/>
      <c r="I57" s="579"/>
      <c r="J57" s="579"/>
      <c r="K57" s="580"/>
      <c r="L57" s="284"/>
      <c r="M57" s="284"/>
      <c r="N57" s="285"/>
      <c r="O57" s="221"/>
      <c r="P57" s="220"/>
      <c r="Q57" s="221"/>
      <c r="R57" s="220"/>
      <c r="S57" s="219"/>
      <c r="T57" s="220"/>
      <c r="U57" s="219"/>
      <c r="V57" s="220"/>
      <c r="W57" s="219"/>
      <c r="X57" s="219"/>
      <c r="Y57" s="220"/>
      <c r="Z57" s="221"/>
      <c r="AA57" s="220"/>
      <c r="AB57" s="221"/>
      <c r="AC57" s="220"/>
      <c r="AD57" s="221"/>
      <c r="AE57" s="220"/>
      <c r="AF57" s="219"/>
      <c r="AG57" s="220"/>
      <c r="AH57" s="221"/>
      <c r="AI57" s="220"/>
      <c r="AJ57" s="222"/>
      <c r="AK57" s="220"/>
      <c r="AL57" s="221"/>
      <c r="AM57" s="220"/>
      <c r="AN57" s="221"/>
      <c r="AO57" s="220"/>
      <c r="AP57" s="221"/>
      <c r="AQ57" s="220"/>
      <c r="AR57" s="221"/>
      <c r="AS57" s="220"/>
      <c r="AT57" s="219"/>
      <c r="AU57" s="220"/>
      <c r="AV57" s="221"/>
      <c r="AW57" s="220"/>
      <c r="AX57" s="221"/>
      <c r="AY57" s="220"/>
      <c r="AZ57" s="219"/>
      <c r="BA57" s="220"/>
      <c r="BB57" s="222"/>
      <c r="BC57" s="220"/>
      <c r="BD57" s="219"/>
      <c r="BE57" s="220"/>
      <c r="BF57" s="219"/>
    </row>
    <row r="58" spans="1:58" s="9" customFormat="1" x14ac:dyDescent="0.2">
      <c r="A58" s="327" t="s">
        <v>178</v>
      </c>
      <c r="B58" s="328">
        <f t="shared" ref="B58:F63" si="9">C7*B$56</f>
        <v>0</v>
      </c>
      <c r="C58" s="328">
        <f t="shared" si="9"/>
        <v>0</v>
      </c>
      <c r="D58" s="328">
        <f t="shared" si="9"/>
        <v>0</v>
      </c>
      <c r="E58" s="328">
        <f t="shared" si="9"/>
        <v>0</v>
      </c>
      <c r="F58" s="328">
        <f t="shared" si="9"/>
        <v>0</v>
      </c>
      <c r="G58" s="331">
        <f t="shared" ref="G58:J63" si="10">I7*G$56</f>
        <v>0</v>
      </c>
      <c r="H58" s="328">
        <f t="shared" si="10"/>
        <v>0</v>
      </c>
      <c r="I58" s="328">
        <f t="shared" si="10"/>
        <v>0</v>
      </c>
      <c r="J58" s="328">
        <f t="shared" si="10"/>
        <v>0</v>
      </c>
      <c r="K58" s="339">
        <f t="shared" ref="K58:K63" si="11">N7*K$56</f>
        <v>0</v>
      </c>
      <c r="L58" s="284"/>
      <c r="M58" s="284"/>
      <c r="N58" s="285"/>
      <c r="O58" s="221"/>
      <c r="P58" s="220"/>
      <c r="Q58" s="221"/>
      <c r="R58" s="220"/>
      <c r="S58" s="219"/>
      <c r="T58" s="220"/>
      <c r="U58" s="219"/>
      <c r="V58" s="220"/>
      <c r="W58" s="219"/>
      <c r="X58" s="219"/>
      <c r="Y58" s="220"/>
      <c r="Z58" s="221"/>
      <c r="AA58" s="220"/>
      <c r="AB58" s="221"/>
      <c r="AC58" s="220"/>
      <c r="AD58" s="221"/>
      <c r="AE58" s="220"/>
      <c r="AF58" s="219"/>
      <c r="AG58" s="220"/>
      <c r="AH58" s="221"/>
      <c r="AI58" s="220"/>
      <c r="AJ58" s="222"/>
      <c r="AK58" s="220"/>
      <c r="AL58" s="221"/>
      <c r="AM58" s="220"/>
      <c r="AN58" s="221"/>
      <c r="AO58" s="220"/>
      <c r="AP58" s="221"/>
      <c r="AQ58" s="220"/>
      <c r="AR58" s="221"/>
      <c r="AS58" s="220"/>
      <c r="AT58" s="219"/>
      <c r="AU58" s="220"/>
      <c r="AV58" s="221"/>
      <c r="AW58" s="220"/>
      <c r="AX58" s="221"/>
      <c r="AY58" s="220"/>
      <c r="AZ58" s="219"/>
      <c r="BA58" s="220"/>
      <c r="BB58" s="222"/>
      <c r="BC58" s="220"/>
      <c r="BD58" s="219"/>
      <c r="BE58" s="220"/>
      <c r="BF58" s="219"/>
    </row>
    <row r="59" spans="1:58" s="9" customFormat="1" x14ac:dyDescent="0.2">
      <c r="A59" s="329" t="s">
        <v>179</v>
      </c>
      <c r="B59" s="330">
        <f t="shared" si="9"/>
        <v>0</v>
      </c>
      <c r="C59" s="331">
        <f t="shared" si="9"/>
        <v>0</v>
      </c>
      <c r="D59" s="331">
        <f t="shared" si="9"/>
        <v>0</v>
      </c>
      <c r="E59" s="331">
        <f t="shared" si="9"/>
        <v>0</v>
      </c>
      <c r="F59" s="331">
        <f t="shared" si="9"/>
        <v>0</v>
      </c>
      <c r="G59" s="331">
        <f t="shared" si="10"/>
        <v>0</v>
      </c>
      <c r="H59" s="331">
        <f t="shared" si="10"/>
        <v>0</v>
      </c>
      <c r="I59" s="331">
        <f t="shared" si="10"/>
        <v>0</v>
      </c>
      <c r="J59" s="332">
        <f t="shared" si="10"/>
        <v>0</v>
      </c>
      <c r="K59" s="333">
        <f t="shared" si="11"/>
        <v>0</v>
      </c>
      <c r="L59" s="284"/>
      <c r="M59" s="284"/>
      <c r="N59" s="285"/>
      <c r="O59" s="221"/>
      <c r="P59" s="220"/>
      <c r="Q59" s="221"/>
      <c r="R59" s="220"/>
      <c r="S59" s="219"/>
      <c r="T59" s="220"/>
      <c r="U59" s="219"/>
      <c r="V59" s="220"/>
      <c r="W59" s="219"/>
      <c r="X59" s="219"/>
      <c r="Y59" s="220"/>
      <c r="Z59" s="221"/>
      <c r="AA59" s="220"/>
      <c r="AB59" s="221"/>
      <c r="AC59" s="220"/>
      <c r="AD59" s="221"/>
      <c r="AE59" s="220"/>
      <c r="AF59" s="219"/>
      <c r="AG59" s="220"/>
      <c r="AH59" s="221"/>
      <c r="AI59" s="220"/>
      <c r="AJ59" s="222"/>
      <c r="AK59" s="220"/>
      <c r="AL59" s="221"/>
      <c r="AM59" s="220"/>
      <c r="AN59" s="221"/>
      <c r="AO59" s="220"/>
      <c r="AP59" s="221"/>
      <c r="AQ59" s="220"/>
      <c r="AR59" s="221"/>
      <c r="AS59" s="220"/>
      <c r="AT59" s="219"/>
      <c r="AU59" s="220"/>
      <c r="AV59" s="221"/>
      <c r="AW59" s="220"/>
      <c r="AX59" s="221"/>
      <c r="AY59" s="220"/>
      <c r="AZ59" s="219"/>
      <c r="BA59" s="220"/>
      <c r="BB59" s="222"/>
      <c r="BC59" s="220"/>
      <c r="BD59" s="219"/>
      <c r="BE59" s="220"/>
      <c r="BF59" s="219"/>
    </row>
    <row r="60" spans="1:58" s="9" customFormat="1" x14ac:dyDescent="0.2">
      <c r="A60" s="329" t="s">
        <v>180</v>
      </c>
      <c r="B60" s="330">
        <f t="shared" si="9"/>
        <v>0</v>
      </c>
      <c r="C60" s="331">
        <f t="shared" si="9"/>
        <v>0</v>
      </c>
      <c r="D60" s="331">
        <f t="shared" si="9"/>
        <v>0</v>
      </c>
      <c r="E60" s="331">
        <f t="shared" si="9"/>
        <v>0</v>
      </c>
      <c r="F60" s="331">
        <f t="shared" si="9"/>
        <v>0</v>
      </c>
      <c r="G60" s="331">
        <f t="shared" si="10"/>
        <v>0</v>
      </c>
      <c r="H60" s="331">
        <f t="shared" si="10"/>
        <v>0</v>
      </c>
      <c r="I60" s="331">
        <f t="shared" si="10"/>
        <v>0</v>
      </c>
      <c r="J60" s="332">
        <f t="shared" si="10"/>
        <v>0</v>
      </c>
      <c r="K60" s="333">
        <f t="shared" si="11"/>
        <v>0</v>
      </c>
      <c r="L60" s="284"/>
      <c r="M60" s="284"/>
      <c r="N60" s="285"/>
      <c r="O60" s="221"/>
      <c r="P60" s="220"/>
      <c r="Q60" s="221"/>
      <c r="R60" s="220"/>
      <c r="S60" s="219"/>
      <c r="T60" s="220"/>
      <c r="U60" s="219"/>
      <c r="V60" s="220"/>
      <c r="W60" s="219"/>
      <c r="X60" s="219"/>
      <c r="Y60" s="220"/>
      <c r="Z60" s="221"/>
      <c r="AA60" s="220"/>
      <c r="AB60" s="221"/>
      <c r="AC60" s="220"/>
      <c r="AD60" s="221"/>
      <c r="AE60" s="220"/>
      <c r="AF60" s="219"/>
      <c r="AG60" s="220"/>
      <c r="AH60" s="221"/>
      <c r="AI60" s="220"/>
      <c r="AJ60" s="222"/>
      <c r="AK60" s="220"/>
      <c r="AL60" s="221"/>
      <c r="AM60" s="220"/>
      <c r="AN60" s="221"/>
      <c r="AO60" s="220"/>
      <c r="AP60" s="221"/>
      <c r="AQ60" s="220"/>
      <c r="AR60" s="221"/>
      <c r="AS60" s="220"/>
      <c r="AT60" s="219"/>
      <c r="AU60" s="220"/>
      <c r="AV60" s="221"/>
      <c r="AW60" s="220"/>
      <c r="AX60" s="221"/>
      <c r="AY60" s="220"/>
      <c r="AZ60" s="219"/>
      <c r="BA60" s="220"/>
      <c r="BB60" s="222"/>
      <c r="BC60" s="220"/>
      <c r="BD60" s="219"/>
      <c r="BE60" s="220"/>
      <c r="BF60" s="219"/>
    </row>
    <row r="61" spans="1:58" x14ac:dyDescent="0.2">
      <c r="A61" s="329" t="s">
        <v>181</v>
      </c>
      <c r="B61" s="330">
        <f t="shared" si="9"/>
        <v>0</v>
      </c>
      <c r="C61" s="331">
        <f t="shared" si="9"/>
        <v>0</v>
      </c>
      <c r="D61" s="331">
        <f t="shared" si="9"/>
        <v>0</v>
      </c>
      <c r="E61" s="331">
        <f t="shared" si="9"/>
        <v>0</v>
      </c>
      <c r="F61" s="331">
        <f t="shared" si="9"/>
        <v>0</v>
      </c>
      <c r="G61" s="331">
        <f t="shared" si="10"/>
        <v>0</v>
      </c>
      <c r="H61" s="331">
        <f t="shared" si="10"/>
        <v>0</v>
      </c>
      <c r="I61" s="331">
        <f t="shared" si="10"/>
        <v>0</v>
      </c>
      <c r="J61" s="332">
        <f t="shared" si="10"/>
        <v>0</v>
      </c>
      <c r="K61" s="333">
        <f t="shared" si="11"/>
        <v>0</v>
      </c>
      <c r="L61" s="284"/>
      <c r="M61" s="284"/>
      <c r="N61" s="285"/>
      <c r="O61" s="221"/>
      <c r="P61" s="220"/>
      <c r="Q61" s="221"/>
      <c r="R61" s="220"/>
      <c r="S61" s="219"/>
      <c r="T61" s="220"/>
      <c r="U61" s="219"/>
      <c r="V61" s="220"/>
      <c r="W61" s="219"/>
      <c r="X61" s="219"/>
      <c r="Y61" s="220"/>
      <c r="Z61" s="221"/>
      <c r="AA61" s="220"/>
      <c r="AB61" s="221"/>
      <c r="AC61" s="220"/>
      <c r="AD61" s="221"/>
      <c r="AE61" s="220"/>
      <c r="AF61" s="219"/>
      <c r="AG61" s="220"/>
      <c r="AH61" s="221"/>
      <c r="AI61" s="220"/>
      <c r="AJ61" s="222"/>
      <c r="AK61" s="220"/>
      <c r="AL61" s="221"/>
      <c r="AM61" s="220"/>
      <c r="AN61" s="221"/>
      <c r="AO61" s="220"/>
      <c r="AP61" s="221"/>
      <c r="AQ61" s="220"/>
      <c r="AR61" s="221"/>
      <c r="AS61" s="220"/>
      <c r="AT61" s="219"/>
      <c r="AU61" s="220"/>
      <c r="AV61" s="221"/>
      <c r="AW61" s="220"/>
      <c r="AX61" s="221"/>
      <c r="AY61" s="220"/>
      <c r="AZ61" s="219"/>
      <c r="BA61" s="220"/>
      <c r="BB61" s="222"/>
      <c r="BC61" s="220"/>
      <c r="BD61" s="219"/>
      <c r="BE61" s="220"/>
      <c r="BF61" s="219"/>
    </row>
    <row r="62" spans="1:58" x14ac:dyDescent="0.2">
      <c r="A62" s="329" t="s">
        <v>182</v>
      </c>
      <c r="B62" s="330">
        <f t="shared" si="9"/>
        <v>0</v>
      </c>
      <c r="C62" s="331">
        <f t="shared" si="9"/>
        <v>0</v>
      </c>
      <c r="D62" s="331">
        <f t="shared" si="9"/>
        <v>0</v>
      </c>
      <c r="E62" s="331">
        <f t="shared" si="9"/>
        <v>0</v>
      </c>
      <c r="F62" s="331">
        <f t="shared" si="9"/>
        <v>0</v>
      </c>
      <c r="G62" s="331">
        <f t="shared" si="10"/>
        <v>0</v>
      </c>
      <c r="H62" s="331">
        <f t="shared" si="10"/>
        <v>0</v>
      </c>
      <c r="I62" s="331">
        <f t="shared" si="10"/>
        <v>0</v>
      </c>
      <c r="J62" s="332">
        <f t="shared" si="10"/>
        <v>0</v>
      </c>
      <c r="K62" s="333">
        <f t="shared" si="11"/>
        <v>0</v>
      </c>
      <c r="L62" s="284"/>
      <c r="M62" s="284"/>
      <c r="N62" s="285"/>
      <c r="O62" s="221"/>
      <c r="P62" s="220"/>
      <c r="Q62" s="221"/>
      <c r="R62" s="220"/>
      <c r="S62" s="219"/>
      <c r="T62" s="220"/>
      <c r="U62" s="219"/>
      <c r="V62" s="220"/>
      <c r="W62" s="219"/>
      <c r="X62" s="219"/>
      <c r="Y62" s="220"/>
      <c r="Z62" s="221"/>
      <c r="AA62" s="220"/>
      <c r="AB62" s="221"/>
      <c r="AC62" s="220"/>
      <c r="AD62" s="221"/>
      <c r="AE62" s="220"/>
      <c r="AF62" s="219"/>
      <c r="AG62" s="220"/>
      <c r="AH62" s="221"/>
      <c r="AI62" s="220"/>
      <c r="AJ62" s="222"/>
      <c r="AK62" s="220"/>
      <c r="AL62" s="221"/>
      <c r="AM62" s="220"/>
      <c r="AN62" s="221"/>
      <c r="AO62" s="220"/>
      <c r="AP62" s="221"/>
      <c r="AQ62" s="220"/>
      <c r="AR62" s="221"/>
      <c r="AS62" s="220"/>
      <c r="AT62" s="219"/>
      <c r="AU62" s="220"/>
      <c r="AV62" s="221"/>
      <c r="AW62" s="220"/>
      <c r="AX62" s="221"/>
      <c r="AY62" s="220"/>
      <c r="AZ62" s="219"/>
      <c r="BA62" s="220"/>
      <c r="BB62" s="222"/>
      <c r="BC62" s="220"/>
      <c r="BD62" s="219"/>
      <c r="BE62" s="220"/>
      <c r="BF62" s="219"/>
    </row>
    <row r="63" spans="1:58" x14ac:dyDescent="0.2">
      <c r="A63" s="329" t="s">
        <v>183</v>
      </c>
      <c r="B63" s="330">
        <f t="shared" si="9"/>
        <v>0</v>
      </c>
      <c r="C63" s="331">
        <f t="shared" si="9"/>
        <v>0</v>
      </c>
      <c r="D63" s="331">
        <f t="shared" si="9"/>
        <v>0</v>
      </c>
      <c r="E63" s="331">
        <f t="shared" si="9"/>
        <v>0</v>
      </c>
      <c r="F63" s="331">
        <f t="shared" si="9"/>
        <v>0</v>
      </c>
      <c r="G63" s="331">
        <f t="shared" si="10"/>
        <v>0</v>
      </c>
      <c r="H63" s="331">
        <f t="shared" si="10"/>
        <v>0</v>
      </c>
      <c r="I63" s="331">
        <f t="shared" si="10"/>
        <v>0</v>
      </c>
      <c r="J63" s="332">
        <f t="shared" si="10"/>
        <v>0</v>
      </c>
      <c r="K63" s="333">
        <f t="shared" si="11"/>
        <v>0</v>
      </c>
      <c r="L63" s="284"/>
      <c r="M63" s="284"/>
      <c r="N63" s="285"/>
      <c r="O63" s="221"/>
      <c r="P63" s="220"/>
      <c r="Q63" s="221"/>
      <c r="R63" s="220"/>
      <c r="S63" s="219"/>
      <c r="T63" s="220"/>
      <c r="U63" s="219"/>
      <c r="V63" s="220"/>
      <c r="W63" s="219"/>
      <c r="X63" s="219"/>
      <c r="Y63" s="220"/>
      <c r="Z63" s="221"/>
      <c r="AA63" s="220"/>
      <c r="AB63" s="221"/>
      <c r="AC63" s="220"/>
      <c r="AD63" s="221"/>
      <c r="AE63" s="220"/>
      <c r="AF63" s="219"/>
      <c r="AG63" s="220"/>
      <c r="AH63" s="221"/>
      <c r="AI63" s="220"/>
      <c r="AJ63" s="222"/>
      <c r="AK63" s="220"/>
      <c r="AL63" s="221"/>
      <c r="AM63" s="220"/>
      <c r="AN63" s="221"/>
      <c r="AO63" s="220"/>
      <c r="AP63" s="221"/>
      <c r="AQ63" s="220"/>
      <c r="AR63" s="221"/>
      <c r="AS63" s="220"/>
      <c r="AT63" s="219"/>
      <c r="AU63" s="220"/>
      <c r="AV63" s="221"/>
      <c r="AW63" s="220"/>
      <c r="AX63" s="221"/>
      <c r="AY63" s="220"/>
      <c r="AZ63" s="219"/>
      <c r="BA63" s="220"/>
      <c r="BB63" s="222"/>
      <c r="BC63" s="220"/>
      <c r="BD63" s="219"/>
      <c r="BE63" s="220"/>
      <c r="BF63" s="219"/>
    </row>
    <row r="64" spans="1:58" x14ac:dyDescent="0.2">
      <c r="A64" s="329" t="s">
        <v>184</v>
      </c>
      <c r="B64" s="330">
        <f t="shared" ref="B64:F73" si="12">C16*B$56</f>
        <v>0</v>
      </c>
      <c r="C64" s="330">
        <f t="shared" si="12"/>
        <v>0</v>
      </c>
      <c r="D64" s="330">
        <f t="shared" si="12"/>
        <v>0</v>
      </c>
      <c r="E64" s="330">
        <f t="shared" si="12"/>
        <v>0</v>
      </c>
      <c r="F64" s="330">
        <f t="shared" si="12"/>
        <v>0</v>
      </c>
      <c r="G64" s="331">
        <f t="shared" ref="G64:G80" si="13">I16*G$56</f>
        <v>0</v>
      </c>
      <c r="H64" s="331">
        <f t="shared" ref="H64:H80" si="14">J16*H$56</f>
        <v>0</v>
      </c>
      <c r="I64" s="330">
        <f t="shared" ref="I64:I80" si="15">K16*I$56</f>
        <v>24357.32</v>
      </c>
      <c r="J64" s="330">
        <f t="shared" ref="J64:J80" si="16">L16*J$56</f>
        <v>0</v>
      </c>
      <c r="K64" s="333">
        <f>N16*K$56</f>
        <v>0</v>
      </c>
      <c r="L64" s="284"/>
      <c r="M64" s="284"/>
      <c r="N64" s="285"/>
      <c r="O64" s="221"/>
      <c r="P64" s="220"/>
      <c r="Q64" s="221"/>
      <c r="R64" s="220"/>
      <c r="S64" s="219"/>
      <c r="T64" s="220"/>
      <c r="U64" s="219"/>
      <c r="V64" s="220"/>
      <c r="W64" s="219"/>
      <c r="X64" s="219"/>
      <c r="Y64" s="220"/>
      <c r="Z64" s="221"/>
      <c r="AA64" s="220"/>
      <c r="AB64" s="221"/>
      <c r="AC64" s="220"/>
      <c r="AD64" s="221"/>
      <c r="AE64" s="220"/>
      <c r="AF64" s="219"/>
      <c r="AG64" s="220"/>
      <c r="AH64" s="221"/>
      <c r="AI64" s="220"/>
      <c r="AJ64" s="222"/>
      <c r="AK64" s="220"/>
      <c r="AL64" s="221"/>
      <c r="AM64" s="220"/>
      <c r="AN64" s="221"/>
      <c r="AO64" s="220"/>
      <c r="AP64" s="221"/>
      <c r="AQ64" s="220"/>
      <c r="AR64" s="221"/>
      <c r="AS64" s="220"/>
      <c r="AT64" s="219"/>
      <c r="AU64" s="220"/>
      <c r="AV64" s="221"/>
      <c r="AW64" s="220"/>
      <c r="AX64" s="221"/>
      <c r="AY64" s="220"/>
      <c r="AZ64" s="219"/>
      <c r="BA64" s="220"/>
      <c r="BB64" s="222"/>
      <c r="BC64" s="220"/>
      <c r="BD64" s="219"/>
      <c r="BE64" s="220"/>
      <c r="BF64" s="219"/>
    </row>
    <row r="65" spans="1:58" x14ac:dyDescent="0.2">
      <c r="A65" s="329" t="s">
        <v>185</v>
      </c>
      <c r="B65" s="330">
        <f t="shared" si="12"/>
        <v>0</v>
      </c>
      <c r="C65" s="330">
        <f t="shared" si="12"/>
        <v>0</v>
      </c>
      <c r="D65" s="330">
        <f t="shared" si="12"/>
        <v>0</v>
      </c>
      <c r="E65" s="330">
        <f t="shared" si="12"/>
        <v>0</v>
      </c>
      <c r="F65" s="330">
        <f t="shared" si="12"/>
        <v>0</v>
      </c>
      <c r="G65" s="331">
        <f t="shared" si="13"/>
        <v>0</v>
      </c>
      <c r="H65" s="331">
        <f t="shared" si="14"/>
        <v>0</v>
      </c>
      <c r="I65" s="330">
        <f t="shared" si="15"/>
        <v>0</v>
      </c>
      <c r="J65" s="330">
        <f t="shared" si="16"/>
        <v>0</v>
      </c>
      <c r="K65" s="333">
        <f t="shared" ref="K65:K80" si="17">N17*K$56</f>
        <v>0</v>
      </c>
      <c r="L65" s="284"/>
      <c r="M65" s="284"/>
      <c r="N65" s="285"/>
      <c r="O65" s="221"/>
      <c r="P65" s="220"/>
      <c r="Q65" s="221"/>
      <c r="R65" s="220"/>
      <c r="S65" s="219"/>
      <c r="T65" s="220"/>
      <c r="U65" s="219"/>
      <c r="V65" s="220"/>
      <c r="W65" s="219"/>
      <c r="X65" s="219"/>
      <c r="Y65" s="220"/>
      <c r="Z65" s="221"/>
      <c r="AA65" s="220"/>
      <c r="AB65" s="221"/>
      <c r="AC65" s="220"/>
      <c r="AD65" s="221"/>
      <c r="AE65" s="220"/>
      <c r="AF65" s="219"/>
      <c r="AG65" s="220"/>
      <c r="AH65" s="221"/>
      <c r="AI65" s="220"/>
      <c r="AJ65" s="222"/>
      <c r="AK65" s="220"/>
      <c r="AL65" s="221"/>
      <c r="AM65" s="220"/>
      <c r="AN65" s="221"/>
      <c r="AO65" s="220"/>
      <c r="AP65" s="221"/>
      <c r="AQ65" s="220"/>
      <c r="AR65" s="221"/>
      <c r="AS65" s="220"/>
      <c r="AT65" s="219"/>
      <c r="AU65" s="220"/>
      <c r="AV65" s="221"/>
      <c r="AW65" s="220"/>
      <c r="AX65" s="221"/>
      <c r="AY65" s="220"/>
      <c r="AZ65" s="219"/>
      <c r="BA65" s="220"/>
      <c r="BB65" s="222"/>
      <c r="BC65" s="220"/>
      <c r="BD65" s="219"/>
      <c r="BE65" s="220"/>
      <c r="BF65" s="219"/>
    </row>
    <row r="66" spans="1:58" x14ac:dyDescent="0.2">
      <c r="A66" s="329" t="s">
        <v>186</v>
      </c>
      <c r="B66" s="330">
        <f t="shared" si="12"/>
        <v>0</v>
      </c>
      <c r="C66" s="330">
        <f t="shared" si="12"/>
        <v>0</v>
      </c>
      <c r="D66" s="330">
        <f t="shared" si="12"/>
        <v>0</v>
      </c>
      <c r="E66" s="330">
        <f t="shared" si="12"/>
        <v>0</v>
      </c>
      <c r="F66" s="330">
        <f t="shared" si="12"/>
        <v>0</v>
      </c>
      <c r="G66" s="331">
        <f t="shared" si="13"/>
        <v>0</v>
      </c>
      <c r="H66" s="331">
        <f t="shared" si="14"/>
        <v>0</v>
      </c>
      <c r="I66" s="330">
        <f t="shared" si="15"/>
        <v>0</v>
      </c>
      <c r="J66" s="330">
        <f t="shared" si="16"/>
        <v>0</v>
      </c>
      <c r="K66" s="333">
        <f t="shared" si="17"/>
        <v>0</v>
      </c>
      <c r="L66" s="284"/>
      <c r="M66" s="284"/>
      <c r="N66" s="285"/>
      <c r="O66" s="221"/>
      <c r="P66" s="220"/>
      <c r="Q66" s="221"/>
      <c r="R66" s="220"/>
      <c r="S66" s="219"/>
      <c r="T66" s="220"/>
      <c r="U66" s="219"/>
      <c r="V66" s="220"/>
      <c r="W66" s="219"/>
      <c r="X66" s="219"/>
      <c r="Y66" s="220"/>
      <c r="Z66" s="221"/>
      <c r="AA66" s="220"/>
      <c r="AB66" s="221"/>
      <c r="AC66" s="220"/>
      <c r="AD66" s="221"/>
      <c r="AE66" s="220"/>
      <c r="AF66" s="219"/>
      <c r="AG66" s="220"/>
      <c r="AH66" s="221"/>
      <c r="AI66" s="220"/>
      <c r="AJ66" s="222"/>
      <c r="AK66" s="220"/>
      <c r="AL66" s="221"/>
      <c r="AM66" s="220"/>
      <c r="AN66" s="221"/>
      <c r="AO66" s="220"/>
      <c r="AP66" s="221"/>
      <c r="AQ66" s="220"/>
      <c r="AR66" s="221"/>
      <c r="AS66" s="220"/>
      <c r="AT66" s="219"/>
      <c r="AU66" s="220"/>
      <c r="AV66" s="221"/>
      <c r="AW66" s="220"/>
      <c r="AX66" s="221"/>
      <c r="AY66" s="220"/>
      <c r="AZ66" s="219"/>
      <c r="BA66" s="220"/>
      <c r="BB66" s="222"/>
      <c r="BC66" s="220"/>
      <c r="BD66" s="219"/>
      <c r="BE66" s="220"/>
      <c r="BF66" s="219"/>
    </row>
    <row r="67" spans="1:58" x14ac:dyDescent="0.2">
      <c r="A67" s="329" t="s">
        <v>187</v>
      </c>
      <c r="B67" s="330">
        <f t="shared" si="12"/>
        <v>0</v>
      </c>
      <c r="C67" s="330">
        <f t="shared" si="12"/>
        <v>0</v>
      </c>
      <c r="D67" s="330">
        <f t="shared" si="12"/>
        <v>0</v>
      </c>
      <c r="E67" s="330">
        <f t="shared" si="12"/>
        <v>0</v>
      </c>
      <c r="F67" s="330">
        <f t="shared" si="12"/>
        <v>0</v>
      </c>
      <c r="G67" s="331">
        <f t="shared" si="13"/>
        <v>0</v>
      </c>
      <c r="H67" s="331">
        <f t="shared" si="14"/>
        <v>0</v>
      </c>
      <c r="I67" s="330">
        <f t="shared" si="15"/>
        <v>35750.26</v>
      </c>
      <c r="J67" s="330">
        <f t="shared" si="16"/>
        <v>0</v>
      </c>
      <c r="K67" s="333">
        <f t="shared" si="17"/>
        <v>0</v>
      </c>
      <c r="L67" s="284"/>
      <c r="M67" s="284"/>
      <c r="N67" s="285"/>
      <c r="O67" s="221"/>
      <c r="P67" s="220"/>
      <c r="Q67" s="221"/>
      <c r="R67" s="220"/>
      <c r="S67" s="219"/>
      <c r="T67" s="220"/>
      <c r="U67" s="219"/>
      <c r="V67" s="220"/>
      <c r="W67" s="219"/>
      <c r="X67" s="219"/>
      <c r="Y67" s="220"/>
      <c r="Z67" s="221"/>
      <c r="AA67" s="220"/>
      <c r="AB67" s="221"/>
      <c r="AC67" s="220"/>
      <c r="AD67" s="221"/>
      <c r="AE67" s="220"/>
      <c r="AF67" s="219"/>
      <c r="AG67" s="220"/>
      <c r="AH67" s="221"/>
      <c r="AI67" s="220"/>
      <c r="AJ67" s="222"/>
      <c r="AK67" s="220"/>
      <c r="AL67" s="221"/>
      <c r="AM67" s="220"/>
      <c r="AN67" s="221"/>
      <c r="AO67" s="220"/>
      <c r="AP67" s="221"/>
      <c r="AQ67" s="220"/>
      <c r="AR67" s="221"/>
      <c r="AS67" s="220"/>
      <c r="AT67" s="219"/>
      <c r="AU67" s="220"/>
      <c r="AV67" s="221"/>
      <c r="AW67" s="220"/>
      <c r="AX67" s="221"/>
      <c r="AY67" s="220"/>
      <c r="AZ67" s="219"/>
      <c r="BA67" s="220"/>
      <c r="BB67" s="222"/>
      <c r="BC67" s="220"/>
      <c r="BD67" s="219"/>
      <c r="BE67" s="220"/>
      <c r="BF67" s="219"/>
    </row>
    <row r="68" spans="1:58" x14ac:dyDescent="0.2">
      <c r="A68" s="329" t="s">
        <v>188</v>
      </c>
      <c r="B68" s="330">
        <f t="shared" si="12"/>
        <v>0</v>
      </c>
      <c r="C68" s="330">
        <f t="shared" si="12"/>
        <v>0</v>
      </c>
      <c r="D68" s="330">
        <f t="shared" si="12"/>
        <v>0</v>
      </c>
      <c r="E68" s="330">
        <f t="shared" si="12"/>
        <v>0</v>
      </c>
      <c r="F68" s="330">
        <f t="shared" si="12"/>
        <v>0</v>
      </c>
      <c r="G68" s="331">
        <f t="shared" si="13"/>
        <v>0</v>
      </c>
      <c r="H68" s="331">
        <f t="shared" si="14"/>
        <v>0</v>
      </c>
      <c r="I68" s="330">
        <f t="shared" si="15"/>
        <v>0</v>
      </c>
      <c r="J68" s="330">
        <f t="shared" si="16"/>
        <v>0</v>
      </c>
      <c r="K68" s="333">
        <f t="shared" si="17"/>
        <v>0</v>
      </c>
      <c r="L68" s="284"/>
      <c r="M68" s="284"/>
      <c r="N68" s="285"/>
      <c r="O68" s="221"/>
      <c r="P68" s="220"/>
      <c r="Q68" s="221"/>
      <c r="R68" s="220"/>
      <c r="S68" s="219"/>
      <c r="T68" s="220"/>
      <c r="U68" s="219"/>
      <c r="V68" s="220"/>
      <c r="W68" s="219"/>
      <c r="X68" s="219"/>
      <c r="Y68" s="220"/>
      <c r="Z68" s="221"/>
      <c r="AA68" s="220"/>
      <c r="AB68" s="221"/>
      <c r="AC68" s="220"/>
      <c r="AD68" s="221"/>
      <c r="AE68" s="220"/>
      <c r="AF68" s="219"/>
      <c r="AG68" s="220"/>
      <c r="AH68" s="221"/>
      <c r="AI68" s="220"/>
      <c r="AJ68" s="222"/>
      <c r="AK68" s="220"/>
      <c r="AL68" s="221"/>
      <c r="AM68" s="220"/>
      <c r="AN68" s="221"/>
      <c r="AO68" s="220"/>
      <c r="AP68" s="221"/>
      <c r="AQ68" s="220"/>
      <c r="AR68" s="221"/>
      <c r="AS68" s="220"/>
      <c r="AT68" s="219"/>
      <c r="AU68" s="220"/>
      <c r="AV68" s="221"/>
      <c r="AW68" s="220"/>
      <c r="AX68" s="221"/>
      <c r="AY68" s="220"/>
      <c r="AZ68" s="219"/>
      <c r="BA68" s="220"/>
      <c r="BB68" s="222"/>
      <c r="BC68" s="220"/>
      <c r="BD68" s="219"/>
      <c r="BE68" s="220"/>
      <c r="BF68" s="219"/>
    </row>
    <row r="69" spans="1:58" x14ac:dyDescent="0.2">
      <c r="A69" s="329" t="s">
        <v>194</v>
      </c>
      <c r="B69" s="330">
        <f t="shared" si="12"/>
        <v>0</v>
      </c>
      <c r="C69" s="330">
        <f t="shared" si="12"/>
        <v>0</v>
      </c>
      <c r="D69" s="330">
        <f t="shared" si="12"/>
        <v>0</v>
      </c>
      <c r="E69" s="330">
        <f t="shared" si="12"/>
        <v>0</v>
      </c>
      <c r="F69" s="330">
        <f t="shared" si="12"/>
        <v>0</v>
      </c>
      <c r="G69" s="331">
        <f t="shared" si="13"/>
        <v>0</v>
      </c>
      <c r="H69" s="331">
        <f t="shared" si="14"/>
        <v>0</v>
      </c>
      <c r="I69" s="330">
        <f t="shared" si="15"/>
        <v>0</v>
      </c>
      <c r="J69" s="330">
        <f t="shared" si="16"/>
        <v>0</v>
      </c>
      <c r="K69" s="333">
        <f t="shared" si="17"/>
        <v>0</v>
      </c>
      <c r="L69" s="284"/>
      <c r="M69" s="284"/>
      <c r="N69" s="285"/>
      <c r="O69" s="221"/>
      <c r="P69" s="220"/>
      <c r="Q69" s="221"/>
      <c r="R69" s="220"/>
      <c r="S69" s="219"/>
      <c r="T69" s="220"/>
      <c r="U69" s="219"/>
      <c r="V69" s="220"/>
      <c r="W69" s="219"/>
      <c r="X69" s="219"/>
      <c r="Y69" s="220"/>
      <c r="Z69" s="221"/>
      <c r="AA69" s="220"/>
      <c r="AB69" s="221"/>
      <c r="AC69" s="220"/>
      <c r="AD69" s="221"/>
      <c r="AE69" s="220"/>
      <c r="AF69" s="219"/>
      <c r="AG69" s="220"/>
      <c r="AH69" s="221"/>
      <c r="AI69" s="220"/>
      <c r="AJ69" s="222"/>
      <c r="AK69" s="220"/>
      <c r="AL69" s="221"/>
      <c r="AM69" s="220"/>
      <c r="AN69" s="221"/>
      <c r="AO69" s="220"/>
      <c r="AP69" s="221"/>
      <c r="AQ69" s="220"/>
      <c r="AR69" s="221"/>
      <c r="AS69" s="220"/>
      <c r="AT69" s="219"/>
      <c r="AU69" s="220"/>
      <c r="AV69" s="221"/>
      <c r="AW69" s="220"/>
      <c r="AX69" s="221"/>
      <c r="AY69" s="220"/>
      <c r="AZ69" s="219"/>
      <c r="BA69" s="220"/>
      <c r="BB69" s="222"/>
      <c r="BC69" s="220"/>
      <c r="BD69" s="219"/>
      <c r="BE69" s="220"/>
      <c r="BF69" s="219"/>
    </row>
    <row r="70" spans="1:58" x14ac:dyDescent="0.2">
      <c r="A70" s="329" t="s">
        <v>195</v>
      </c>
      <c r="B70" s="330">
        <f t="shared" si="12"/>
        <v>0</v>
      </c>
      <c r="C70" s="330">
        <f t="shared" si="12"/>
        <v>0</v>
      </c>
      <c r="D70" s="330">
        <f t="shared" si="12"/>
        <v>0</v>
      </c>
      <c r="E70" s="330">
        <f t="shared" si="12"/>
        <v>0</v>
      </c>
      <c r="F70" s="330">
        <f t="shared" si="12"/>
        <v>0</v>
      </c>
      <c r="G70" s="331">
        <f t="shared" si="13"/>
        <v>0</v>
      </c>
      <c r="H70" s="331">
        <f t="shared" si="14"/>
        <v>0</v>
      </c>
      <c r="I70" s="330">
        <f t="shared" si="15"/>
        <v>0</v>
      </c>
      <c r="J70" s="330">
        <f t="shared" si="16"/>
        <v>0</v>
      </c>
      <c r="K70" s="333">
        <f t="shared" si="17"/>
        <v>0</v>
      </c>
      <c r="L70" s="284"/>
      <c r="M70" s="284"/>
      <c r="N70" s="285"/>
      <c r="O70" s="221"/>
      <c r="P70" s="220"/>
      <c r="Q70" s="221"/>
      <c r="R70" s="220"/>
      <c r="S70" s="219"/>
      <c r="T70" s="220"/>
      <c r="U70" s="219"/>
      <c r="V70" s="220"/>
      <c r="W70" s="219"/>
      <c r="X70" s="219"/>
      <c r="Y70" s="220"/>
      <c r="Z70" s="221"/>
      <c r="AA70" s="220"/>
      <c r="AB70" s="221"/>
      <c r="AC70" s="220"/>
      <c r="AD70" s="221"/>
      <c r="AE70" s="220"/>
      <c r="AF70" s="219"/>
      <c r="AG70" s="220"/>
      <c r="AH70" s="221"/>
      <c r="AI70" s="220"/>
      <c r="AJ70" s="222"/>
      <c r="AK70" s="220"/>
      <c r="AL70" s="221"/>
      <c r="AM70" s="220"/>
      <c r="AN70" s="221"/>
      <c r="AO70" s="220"/>
      <c r="AP70" s="221"/>
      <c r="AQ70" s="220"/>
      <c r="AR70" s="221"/>
      <c r="AS70" s="220"/>
      <c r="AT70" s="219"/>
      <c r="AU70" s="220"/>
      <c r="AV70" s="221"/>
      <c r="AW70" s="220"/>
      <c r="AX70" s="221"/>
      <c r="AY70" s="220"/>
      <c r="AZ70" s="219"/>
      <c r="BA70" s="220"/>
      <c r="BB70" s="222"/>
      <c r="BC70" s="220"/>
      <c r="BD70" s="219"/>
      <c r="BE70" s="220"/>
      <c r="BF70" s="219"/>
    </row>
    <row r="71" spans="1:58" x14ac:dyDescent="0.2">
      <c r="A71" s="329" t="s">
        <v>196</v>
      </c>
      <c r="B71" s="330">
        <f t="shared" si="12"/>
        <v>0</v>
      </c>
      <c r="C71" s="330">
        <f t="shared" si="12"/>
        <v>0</v>
      </c>
      <c r="D71" s="330">
        <f t="shared" si="12"/>
        <v>0</v>
      </c>
      <c r="E71" s="330">
        <f t="shared" si="12"/>
        <v>0</v>
      </c>
      <c r="F71" s="330">
        <f t="shared" si="12"/>
        <v>0</v>
      </c>
      <c r="G71" s="331">
        <f t="shared" si="13"/>
        <v>0</v>
      </c>
      <c r="H71" s="331">
        <f t="shared" si="14"/>
        <v>0</v>
      </c>
      <c r="I71" s="330">
        <f t="shared" si="15"/>
        <v>0</v>
      </c>
      <c r="J71" s="330">
        <f t="shared" si="16"/>
        <v>0</v>
      </c>
      <c r="K71" s="333">
        <f t="shared" si="17"/>
        <v>0</v>
      </c>
      <c r="L71" s="284"/>
      <c r="M71" s="284"/>
      <c r="N71" s="285"/>
      <c r="O71" s="221"/>
      <c r="P71" s="220"/>
      <c r="Q71" s="221"/>
      <c r="R71" s="220"/>
      <c r="S71" s="219"/>
      <c r="T71" s="220"/>
      <c r="U71" s="219"/>
      <c r="V71" s="220"/>
      <c r="W71" s="219"/>
      <c r="X71" s="219"/>
      <c r="Y71" s="220"/>
      <c r="Z71" s="221"/>
      <c r="AA71" s="220"/>
      <c r="AB71" s="221"/>
      <c r="AC71" s="220"/>
      <c r="AD71" s="221"/>
      <c r="AE71" s="220"/>
      <c r="AF71" s="219"/>
      <c r="AG71" s="220"/>
      <c r="AH71" s="221"/>
      <c r="AI71" s="220"/>
      <c r="AJ71" s="222"/>
      <c r="AK71" s="220"/>
      <c r="AL71" s="221"/>
      <c r="AM71" s="220"/>
      <c r="AN71" s="221"/>
      <c r="AO71" s="220"/>
      <c r="AP71" s="221"/>
      <c r="AQ71" s="220"/>
      <c r="AR71" s="221"/>
      <c r="AS71" s="220"/>
      <c r="AT71" s="219"/>
      <c r="AU71" s="220"/>
      <c r="AV71" s="221"/>
      <c r="AW71" s="220"/>
      <c r="AX71" s="221"/>
      <c r="AY71" s="220"/>
      <c r="AZ71" s="219"/>
      <c r="BA71" s="220"/>
      <c r="BB71" s="222"/>
      <c r="BC71" s="220"/>
      <c r="BD71" s="219"/>
      <c r="BE71" s="220"/>
      <c r="BF71" s="219"/>
    </row>
    <row r="72" spans="1:58" x14ac:dyDescent="0.2">
      <c r="A72" s="329" t="s">
        <v>197</v>
      </c>
      <c r="B72" s="330">
        <f t="shared" si="12"/>
        <v>0</v>
      </c>
      <c r="C72" s="330">
        <f t="shared" si="12"/>
        <v>0</v>
      </c>
      <c r="D72" s="330">
        <f t="shared" si="12"/>
        <v>0</v>
      </c>
      <c r="E72" s="330">
        <f t="shared" si="12"/>
        <v>0</v>
      </c>
      <c r="F72" s="330">
        <f t="shared" si="12"/>
        <v>0</v>
      </c>
      <c r="G72" s="331">
        <f t="shared" si="13"/>
        <v>0</v>
      </c>
      <c r="H72" s="331">
        <f t="shared" si="14"/>
        <v>0</v>
      </c>
      <c r="I72" s="330">
        <f t="shared" si="15"/>
        <v>0</v>
      </c>
      <c r="J72" s="330">
        <f t="shared" si="16"/>
        <v>0</v>
      </c>
      <c r="K72" s="333">
        <f t="shared" si="17"/>
        <v>0</v>
      </c>
      <c r="L72" s="284"/>
      <c r="M72" s="284"/>
      <c r="N72" s="285"/>
      <c r="O72" s="221"/>
      <c r="P72" s="220"/>
      <c r="Q72" s="221"/>
      <c r="R72" s="220"/>
      <c r="S72" s="219"/>
      <c r="T72" s="220"/>
      <c r="U72" s="219"/>
      <c r="V72" s="220"/>
      <c r="W72" s="219"/>
      <c r="X72" s="219"/>
      <c r="Y72" s="220"/>
      <c r="Z72" s="221"/>
      <c r="AA72" s="220"/>
      <c r="AB72" s="221"/>
      <c r="AC72" s="220"/>
      <c r="AD72" s="221"/>
      <c r="AE72" s="220"/>
      <c r="AF72" s="219"/>
      <c r="AG72" s="220"/>
      <c r="AH72" s="221"/>
      <c r="AI72" s="220"/>
      <c r="AJ72" s="222"/>
      <c r="AK72" s="220"/>
      <c r="AL72" s="221"/>
      <c r="AM72" s="220"/>
      <c r="AN72" s="221"/>
      <c r="AO72" s="220"/>
      <c r="AP72" s="221"/>
      <c r="AQ72" s="220"/>
      <c r="AR72" s="221"/>
      <c r="AS72" s="220"/>
      <c r="AT72" s="219"/>
      <c r="AU72" s="220"/>
      <c r="AV72" s="221"/>
      <c r="AW72" s="220"/>
      <c r="AX72" s="221"/>
      <c r="AY72" s="220"/>
      <c r="AZ72" s="219"/>
      <c r="BA72" s="220"/>
      <c r="BB72" s="222"/>
      <c r="BC72" s="220"/>
      <c r="BD72" s="219"/>
      <c r="BE72" s="220"/>
      <c r="BF72" s="219"/>
    </row>
    <row r="73" spans="1:58" x14ac:dyDescent="0.2">
      <c r="A73" s="329" t="s">
        <v>198</v>
      </c>
      <c r="B73" s="330">
        <f t="shared" si="12"/>
        <v>0</v>
      </c>
      <c r="C73" s="330">
        <f t="shared" si="12"/>
        <v>0</v>
      </c>
      <c r="D73" s="330">
        <f t="shared" si="12"/>
        <v>0</v>
      </c>
      <c r="E73" s="330">
        <f t="shared" si="12"/>
        <v>0</v>
      </c>
      <c r="F73" s="330">
        <f t="shared" si="12"/>
        <v>0</v>
      </c>
      <c r="G73" s="331">
        <f t="shared" si="13"/>
        <v>0</v>
      </c>
      <c r="H73" s="331">
        <f t="shared" si="14"/>
        <v>0</v>
      </c>
      <c r="I73" s="330">
        <f t="shared" si="15"/>
        <v>0</v>
      </c>
      <c r="J73" s="330">
        <f t="shared" si="16"/>
        <v>0</v>
      </c>
      <c r="K73" s="333">
        <f t="shared" si="17"/>
        <v>0</v>
      </c>
      <c r="L73" s="284"/>
      <c r="M73" s="284"/>
      <c r="N73" s="285"/>
      <c r="O73" s="221"/>
      <c r="P73" s="220"/>
      <c r="Q73" s="221"/>
      <c r="R73" s="220"/>
      <c r="S73" s="219"/>
      <c r="T73" s="220"/>
      <c r="U73" s="219"/>
      <c r="V73" s="220"/>
      <c r="W73" s="219"/>
      <c r="X73" s="219"/>
      <c r="Y73" s="220"/>
      <c r="Z73" s="221"/>
      <c r="AA73" s="220"/>
      <c r="AB73" s="221"/>
      <c r="AC73" s="220"/>
      <c r="AD73" s="221"/>
      <c r="AE73" s="220"/>
      <c r="AF73" s="219"/>
      <c r="AG73" s="220"/>
      <c r="AH73" s="221"/>
      <c r="AI73" s="220"/>
      <c r="AJ73" s="222"/>
      <c r="AK73" s="220"/>
      <c r="AL73" s="221"/>
      <c r="AM73" s="220"/>
      <c r="AN73" s="221"/>
      <c r="AO73" s="220"/>
      <c r="AP73" s="221"/>
      <c r="AQ73" s="220"/>
      <c r="AR73" s="221"/>
      <c r="AS73" s="220"/>
      <c r="AT73" s="219"/>
      <c r="AU73" s="220"/>
      <c r="AV73" s="221"/>
      <c r="AW73" s="220"/>
      <c r="AX73" s="221"/>
      <c r="AY73" s="220"/>
      <c r="AZ73" s="219"/>
      <c r="BA73" s="220"/>
      <c r="BB73" s="222"/>
      <c r="BC73" s="220"/>
      <c r="BD73" s="219"/>
      <c r="BE73" s="220"/>
      <c r="BF73" s="219"/>
    </row>
    <row r="74" spans="1:58" x14ac:dyDescent="0.2">
      <c r="A74" s="329" t="s">
        <v>199</v>
      </c>
      <c r="B74" s="330">
        <f t="shared" ref="B74:F80" si="18">C26*B$56</f>
        <v>0</v>
      </c>
      <c r="C74" s="330">
        <f t="shared" si="18"/>
        <v>0</v>
      </c>
      <c r="D74" s="330">
        <f t="shared" si="18"/>
        <v>0</v>
      </c>
      <c r="E74" s="330">
        <f t="shared" si="18"/>
        <v>0</v>
      </c>
      <c r="F74" s="330">
        <f t="shared" si="18"/>
        <v>0</v>
      </c>
      <c r="G74" s="331">
        <f t="shared" si="13"/>
        <v>0</v>
      </c>
      <c r="H74" s="331">
        <f t="shared" si="14"/>
        <v>0</v>
      </c>
      <c r="I74" s="330">
        <f t="shared" si="15"/>
        <v>0</v>
      </c>
      <c r="J74" s="330">
        <f t="shared" si="16"/>
        <v>0</v>
      </c>
      <c r="K74" s="333">
        <f t="shared" si="17"/>
        <v>0</v>
      </c>
      <c r="L74" s="284"/>
      <c r="M74" s="284"/>
      <c r="N74" s="285"/>
      <c r="O74" s="221"/>
      <c r="P74" s="220"/>
      <c r="Q74" s="221"/>
      <c r="R74" s="220"/>
      <c r="S74" s="219"/>
      <c r="T74" s="220"/>
      <c r="U74" s="219"/>
      <c r="V74" s="220"/>
      <c r="W74" s="219"/>
      <c r="X74" s="219"/>
      <c r="Y74" s="220"/>
      <c r="Z74" s="221"/>
      <c r="AA74" s="220"/>
      <c r="AB74" s="221"/>
      <c r="AC74" s="220"/>
      <c r="AD74" s="221"/>
      <c r="AE74" s="220"/>
      <c r="AF74" s="219"/>
      <c r="AG74" s="220"/>
      <c r="AH74" s="221"/>
      <c r="AI74" s="220"/>
      <c r="AJ74" s="222"/>
      <c r="AK74" s="220"/>
      <c r="AL74" s="221"/>
      <c r="AM74" s="220"/>
      <c r="AN74" s="221"/>
      <c r="AO74" s="220"/>
      <c r="AP74" s="221"/>
      <c r="AQ74" s="220"/>
      <c r="AR74" s="221"/>
      <c r="AS74" s="220"/>
      <c r="AT74" s="219"/>
      <c r="AU74" s="220"/>
      <c r="AV74" s="221"/>
      <c r="AW74" s="220"/>
      <c r="AX74" s="221"/>
      <c r="AY74" s="220"/>
      <c r="AZ74" s="219"/>
      <c r="BA74" s="220"/>
      <c r="BB74" s="222"/>
      <c r="BC74" s="220"/>
      <c r="BD74" s="219"/>
      <c r="BE74" s="220"/>
      <c r="BF74" s="219"/>
    </row>
    <row r="75" spans="1:58" x14ac:dyDescent="0.2">
      <c r="A75" s="329" t="s">
        <v>200</v>
      </c>
      <c r="B75" s="330">
        <f t="shared" si="18"/>
        <v>0</v>
      </c>
      <c r="C75" s="330">
        <f t="shared" si="18"/>
        <v>0</v>
      </c>
      <c r="D75" s="330">
        <f t="shared" si="18"/>
        <v>0</v>
      </c>
      <c r="E75" s="330">
        <f t="shared" si="18"/>
        <v>0</v>
      </c>
      <c r="F75" s="330">
        <f t="shared" si="18"/>
        <v>0</v>
      </c>
      <c r="G75" s="331">
        <f t="shared" si="13"/>
        <v>0</v>
      </c>
      <c r="H75" s="331">
        <f t="shared" si="14"/>
        <v>0</v>
      </c>
      <c r="I75" s="330">
        <f t="shared" si="15"/>
        <v>0</v>
      </c>
      <c r="J75" s="330">
        <f t="shared" si="16"/>
        <v>0</v>
      </c>
      <c r="K75" s="333">
        <f t="shared" si="17"/>
        <v>0</v>
      </c>
      <c r="L75" s="284"/>
      <c r="M75" s="284"/>
      <c r="N75" s="285"/>
      <c r="O75" s="221"/>
      <c r="P75" s="220"/>
      <c r="Q75" s="221"/>
      <c r="R75" s="220"/>
      <c r="S75" s="219"/>
      <c r="T75" s="220"/>
      <c r="U75" s="219"/>
      <c r="V75" s="220"/>
      <c r="W75" s="219"/>
      <c r="X75" s="219"/>
      <c r="Y75" s="220"/>
      <c r="Z75" s="221"/>
      <c r="AA75" s="220"/>
      <c r="AB75" s="221"/>
      <c r="AC75" s="220"/>
      <c r="AD75" s="221"/>
      <c r="AE75" s="220"/>
      <c r="AF75" s="219"/>
      <c r="AG75" s="220"/>
      <c r="AH75" s="221"/>
      <c r="AI75" s="220"/>
      <c r="AJ75" s="222"/>
      <c r="AK75" s="220"/>
      <c r="AL75" s="221"/>
      <c r="AM75" s="220"/>
      <c r="AN75" s="221"/>
      <c r="AO75" s="220"/>
      <c r="AP75" s="221"/>
      <c r="AQ75" s="220"/>
      <c r="AR75" s="221"/>
      <c r="AS75" s="220"/>
      <c r="AT75" s="219"/>
      <c r="AU75" s="220"/>
      <c r="AV75" s="221"/>
      <c r="AW75" s="220"/>
      <c r="AX75" s="221"/>
      <c r="AY75" s="220"/>
      <c r="AZ75" s="219"/>
      <c r="BA75" s="220"/>
      <c r="BB75" s="222"/>
      <c r="BC75" s="220"/>
      <c r="BD75" s="219"/>
      <c r="BE75" s="220"/>
      <c r="BF75" s="219"/>
    </row>
    <row r="76" spans="1:58" x14ac:dyDescent="0.2">
      <c r="A76" s="329" t="s">
        <v>201</v>
      </c>
      <c r="B76" s="330">
        <f t="shared" si="18"/>
        <v>0</v>
      </c>
      <c r="C76" s="330">
        <f t="shared" si="18"/>
        <v>0</v>
      </c>
      <c r="D76" s="330">
        <f t="shared" si="18"/>
        <v>0</v>
      </c>
      <c r="E76" s="330">
        <f t="shared" si="18"/>
        <v>0</v>
      </c>
      <c r="F76" s="330">
        <f t="shared" si="18"/>
        <v>0</v>
      </c>
      <c r="G76" s="331">
        <f t="shared" si="13"/>
        <v>0</v>
      </c>
      <c r="H76" s="331">
        <f t="shared" si="14"/>
        <v>0</v>
      </c>
      <c r="I76" s="330">
        <f t="shared" si="15"/>
        <v>0</v>
      </c>
      <c r="J76" s="330">
        <f t="shared" si="16"/>
        <v>0</v>
      </c>
      <c r="K76" s="333">
        <f t="shared" si="17"/>
        <v>0</v>
      </c>
      <c r="L76" s="284"/>
      <c r="M76" s="284"/>
      <c r="N76" s="285"/>
      <c r="O76" s="221"/>
      <c r="P76" s="220"/>
      <c r="Q76" s="221"/>
      <c r="R76" s="220"/>
      <c r="S76" s="219"/>
      <c r="T76" s="220"/>
      <c r="U76" s="219"/>
      <c r="V76" s="220"/>
      <c r="W76" s="219"/>
      <c r="X76" s="219"/>
      <c r="Y76" s="220"/>
      <c r="Z76" s="221"/>
      <c r="AA76" s="220"/>
      <c r="AB76" s="221"/>
      <c r="AC76" s="220"/>
      <c r="AD76" s="221"/>
      <c r="AE76" s="220"/>
      <c r="AF76" s="219"/>
      <c r="AG76" s="220"/>
      <c r="AH76" s="221"/>
      <c r="AI76" s="220"/>
      <c r="AJ76" s="222"/>
      <c r="AK76" s="220"/>
      <c r="AL76" s="221"/>
      <c r="AM76" s="220"/>
      <c r="AN76" s="221"/>
      <c r="AO76" s="220"/>
      <c r="AP76" s="221"/>
      <c r="AQ76" s="220"/>
      <c r="AR76" s="221"/>
      <c r="AS76" s="220"/>
      <c r="AT76" s="219"/>
      <c r="AU76" s="220"/>
      <c r="AV76" s="221"/>
      <c r="AW76" s="220"/>
      <c r="AX76" s="221"/>
      <c r="AY76" s="220"/>
      <c r="AZ76" s="219"/>
      <c r="BA76" s="220"/>
      <c r="BB76" s="222"/>
      <c r="BC76" s="220"/>
      <c r="BD76" s="219"/>
      <c r="BE76" s="220"/>
      <c r="BF76" s="219"/>
    </row>
    <row r="77" spans="1:58" x14ac:dyDescent="0.2">
      <c r="A77" s="329" t="s">
        <v>202</v>
      </c>
      <c r="B77" s="330">
        <f t="shared" si="18"/>
        <v>0</v>
      </c>
      <c r="C77" s="330">
        <f t="shared" si="18"/>
        <v>0</v>
      </c>
      <c r="D77" s="330">
        <f t="shared" si="18"/>
        <v>0</v>
      </c>
      <c r="E77" s="330">
        <f t="shared" si="18"/>
        <v>0</v>
      </c>
      <c r="F77" s="330">
        <f t="shared" si="18"/>
        <v>0</v>
      </c>
      <c r="G77" s="331">
        <f t="shared" si="13"/>
        <v>0</v>
      </c>
      <c r="H77" s="331">
        <f t="shared" si="14"/>
        <v>0</v>
      </c>
      <c r="I77" s="330">
        <f t="shared" si="15"/>
        <v>0</v>
      </c>
      <c r="J77" s="330">
        <f t="shared" si="16"/>
        <v>0</v>
      </c>
      <c r="K77" s="333">
        <f t="shared" si="17"/>
        <v>0</v>
      </c>
      <c r="L77" s="284"/>
      <c r="M77" s="284"/>
      <c r="N77" s="285"/>
      <c r="O77" s="221"/>
      <c r="P77" s="220"/>
      <c r="Q77" s="221"/>
      <c r="R77" s="220"/>
      <c r="S77" s="219"/>
      <c r="T77" s="220"/>
      <c r="U77" s="219"/>
      <c r="V77" s="220"/>
      <c r="W77" s="219"/>
      <c r="X77" s="219"/>
      <c r="Y77" s="220"/>
      <c r="Z77" s="221"/>
      <c r="AA77" s="220"/>
      <c r="AB77" s="221"/>
      <c r="AC77" s="220"/>
      <c r="AD77" s="221"/>
      <c r="AE77" s="220"/>
      <c r="AF77" s="219"/>
      <c r="AG77" s="220"/>
      <c r="AH77" s="221"/>
      <c r="AI77" s="220"/>
      <c r="AJ77" s="222"/>
      <c r="AK77" s="220"/>
      <c r="AL77" s="221"/>
      <c r="AM77" s="220"/>
      <c r="AN77" s="221"/>
      <c r="AO77" s="220"/>
      <c r="AP77" s="221"/>
      <c r="AQ77" s="220"/>
      <c r="AR77" s="221"/>
      <c r="AS77" s="220"/>
      <c r="AT77" s="219"/>
      <c r="AU77" s="220"/>
      <c r="AV77" s="221"/>
      <c r="AW77" s="220"/>
      <c r="AX77" s="221"/>
      <c r="AY77" s="220"/>
      <c r="AZ77" s="219"/>
      <c r="BA77" s="220"/>
      <c r="BB77" s="222"/>
      <c r="BC77" s="220"/>
      <c r="BD77" s="219"/>
      <c r="BE77" s="220"/>
      <c r="BF77" s="219"/>
    </row>
    <row r="78" spans="1:58" x14ac:dyDescent="0.2">
      <c r="A78" s="329" t="s">
        <v>203</v>
      </c>
      <c r="B78" s="330">
        <f t="shared" si="18"/>
        <v>0</v>
      </c>
      <c r="C78" s="330">
        <f t="shared" si="18"/>
        <v>0</v>
      </c>
      <c r="D78" s="330">
        <f t="shared" si="18"/>
        <v>0</v>
      </c>
      <c r="E78" s="330">
        <f t="shared" si="18"/>
        <v>0</v>
      </c>
      <c r="F78" s="330">
        <f t="shared" si="18"/>
        <v>0</v>
      </c>
      <c r="G78" s="331">
        <f t="shared" si="13"/>
        <v>0</v>
      </c>
      <c r="H78" s="331">
        <f t="shared" si="14"/>
        <v>0</v>
      </c>
      <c r="I78" s="330">
        <f t="shared" si="15"/>
        <v>0</v>
      </c>
      <c r="J78" s="330">
        <f t="shared" si="16"/>
        <v>0</v>
      </c>
      <c r="K78" s="333">
        <f t="shared" si="17"/>
        <v>0</v>
      </c>
      <c r="L78" s="284"/>
      <c r="M78" s="284"/>
      <c r="N78" s="285"/>
      <c r="O78" s="221"/>
      <c r="P78" s="220"/>
      <c r="Q78" s="221"/>
      <c r="R78" s="220"/>
      <c r="S78" s="219"/>
      <c r="T78" s="220"/>
      <c r="U78" s="219"/>
      <c r="V78" s="220"/>
      <c r="W78" s="219"/>
      <c r="X78" s="219"/>
      <c r="Y78" s="220"/>
      <c r="Z78" s="221"/>
      <c r="AA78" s="220"/>
      <c r="AB78" s="221"/>
      <c r="AC78" s="220"/>
      <c r="AD78" s="221"/>
      <c r="AE78" s="220"/>
      <c r="AF78" s="219"/>
      <c r="AG78" s="220"/>
      <c r="AH78" s="221"/>
      <c r="AI78" s="220"/>
      <c r="AJ78" s="222"/>
      <c r="AK78" s="220"/>
      <c r="AL78" s="221"/>
      <c r="AM78" s="220"/>
      <c r="AN78" s="221"/>
      <c r="AO78" s="220"/>
      <c r="AP78" s="221"/>
      <c r="AQ78" s="220"/>
      <c r="AR78" s="221"/>
      <c r="AS78" s="220"/>
      <c r="AT78" s="219"/>
      <c r="AU78" s="220"/>
      <c r="AV78" s="221"/>
      <c r="AW78" s="220"/>
      <c r="AX78" s="221"/>
      <c r="AY78" s="220"/>
      <c r="AZ78" s="219"/>
      <c r="BA78" s="220"/>
      <c r="BB78" s="222"/>
      <c r="BC78" s="220"/>
      <c r="BD78" s="219"/>
      <c r="BE78" s="220"/>
      <c r="BF78" s="219"/>
    </row>
    <row r="79" spans="1:58" x14ac:dyDescent="0.2">
      <c r="A79" s="329" t="s">
        <v>204</v>
      </c>
      <c r="B79" s="330">
        <f t="shared" si="18"/>
        <v>0</v>
      </c>
      <c r="C79" s="330">
        <f t="shared" si="18"/>
        <v>0</v>
      </c>
      <c r="D79" s="330">
        <f t="shared" si="18"/>
        <v>0</v>
      </c>
      <c r="E79" s="330">
        <f t="shared" si="18"/>
        <v>0</v>
      </c>
      <c r="F79" s="330">
        <f t="shared" si="18"/>
        <v>0</v>
      </c>
      <c r="G79" s="331">
        <f t="shared" si="13"/>
        <v>0</v>
      </c>
      <c r="H79" s="331">
        <f t="shared" si="14"/>
        <v>0</v>
      </c>
      <c r="I79" s="330">
        <f t="shared" si="15"/>
        <v>0</v>
      </c>
      <c r="J79" s="330">
        <f t="shared" si="16"/>
        <v>0</v>
      </c>
      <c r="K79" s="333">
        <f t="shared" si="17"/>
        <v>0</v>
      </c>
      <c r="L79" s="284"/>
      <c r="M79" s="284"/>
      <c r="N79" s="285"/>
      <c r="O79" s="221"/>
      <c r="P79" s="220"/>
      <c r="Q79" s="221"/>
      <c r="R79" s="220"/>
      <c r="S79" s="219"/>
      <c r="T79" s="220"/>
      <c r="U79" s="219"/>
      <c r="V79" s="220"/>
      <c r="W79" s="219"/>
      <c r="X79" s="219"/>
      <c r="Y79" s="220"/>
      <c r="Z79" s="221"/>
      <c r="AA79" s="220"/>
      <c r="AB79" s="221"/>
      <c r="AC79" s="220"/>
      <c r="AD79" s="221"/>
      <c r="AE79" s="220"/>
      <c r="AF79" s="219"/>
      <c r="AG79" s="220"/>
      <c r="AH79" s="221"/>
      <c r="AI79" s="220"/>
      <c r="AJ79" s="222"/>
      <c r="AK79" s="220"/>
      <c r="AL79" s="221"/>
      <c r="AM79" s="220"/>
      <c r="AN79" s="221"/>
      <c r="AO79" s="220"/>
      <c r="AP79" s="221"/>
      <c r="AQ79" s="220"/>
      <c r="AR79" s="221"/>
      <c r="AS79" s="220"/>
      <c r="AT79" s="219"/>
      <c r="AU79" s="220"/>
      <c r="AV79" s="221"/>
      <c r="AW79" s="220"/>
      <c r="AX79" s="221"/>
      <c r="AY79" s="220"/>
      <c r="AZ79" s="219"/>
      <c r="BA79" s="220"/>
      <c r="BB79" s="222"/>
      <c r="BC79" s="220"/>
      <c r="BD79" s="219"/>
      <c r="BE79" s="220"/>
      <c r="BF79" s="219"/>
    </row>
    <row r="80" spans="1:58" ht="13.5" thickBot="1" x14ac:dyDescent="0.25">
      <c r="A80" s="334" t="s">
        <v>205</v>
      </c>
      <c r="B80" s="330">
        <f t="shared" si="18"/>
        <v>0</v>
      </c>
      <c r="C80" s="330">
        <f t="shared" si="18"/>
        <v>0</v>
      </c>
      <c r="D80" s="330">
        <f t="shared" si="18"/>
        <v>0</v>
      </c>
      <c r="E80" s="330">
        <f t="shared" si="18"/>
        <v>0</v>
      </c>
      <c r="F80" s="330">
        <f t="shared" si="18"/>
        <v>0</v>
      </c>
      <c r="G80" s="331">
        <f t="shared" si="13"/>
        <v>0</v>
      </c>
      <c r="H80" s="331">
        <f t="shared" si="14"/>
        <v>0</v>
      </c>
      <c r="I80" s="330">
        <f t="shared" si="15"/>
        <v>0</v>
      </c>
      <c r="J80" s="330">
        <f t="shared" si="16"/>
        <v>0</v>
      </c>
      <c r="K80" s="340">
        <f t="shared" si="17"/>
        <v>0</v>
      </c>
      <c r="L80" s="284"/>
      <c r="M80" s="284"/>
      <c r="N80" s="285"/>
      <c r="O80" s="221"/>
      <c r="P80" s="220"/>
      <c r="Q80" s="221"/>
      <c r="R80" s="220"/>
      <c r="S80" s="219"/>
      <c r="T80" s="220"/>
      <c r="U80" s="219"/>
      <c r="V80" s="220"/>
      <c r="W80" s="219"/>
      <c r="X80" s="219"/>
      <c r="Y80" s="220"/>
      <c r="Z80" s="221"/>
      <c r="AA80" s="220"/>
      <c r="AB80" s="221"/>
      <c r="AC80" s="220"/>
      <c r="AD80" s="221"/>
      <c r="AE80" s="220"/>
      <c r="AF80" s="219"/>
      <c r="AG80" s="220"/>
      <c r="AH80" s="221"/>
      <c r="AI80" s="220"/>
      <c r="AJ80" s="222"/>
      <c r="AK80" s="220"/>
      <c r="AL80" s="221"/>
      <c r="AM80" s="220"/>
      <c r="AN80" s="221"/>
      <c r="AO80" s="220"/>
      <c r="AP80" s="221"/>
      <c r="AQ80" s="220"/>
      <c r="AR80" s="221"/>
      <c r="AS80" s="220"/>
      <c r="AT80" s="219"/>
      <c r="AU80" s="220"/>
      <c r="AV80" s="221"/>
      <c r="AW80" s="220"/>
      <c r="AX80" s="221"/>
      <c r="AY80" s="220"/>
      <c r="AZ80" s="219"/>
      <c r="BA80" s="220"/>
      <c r="BB80" s="222"/>
      <c r="BC80" s="220"/>
      <c r="BD80" s="219"/>
      <c r="BE80" s="220"/>
      <c r="BF80" s="219"/>
    </row>
    <row r="81" spans="1:58" ht="13.5" thickBot="1" x14ac:dyDescent="0.25">
      <c r="A81" s="335" t="s">
        <v>189</v>
      </c>
      <c r="B81" s="324">
        <f>SUM(B58:B80)</f>
        <v>0</v>
      </c>
      <c r="C81" s="324">
        <f>SUM(C58:C80)</f>
        <v>0</v>
      </c>
      <c r="D81" s="324">
        <f t="shared" ref="D81:K81" si="19">SUM(D58:D80)</f>
        <v>0</v>
      </c>
      <c r="E81" s="324">
        <f t="shared" si="19"/>
        <v>0</v>
      </c>
      <c r="F81" s="324">
        <f t="shared" si="19"/>
        <v>0</v>
      </c>
      <c r="G81" s="324">
        <f t="shared" si="19"/>
        <v>0</v>
      </c>
      <c r="H81" s="324">
        <f t="shared" si="19"/>
        <v>0</v>
      </c>
      <c r="I81" s="324">
        <f t="shared" si="19"/>
        <v>60107.58</v>
      </c>
      <c r="J81" s="324">
        <f t="shared" si="19"/>
        <v>0</v>
      </c>
      <c r="K81" s="324">
        <f t="shared" si="19"/>
        <v>0</v>
      </c>
      <c r="L81" s="284"/>
      <c r="M81" s="284"/>
      <c r="N81" s="285"/>
      <c r="O81" s="221"/>
      <c r="P81" s="220"/>
      <c r="Q81" s="221"/>
      <c r="R81" s="220"/>
      <c r="S81" s="219"/>
      <c r="T81" s="220"/>
      <c r="U81" s="219"/>
      <c r="V81" s="220"/>
      <c r="W81" s="219"/>
      <c r="X81" s="219"/>
      <c r="Y81" s="220"/>
      <c r="Z81" s="221"/>
      <c r="AA81" s="220"/>
      <c r="AB81" s="221"/>
      <c r="AC81" s="220"/>
      <c r="AD81" s="221"/>
      <c r="AE81" s="220"/>
      <c r="AF81" s="219"/>
      <c r="AG81" s="220"/>
      <c r="AH81" s="221"/>
      <c r="AI81" s="220"/>
      <c r="AJ81" s="222"/>
      <c r="AK81" s="220"/>
      <c r="AL81" s="221"/>
      <c r="AM81" s="220"/>
      <c r="AN81" s="221"/>
      <c r="AO81" s="220"/>
      <c r="AP81" s="221"/>
      <c r="AQ81" s="220"/>
      <c r="AR81" s="221"/>
      <c r="AS81" s="220"/>
      <c r="AT81" s="219"/>
      <c r="AU81" s="220"/>
      <c r="AV81" s="221"/>
      <c r="AW81" s="220"/>
      <c r="AX81" s="221"/>
      <c r="AY81" s="220"/>
      <c r="AZ81" s="219"/>
      <c r="BA81" s="220"/>
      <c r="BB81" s="222"/>
      <c r="BC81" s="220"/>
      <c r="BD81" s="219"/>
      <c r="BE81" s="220"/>
      <c r="BF81" s="219"/>
    </row>
    <row r="82" spans="1:58" x14ac:dyDescent="0.2">
      <c r="A82" s="124" t="s">
        <v>64</v>
      </c>
      <c r="B82" s="284"/>
      <c r="C82" s="284"/>
      <c r="D82" s="284"/>
      <c r="E82" s="284"/>
      <c r="F82" s="284"/>
      <c r="G82" s="284"/>
      <c r="H82" s="284"/>
      <c r="I82" s="283"/>
      <c r="J82" s="284"/>
      <c r="K82" s="284"/>
      <c r="L82" s="284"/>
      <c r="M82" s="284"/>
      <c r="N82" s="285"/>
      <c r="O82" s="221"/>
      <c r="P82" s="220"/>
      <c r="Q82" s="221"/>
      <c r="R82" s="220"/>
      <c r="S82" s="219"/>
      <c r="T82" s="220"/>
      <c r="U82" s="219"/>
      <c r="V82" s="220"/>
      <c r="W82" s="219"/>
      <c r="X82" s="219"/>
      <c r="Y82" s="220"/>
      <c r="Z82" s="221"/>
      <c r="AA82" s="220"/>
      <c r="AB82" s="221"/>
      <c r="AC82" s="220"/>
      <c r="AD82" s="221"/>
      <c r="AE82" s="220"/>
      <c r="AF82" s="219"/>
      <c r="AG82" s="220"/>
      <c r="AH82" s="221"/>
      <c r="AI82" s="220"/>
      <c r="AJ82" s="222"/>
      <c r="AK82" s="220"/>
      <c r="AL82" s="221"/>
      <c r="AM82" s="220"/>
      <c r="AN82" s="221"/>
      <c r="AO82" s="220"/>
      <c r="AP82" s="221"/>
      <c r="AQ82" s="220"/>
      <c r="AR82" s="221"/>
      <c r="AS82" s="220"/>
      <c r="AT82" s="219"/>
      <c r="AU82" s="220"/>
      <c r="AV82" s="221"/>
      <c r="AW82" s="220"/>
      <c r="AX82" s="221"/>
      <c r="AY82" s="220"/>
      <c r="AZ82" s="219"/>
      <c r="BA82" s="220"/>
      <c r="BB82" s="222"/>
      <c r="BC82" s="220"/>
      <c r="BD82" s="219"/>
      <c r="BE82" s="220"/>
      <c r="BF82" s="219"/>
    </row>
    <row r="83" spans="1:58" x14ac:dyDescent="0.2">
      <c r="A83" s="124" t="s">
        <v>190</v>
      </c>
      <c r="B83" s="284"/>
      <c r="C83" s="284"/>
      <c r="D83" s="284"/>
      <c r="E83" s="284"/>
      <c r="F83" s="284"/>
      <c r="G83" s="284"/>
      <c r="H83" s="284"/>
      <c r="I83" s="283"/>
      <c r="J83" s="284"/>
      <c r="K83" s="284"/>
      <c r="L83" s="284"/>
      <c r="M83" s="284"/>
      <c r="N83" s="285"/>
      <c r="O83" s="221"/>
      <c r="P83" s="220"/>
      <c r="Q83" s="221"/>
      <c r="R83" s="220"/>
      <c r="S83" s="219"/>
      <c r="T83" s="220"/>
      <c r="U83" s="219"/>
      <c r="V83" s="220"/>
      <c r="W83" s="219"/>
      <c r="X83" s="219"/>
      <c r="Y83" s="220"/>
      <c r="Z83" s="221"/>
      <c r="AA83" s="220"/>
      <c r="AB83" s="221"/>
      <c r="AC83" s="220"/>
      <c r="AD83" s="221"/>
      <c r="AE83" s="220"/>
      <c r="AF83" s="219"/>
      <c r="AG83" s="220"/>
      <c r="AH83" s="221"/>
      <c r="AI83" s="220"/>
      <c r="AJ83" s="222"/>
      <c r="AK83" s="220"/>
      <c r="AL83" s="221"/>
      <c r="AM83" s="220"/>
      <c r="AN83" s="221"/>
      <c r="AO83" s="220"/>
      <c r="AP83" s="221"/>
      <c r="AQ83" s="220"/>
      <c r="AR83" s="221"/>
      <c r="AS83" s="220"/>
      <c r="AT83" s="219"/>
      <c r="AU83" s="220"/>
      <c r="AV83" s="221"/>
      <c r="AW83" s="220"/>
      <c r="AX83" s="221"/>
      <c r="AY83" s="220"/>
      <c r="AZ83" s="219"/>
      <c r="BA83" s="220"/>
      <c r="BB83" s="222"/>
      <c r="BC83" s="220"/>
      <c r="BD83" s="219"/>
      <c r="BE83" s="220"/>
      <c r="BF83" s="219"/>
    </row>
    <row r="84" spans="1:58" x14ac:dyDescent="0.2">
      <c r="A84" s="105" t="s">
        <v>191</v>
      </c>
      <c r="B84" s="284"/>
      <c r="C84" s="284"/>
      <c r="D84" s="284"/>
      <c r="E84" s="284"/>
      <c r="F84" s="284"/>
      <c r="G84" s="284"/>
      <c r="H84" s="284"/>
      <c r="I84" s="283"/>
      <c r="J84" s="284"/>
      <c r="K84" s="284"/>
      <c r="L84" s="284"/>
      <c r="M84" s="284"/>
      <c r="N84" s="285"/>
      <c r="O84" s="221"/>
      <c r="P84" s="220"/>
      <c r="Q84" s="221"/>
      <c r="R84" s="220"/>
      <c r="S84" s="219"/>
      <c r="T84" s="220"/>
      <c r="U84" s="219"/>
      <c r="V84" s="220"/>
      <c r="W84" s="219"/>
      <c r="X84" s="219"/>
      <c r="Y84" s="220"/>
      <c r="Z84" s="221"/>
      <c r="AA84" s="220"/>
      <c r="AB84" s="221"/>
      <c r="AC84" s="220"/>
      <c r="AD84" s="221"/>
      <c r="AE84" s="220"/>
      <c r="AF84" s="219"/>
      <c r="AG84" s="220"/>
      <c r="AH84" s="221"/>
      <c r="AI84" s="220"/>
      <c r="AJ84" s="222"/>
      <c r="AK84" s="220"/>
      <c r="AL84" s="221"/>
      <c r="AM84" s="220"/>
      <c r="AN84" s="221"/>
      <c r="AO84" s="220"/>
      <c r="AP84" s="221"/>
      <c r="AQ84" s="220"/>
      <c r="AR84" s="221"/>
      <c r="AS84" s="220"/>
      <c r="AT84" s="219"/>
      <c r="AU84" s="220"/>
      <c r="AV84" s="221"/>
      <c r="AW84" s="220"/>
      <c r="AX84" s="221"/>
      <c r="AY84" s="220"/>
      <c r="AZ84" s="219"/>
      <c r="BA84" s="220"/>
      <c r="BB84" s="222"/>
      <c r="BC84" s="220"/>
      <c r="BD84" s="219"/>
      <c r="BE84" s="220"/>
      <c r="BF84" s="219"/>
    </row>
    <row r="85" spans="1:58" x14ac:dyDescent="0.2">
      <c r="A85" s="105" t="s">
        <v>192</v>
      </c>
      <c r="B85" s="284"/>
      <c r="C85" s="284"/>
      <c r="D85" s="284"/>
      <c r="E85" s="284"/>
      <c r="F85" s="284"/>
      <c r="G85" s="284"/>
      <c r="H85" s="284"/>
      <c r="I85" s="283"/>
      <c r="J85" s="284"/>
      <c r="K85" s="284"/>
      <c r="L85" s="284"/>
      <c r="M85" s="284"/>
      <c r="N85" s="285"/>
      <c r="O85" s="221"/>
      <c r="P85" s="220"/>
      <c r="Q85" s="221"/>
      <c r="R85" s="220"/>
      <c r="S85" s="219"/>
      <c r="T85" s="220"/>
      <c r="U85" s="219"/>
      <c r="V85" s="220"/>
      <c r="W85" s="219"/>
      <c r="X85" s="219"/>
      <c r="Y85" s="220"/>
      <c r="Z85" s="221"/>
      <c r="AA85" s="220"/>
      <c r="AB85" s="221"/>
      <c r="AC85" s="220"/>
      <c r="AD85" s="221"/>
      <c r="AE85" s="220"/>
      <c r="AF85" s="219"/>
      <c r="AG85" s="220"/>
      <c r="AH85" s="221"/>
      <c r="AI85" s="220"/>
      <c r="AJ85" s="222"/>
      <c r="AK85" s="220"/>
      <c r="AL85" s="221"/>
      <c r="AM85" s="220"/>
      <c r="AN85" s="221"/>
      <c r="AO85" s="220"/>
      <c r="AP85" s="221"/>
      <c r="AQ85" s="220"/>
      <c r="AR85" s="221"/>
      <c r="AS85" s="220"/>
      <c r="AT85" s="219"/>
      <c r="AU85" s="220"/>
      <c r="AV85" s="221"/>
      <c r="AW85" s="220"/>
      <c r="AX85" s="221"/>
      <c r="AY85" s="220"/>
      <c r="AZ85" s="219"/>
      <c r="BA85" s="220"/>
      <c r="BB85" s="222"/>
      <c r="BC85" s="220"/>
      <c r="BD85" s="219"/>
      <c r="BE85" s="220"/>
      <c r="BF85" s="219"/>
    </row>
    <row r="86" spans="1:58" x14ac:dyDescent="0.2">
      <c r="A86" s="105" t="s">
        <v>193</v>
      </c>
      <c r="B86" s="284"/>
      <c r="C86" s="284"/>
      <c r="D86" s="284"/>
      <c r="E86" s="284"/>
      <c r="F86" s="284"/>
      <c r="G86" s="284"/>
      <c r="H86" s="284"/>
      <c r="I86" s="283"/>
      <c r="J86" s="284"/>
      <c r="K86" s="284"/>
      <c r="L86" s="284"/>
      <c r="M86" s="284"/>
      <c r="N86" s="285"/>
      <c r="O86" s="221"/>
      <c r="P86" s="220"/>
      <c r="Q86" s="221"/>
      <c r="R86" s="220"/>
      <c r="S86" s="219"/>
      <c r="T86" s="220"/>
      <c r="U86" s="219"/>
      <c r="V86" s="220"/>
      <c r="W86" s="219"/>
      <c r="X86" s="219"/>
      <c r="Y86" s="220"/>
      <c r="Z86" s="221"/>
      <c r="AA86" s="220"/>
      <c r="AB86" s="221"/>
      <c r="AC86" s="220"/>
      <c r="AD86" s="221"/>
      <c r="AE86" s="220"/>
      <c r="AF86" s="219"/>
      <c r="AG86" s="220"/>
      <c r="AH86" s="221"/>
      <c r="AI86" s="220"/>
      <c r="AJ86" s="222"/>
      <c r="AK86" s="220"/>
      <c r="AL86" s="221"/>
      <c r="AM86" s="220"/>
      <c r="AN86" s="221"/>
      <c r="AO86" s="220"/>
      <c r="AP86" s="221"/>
      <c r="AQ86" s="220"/>
      <c r="AR86" s="221"/>
      <c r="AS86" s="220"/>
      <c r="AT86" s="219"/>
      <c r="AU86" s="220"/>
      <c r="AV86" s="221"/>
      <c r="AW86" s="220"/>
      <c r="AX86" s="221"/>
      <c r="AY86" s="220"/>
      <c r="AZ86" s="219"/>
      <c r="BA86" s="220"/>
      <c r="BB86" s="222"/>
      <c r="BC86" s="220"/>
      <c r="BD86" s="219"/>
      <c r="BE86" s="220"/>
      <c r="BF86" s="219"/>
    </row>
    <row r="87" spans="1:58" ht="13.5" thickBot="1" x14ac:dyDescent="0.25">
      <c r="A87" s="14"/>
      <c r="B87" s="14"/>
      <c r="C87" s="14"/>
      <c r="D87" s="14"/>
      <c r="E87" s="14"/>
      <c r="F87" s="14"/>
      <c r="G87" s="14"/>
      <c r="H87" s="14"/>
      <c r="I87" s="14"/>
      <c r="J87" s="14"/>
      <c r="K87" s="14"/>
      <c r="L87" s="14"/>
      <c r="M87" s="14"/>
      <c r="N87" s="14"/>
      <c r="O87" s="14"/>
      <c r="P87" s="14"/>
      <c r="Q87" s="14"/>
      <c r="R87" s="14"/>
      <c r="S87" s="14"/>
      <c r="T87" s="14"/>
      <c r="U87" s="14"/>
      <c r="V87" s="14"/>
      <c r="W87" s="14"/>
      <c r="X87" s="14"/>
      <c r="Y87" s="14"/>
    </row>
    <row r="88" spans="1:58" ht="16.5" thickBot="1" x14ac:dyDescent="0.3">
      <c r="A88" s="139" t="s">
        <v>56</v>
      </c>
      <c r="B88" s="14"/>
      <c r="C88" s="14"/>
      <c r="D88" s="14"/>
      <c r="E88" s="14"/>
      <c r="F88" s="14"/>
      <c r="G88" s="14"/>
      <c r="H88" s="14"/>
      <c r="I88" s="14"/>
      <c r="J88" s="14"/>
      <c r="K88" s="14"/>
      <c r="L88" s="14"/>
      <c r="M88" s="14"/>
      <c r="N88" s="14"/>
      <c r="O88" s="14"/>
      <c r="P88" s="14"/>
      <c r="Q88" s="14"/>
      <c r="R88" s="14"/>
      <c r="S88" s="14"/>
      <c r="T88" s="14"/>
      <c r="U88" s="14"/>
      <c r="V88" s="14"/>
      <c r="W88" s="14"/>
      <c r="X88" s="14"/>
      <c r="Y88" s="14"/>
    </row>
    <row r="89" spans="1:58" ht="77.25" thickBot="1" x14ac:dyDescent="0.25">
      <c r="A89" s="248" t="s">
        <v>2</v>
      </c>
      <c r="B89" s="249" t="s">
        <v>70</v>
      </c>
      <c r="C89" s="250" t="s">
        <v>86</v>
      </c>
      <c r="D89" s="22"/>
      <c r="E89" s="14"/>
      <c r="F89" s="14"/>
      <c r="G89" s="14"/>
      <c r="H89" s="14"/>
      <c r="I89" s="14"/>
      <c r="J89" s="14"/>
      <c r="K89" s="14"/>
      <c r="L89" s="14"/>
      <c r="M89" s="14"/>
      <c r="N89" s="14"/>
      <c r="O89" s="14"/>
      <c r="P89" s="14"/>
      <c r="Q89" s="14"/>
      <c r="R89" s="14"/>
      <c r="S89" s="14"/>
      <c r="T89" s="14"/>
      <c r="U89" s="14"/>
      <c r="V89" s="14"/>
      <c r="W89" s="14"/>
      <c r="X89" s="14"/>
      <c r="Y89" s="14"/>
    </row>
    <row r="90" spans="1:58" x14ac:dyDescent="0.2">
      <c r="A90" s="253" t="s">
        <v>27</v>
      </c>
      <c r="B90" s="286">
        <f>C47*B56</f>
        <v>0</v>
      </c>
      <c r="C90" s="231">
        <f>B81</f>
        <v>0</v>
      </c>
      <c r="D90" s="14"/>
      <c r="E90" s="14"/>
      <c r="F90" s="14"/>
      <c r="G90" s="14"/>
      <c r="H90" s="14"/>
      <c r="I90" s="14"/>
      <c r="J90" s="14"/>
      <c r="K90" s="14"/>
      <c r="L90" s="14"/>
      <c r="M90" s="14"/>
      <c r="N90" s="14"/>
      <c r="O90" s="14"/>
      <c r="P90" s="14"/>
      <c r="Q90" s="14"/>
      <c r="R90" s="14"/>
      <c r="S90" s="14"/>
      <c r="T90" s="14"/>
      <c r="U90" s="14"/>
      <c r="V90" s="14"/>
      <c r="W90" s="14"/>
      <c r="X90" s="14"/>
      <c r="Y90" s="14"/>
    </row>
    <row r="91" spans="1:58" x14ac:dyDescent="0.2">
      <c r="A91" s="38" t="s">
        <v>32</v>
      </c>
      <c r="B91" s="287">
        <f>D47*C56</f>
        <v>0</v>
      </c>
      <c r="C91" s="42">
        <f>C81</f>
        <v>0</v>
      </c>
      <c r="D91" s="43"/>
      <c r="E91" s="14"/>
      <c r="F91" s="14"/>
      <c r="G91" s="14"/>
      <c r="H91" s="14"/>
      <c r="I91" s="14"/>
      <c r="J91" s="14"/>
      <c r="K91" s="14"/>
      <c r="L91" s="14"/>
      <c r="M91" s="14"/>
      <c r="N91" s="14"/>
      <c r="O91" s="14"/>
      <c r="P91" s="14"/>
      <c r="Q91" s="14"/>
      <c r="R91" s="14"/>
      <c r="S91" s="14"/>
      <c r="T91" s="14"/>
      <c r="U91" s="14"/>
      <c r="V91" s="14"/>
      <c r="W91" s="14"/>
      <c r="X91" s="14"/>
      <c r="Y91" s="14"/>
    </row>
    <row r="92" spans="1:58" x14ac:dyDescent="0.2">
      <c r="A92" s="38" t="s">
        <v>4</v>
      </c>
      <c r="B92" s="287">
        <f>E47*D56</f>
        <v>0</v>
      </c>
      <c r="C92" s="42">
        <f>D81</f>
        <v>0</v>
      </c>
      <c r="D92" s="14"/>
      <c r="E92" s="14"/>
      <c r="F92" s="14"/>
      <c r="G92" s="14"/>
      <c r="H92" s="14"/>
      <c r="I92" s="14"/>
      <c r="J92" s="14"/>
      <c r="K92" s="14"/>
      <c r="L92" s="14"/>
      <c r="M92" s="14"/>
      <c r="N92" s="14"/>
      <c r="O92" s="14"/>
      <c r="P92" s="14"/>
      <c r="Q92" s="14"/>
      <c r="R92" s="14"/>
      <c r="S92" s="14"/>
      <c r="T92" s="14"/>
      <c r="U92" s="14"/>
      <c r="V92" s="14"/>
      <c r="W92" s="14"/>
      <c r="X92" s="14"/>
      <c r="Y92" s="14"/>
    </row>
    <row r="93" spans="1:58" x14ac:dyDescent="0.2">
      <c r="A93" s="125" t="s">
        <v>7</v>
      </c>
      <c r="B93" s="287">
        <f>F47*E56</f>
        <v>0</v>
      </c>
      <c r="C93" s="42">
        <f>E81</f>
        <v>0</v>
      </c>
      <c r="D93" s="14"/>
      <c r="E93" s="14"/>
      <c r="F93" s="14"/>
      <c r="G93" s="14"/>
      <c r="H93" s="14"/>
      <c r="I93" s="14"/>
      <c r="J93" s="14"/>
      <c r="K93" s="14"/>
      <c r="L93" s="14"/>
      <c r="M93" s="14"/>
      <c r="N93" s="14"/>
      <c r="O93" s="14"/>
      <c r="P93" s="14"/>
      <c r="Q93" s="14"/>
      <c r="R93" s="14"/>
      <c r="S93" s="14"/>
      <c r="T93" s="14"/>
      <c r="U93" s="14"/>
      <c r="V93" s="14"/>
      <c r="W93" s="14"/>
      <c r="X93" s="14"/>
      <c r="Y93" s="14"/>
    </row>
    <row r="94" spans="1:58" x14ac:dyDescent="0.2">
      <c r="A94" s="125" t="s">
        <v>33</v>
      </c>
      <c r="B94" s="287">
        <f>G47*F56</f>
        <v>0</v>
      </c>
      <c r="C94" s="42">
        <f>F81</f>
        <v>0</v>
      </c>
      <c r="D94" s="14"/>
      <c r="E94" s="14"/>
      <c r="F94" s="14"/>
      <c r="G94" s="14"/>
      <c r="H94" s="14"/>
      <c r="I94" s="14"/>
      <c r="J94" s="14"/>
      <c r="K94" s="14"/>
      <c r="L94" s="14"/>
      <c r="M94" s="14"/>
      <c r="N94" s="14"/>
      <c r="O94" s="14"/>
      <c r="P94" s="14"/>
      <c r="Q94" s="14"/>
      <c r="R94" s="14"/>
      <c r="S94" s="14"/>
      <c r="T94" s="14"/>
      <c r="U94" s="14"/>
      <c r="V94" s="14"/>
      <c r="W94" s="14"/>
      <c r="X94" s="14"/>
      <c r="Y94" s="14"/>
    </row>
    <row r="95" spans="1:58" x14ac:dyDescent="0.2">
      <c r="A95" s="125" t="s">
        <v>34</v>
      </c>
      <c r="B95" s="288">
        <f>I47*G56</f>
        <v>0</v>
      </c>
      <c r="C95" s="42">
        <f>G81</f>
        <v>0</v>
      </c>
      <c r="D95" s="14"/>
      <c r="E95" s="14"/>
      <c r="F95" s="14"/>
      <c r="G95" s="14"/>
      <c r="H95" s="14"/>
      <c r="I95" s="14"/>
      <c r="J95" s="14"/>
      <c r="K95" s="14"/>
      <c r="L95" s="14"/>
      <c r="M95" s="14"/>
      <c r="N95" s="14"/>
      <c r="O95" s="14"/>
      <c r="P95" s="14"/>
      <c r="Q95" s="14"/>
      <c r="R95" s="14"/>
      <c r="S95" s="14"/>
      <c r="T95" s="14"/>
      <c r="U95" s="14"/>
      <c r="V95" s="14"/>
      <c r="W95" s="14"/>
      <c r="X95" s="14"/>
      <c r="Y95" s="14"/>
    </row>
    <row r="96" spans="1:58" x14ac:dyDescent="0.2">
      <c r="A96" s="125" t="s">
        <v>14</v>
      </c>
      <c r="B96" s="288">
        <f>J47*H56</f>
        <v>0</v>
      </c>
      <c r="C96" s="42">
        <f>H81</f>
        <v>0</v>
      </c>
      <c r="D96" s="14"/>
      <c r="E96" s="14"/>
      <c r="F96" s="14"/>
      <c r="G96" s="14"/>
      <c r="H96" s="14"/>
      <c r="I96" s="14"/>
      <c r="J96" s="14"/>
      <c r="K96" s="14"/>
      <c r="L96" s="14"/>
      <c r="M96" s="14"/>
      <c r="N96" s="14"/>
      <c r="O96" s="14"/>
      <c r="P96" s="14"/>
      <c r="Q96" s="14"/>
      <c r="R96" s="14"/>
      <c r="S96" s="14"/>
      <c r="T96" s="14"/>
      <c r="U96" s="14"/>
      <c r="V96" s="14"/>
      <c r="W96" s="14"/>
      <c r="X96" s="14"/>
      <c r="Y96" s="14"/>
    </row>
    <row r="97" spans="1:25" x14ac:dyDescent="0.2">
      <c r="A97" s="125" t="s">
        <v>10</v>
      </c>
      <c r="B97" s="288">
        <f>K47*I56</f>
        <v>12905.451000000001</v>
      </c>
      <c r="C97" s="126">
        <f>I81</f>
        <v>60107.58</v>
      </c>
      <c r="D97" s="14"/>
      <c r="E97" s="14"/>
      <c r="F97" s="14"/>
      <c r="G97" s="14"/>
      <c r="H97" s="14"/>
      <c r="I97" s="14"/>
      <c r="J97" s="14"/>
      <c r="K97" s="14"/>
      <c r="L97" s="14"/>
      <c r="M97" s="14"/>
      <c r="N97" s="14"/>
      <c r="O97" s="14"/>
      <c r="P97" s="14"/>
      <c r="Q97" s="14"/>
      <c r="R97" s="14"/>
      <c r="S97" s="14"/>
      <c r="T97" s="14"/>
      <c r="U97" s="14"/>
      <c r="V97" s="14"/>
      <c r="W97" s="14"/>
      <c r="X97" s="14"/>
      <c r="Y97" s="14"/>
    </row>
    <row r="98" spans="1:25" x14ac:dyDescent="0.2">
      <c r="A98" s="125" t="s">
        <v>49</v>
      </c>
      <c r="B98" s="288">
        <f>L47*J56</f>
        <v>0</v>
      </c>
      <c r="C98" s="126">
        <f>J81</f>
        <v>0</v>
      </c>
      <c r="D98" s="43"/>
      <c r="E98" s="14"/>
      <c r="F98" s="14"/>
      <c r="G98" s="14"/>
      <c r="H98" s="14"/>
      <c r="I98" s="14"/>
      <c r="J98" s="14"/>
      <c r="K98" s="14"/>
      <c r="L98" s="14"/>
      <c r="M98" s="14"/>
      <c r="N98" s="14"/>
      <c r="O98" s="14"/>
      <c r="P98" s="14"/>
      <c r="Q98" s="14"/>
      <c r="R98" s="14"/>
      <c r="S98" s="14"/>
      <c r="T98" s="14"/>
      <c r="U98" s="14"/>
      <c r="V98" s="14"/>
      <c r="W98" s="14"/>
      <c r="X98" s="14"/>
      <c r="Y98" s="14"/>
    </row>
    <row r="99" spans="1:25" ht="13.5" thickBot="1" x14ac:dyDescent="0.25">
      <c r="A99" s="254" t="s">
        <v>19</v>
      </c>
      <c r="B99" s="289">
        <f>N47*K56</f>
        <v>0</v>
      </c>
      <c r="C99" s="232">
        <f>K81</f>
        <v>0</v>
      </c>
      <c r="D99" s="43"/>
      <c r="E99" s="14"/>
      <c r="F99" s="14"/>
      <c r="G99" s="14"/>
      <c r="H99" s="14"/>
      <c r="I99" s="14"/>
      <c r="J99" s="14"/>
      <c r="K99" s="14"/>
      <c r="L99" s="14"/>
      <c r="M99" s="14"/>
      <c r="N99" s="14"/>
      <c r="O99" s="14"/>
      <c r="P99" s="14"/>
      <c r="Q99" s="14"/>
      <c r="R99" s="14"/>
      <c r="S99" s="14"/>
      <c r="T99" s="14"/>
      <c r="U99" s="14"/>
      <c r="V99" s="14"/>
      <c r="W99" s="14"/>
      <c r="X99" s="14"/>
      <c r="Y99" s="14"/>
    </row>
    <row r="100" spans="1:25" ht="13.5" thickBot="1" x14ac:dyDescent="0.25">
      <c r="A100" s="251" t="s">
        <v>47</v>
      </c>
      <c r="B100" s="290">
        <f>SUM(B90:B99)</f>
        <v>12905.451000000001</v>
      </c>
      <c r="C100" s="252">
        <f>SUM(C90:C99)</f>
        <v>60107.58</v>
      </c>
      <c r="D100" s="14"/>
      <c r="E100" s="14"/>
      <c r="F100" s="14"/>
      <c r="G100" s="14"/>
      <c r="H100" s="14"/>
      <c r="I100" s="14"/>
      <c r="J100" s="14"/>
      <c r="K100" s="14"/>
      <c r="L100" s="14"/>
      <c r="M100" s="14"/>
      <c r="N100" s="14"/>
      <c r="O100" s="14"/>
      <c r="P100" s="14"/>
      <c r="Q100" s="14"/>
      <c r="R100" s="14"/>
      <c r="S100" s="14"/>
      <c r="T100" s="14"/>
      <c r="U100" s="14"/>
      <c r="V100" s="14"/>
      <c r="W100" s="14"/>
      <c r="X100" s="14"/>
      <c r="Y100" s="14"/>
    </row>
    <row r="101" spans="1:25" x14ac:dyDescent="0.2">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row>
    <row r="102" spans="1:25" x14ac:dyDescent="0.2">
      <c r="A102" s="14"/>
      <c r="B102" s="291" t="s">
        <v>23</v>
      </c>
      <c r="C102" s="14"/>
      <c r="D102" s="14"/>
      <c r="E102" s="14"/>
      <c r="F102" s="14"/>
      <c r="G102" s="14"/>
      <c r="H102" s="14"/>
      <c r="I102" s="14"/>
      <c r="J102" s="14"/>
      <c r="K102" s="14"/>
      <c r="L102" s="14"/>
      <c r="M102" s="14"/>
      <c r="N102" s="14"/>
      <c r="O102" s="14"/>
      <c r="P102" s="14"/>
      <c r="Q102" s="14"/>
      <c r="R102" s="14"/>
      <c r="S102" s="14"/>
      <c r="T102" s="14"/>
      <c r="U102" s="14"/>
      <c r="V102" s="14"/>
      <c r="W102" s="14"/>
      <c r="X102" s="14"/>
      <c r="Y102" s="14"/>
    </row>
    <row r="103" spans="1:25" x14ac:dyDescent="0.2">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row>
    <row r="104" spans="1:25" x14ac:dyDescent="0.2">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row>
    <row r="105" spans="1:25" x14ac:dyDescent="0.2">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row>
    <row r="106" spans="1:25" x14ac:dyDescent="0.2">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row>
    <row r="107" spans="1:25" x14ac:dyDescent="0.2">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row>
    <row r="108" spans="1:25" x14ac:dyDescent="0.2">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row>
    <row r="109" spans="1:25" x14ac:dyDescent="0.2">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row>
    <row r="110" spans="1:25" x14ac:dyDescent="0.2">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row>
    <row r="111" spans="1:25" x14ac:dyDescent="0.2">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row>
    <row r="112" spans="1:25" x14ac:dyDescent="0.2">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row>
    <row r="113" spans="1:25" x14ac:dyDescent="0.2">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row>
    <row r="114" spans="1:25" x14ac:dyDescent="0.2">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row>
    <row r="115" spans="1:25" x14ac:dyDescent="0.2">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row>
    <row r="116" spans="1:25" x14ac:dyDescent="0.2">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row>
    <row r="117" spans="1:25" x14ac:dyDescent="0.2">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row>
    <row r="118" spans="1:25" x14ac:dyDescent="0.2">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row>
    <row r="119" spans="1:25" x14ac:dyDescent="0.2">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row>
    <row r="120" spans="1:25" x14ac:dyDescent="0.2">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row>
    <row r="121" spans="1:25" x14ac:dyDescent="0.2">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row>
    <row r="122" spans="1:25" x14ac:dyDescent="0.2">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row>
    <row r="123" spans="1:25" x14ac:dyDescent="0.2">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row>
    <row r="124" spans="1:25" x14ac:dyDescent="0.2">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row>
    <row r="125" spans="1:25" x14ac:dyDescent="0.2">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row>
    <row r="126" spans="1:25" x14ac:dyDescent="0.2">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row>
    <row r="127" spans="1:25" x14ac:dyDescent="0.2">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row>
    <row r="128" spans="1:25" x14ac:dyDescent="0.2">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row>
    <row r="129" spans="1:25" x14ac:dyDescent="0.2">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row>
    <row r="130" spans="1:25" x14ac:dyDescent="0.2">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row>
    <row r="131" spans="1:25" x14ac:dyDescent="0.2">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row>
    <row r="132" spans="1:25" x14ac:dyDescent="0.2">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row>
    <row r="133" spans="1:25" x14ac:dyDescent="0.2">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row>
    <row r="134" spans="1:25" x14ac:dyDescent="0.2">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row>
    <row r="135" spans="1:25" x14ac:dyDescent="0.2">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row>
    <row r="136" spans="1:25" x14ac:dyDescent="0.2">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row>
    <row r="137" spans="1:25" x14ac:dyDescent="0.2">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row>
    <row r="138" spans="1:25" x14ac:dyDescent="0.2">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row>
    <row r="139" spans="1:25" x14ac:dyDescent="0.2">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row>
    <row r="140" spans="1:25" x14ac:dyDescent="0.2">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row>
    <row r="141" spans="1:25" x14ac:dyDescent="0.2">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row>
    <row r="142" spans="1:25" x14ac:dyDescent="0.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row>
    <row r="143" spans="1:25" x14ac:dyDescent="0.2">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row>
    <row r="144" spans="1:25" x14ac:dyDescent="0.2">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row>
    <row r="145" spans="1:25"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row>
    <row r="146" spans="1:25" x14ac:dyDescent="0.2">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row>
    <row r="147" spans="1:25" x14ac:dyDescent="0.2">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row>
    <row r="148" spans="1:25" x14ac:dyDescent="0.2">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row>
    <row r="149" spans="1:25" x14ac:dyDescent="0.2">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row>
    <row r="150" spans="1:25" x14ac:dyDescent="0.2">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row>
    <row r="151" spans="1:25" x14ac:dyDescent="0.2">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row>
    <row r="152" spans="1:25" x14ac:dyDescent="0.2">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row>
    <row r="153" spans="1:25" x14ac:dyDescent="0.2">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row>
    <row r="154" spans="1:25" x14ac:dyDescent="0.2">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row>
    <row r="155" spans="1:25" x14ac:dyDescent="0.2">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row>
    <row r="156" spans="1:25" x14ac:dyDescent="0.2">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row>
    <row r="157" spans="1:25" x14ac:dyDescent="0.2">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row>
    <row r="158" spans="1:25" x14ac:dyDescent="0.2">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row>
    <row r="159" spans="1:25" x14ac:dyDescent="0.2">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row>
    <row r="160" spans="1:25" x14ac:dyDescent="0.2">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row>
  </sheetData>
  <mergeCells count="3">
    <mergeCell ref="A54:A55"/>
    <mergeCell ref="B57:K57"/>
    <mergeCell ref="A3:A4"/>
  </mergeCells>
  <pageMargins left="0" right="0" top="0" bottom="0" header="0.3" footer="0.3"/>
  <pageSetup paperSize="17" scale="3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I120"/>
  <sheetViews>
    <sheetView workbookViewId="0"/>
  </sheetViews>
  <sheetFormatPr defaultRowHeight="12.75" x14ac:dyDescent="0.2"/>
  <cols>
    <col min="1" max="1" width="22.7109375" style="360" customWidth="1"/>
    <col min="2" max="6" width="16.7109375" style="360" customWidth="1"/>
    <col min="7" max="7" width="17.42578125" style="360" bestFit="1" customWidth="1"/>
    <col min="8" max="11" width="16.7109375" style="360" customWidth="1"/>
    <col min="12" max="12" width="9.140625" style="360" customWidth="1"/>
    <col min="13" max="16384" width="9.140625" style="360"/>
  </cols>
  <sheetData>
    <row r="1" spans="1:16" ht="18.75" x14ac:dyDescent="0.3">
      <c r="A1" s="51" t="s">
        <v>435</v>
      </c>
      <c r="B1" s="277"/>
      <c r="C1" s="277"/>
      <c r="D1" s="277"/>
      <c r="E1" s="7" t="s">
        <v>23</v>
      </c>
      <c r="F1" s="277"/>
      <c r="G1" s="277"/>
      <c r="H1" s="277"/>
    </row>
    <row r="2" spans="1:16" ht="18.75" x14ac:dyDescent="0.3">
      <c r="A2" s="3"/>
      <c r="B2" s="341"/>
      <c r="C2" s="277" t="s">
        <v>23</v>
      </c>
      <c r="D2" s="277" t="s">
        <v>23</v>
      </c>
      <c r="E2" s="423" t="s">
        <v>23</v>
      </c>
      <c r="F2" s="466"/>
      <c r="G2" s="342"/>
      <c r="H2" s="277"/>
    </row>
    <row r="3" spans="1:16" ht="15.75" x14ac:dyDescent="0.2">
      <c r="A3" s="586" t="s">
        <v>51</v>
      </c>
      <c r="B3" s="587"/>
      <c r="C3" s="467"/>
      <c r="D3" s="467"/>
      <c r="E3" s="467"/>
      <c r="F3" s="467"/>
      <c r="G3" s="468"/>
      <c r="H3" s="468"/>
      <c r="I3" s="468"/>
      <c r="J3" s="468"/>
      <c r="K3" s="468"/>
    </row>
    <row r="4" spans="1:16" ht="38.25" x14ac:dyDescent="0.2">
      <c r="A4" s="160" t="s">
        <v>397</v>
      </c>
      <c r="B4" s="144" t="s">
        <v>109</v>
      </c>
      <c r="C4" s="144" t="s">
        <v>130</v>
      </c>
      <c r="D4" s="160" t="s">
        <v>140</v>
      </c>
      <c r="E4" s="199"/>
      <c r="F4" s="466"/>
      <c r="G4" s="466"/>
      <c r="H4" s="466"/>
      <c r="I4" s="466"/>
      <c r="J4" s="466"/>
      <c r="K4" s="466"/>
      <c r="L4" s="466"/>
      <c r="M4" s="466"/>
      <c r="N4" s="466"/>
      <c r="O4" s="466"/>
      <c r="P4" s="466"/>
    </row>
    <row r="5" spans="1:16" x14ac:dyDescent="0.2">
      <c r="A5" s="159" t="s">
        <v>5</v>
      </c>
      <c r="B5" s="23">
        <v>323.89999999999998</v>
      </c>
      <c r="C5" s="23">
        <v>0</v>
      </c>
      <c r="D5" s="361">
        <f>B5+C5</f>
        <v>323.89999999999998</v>
      </c>
      <c r="E5" s="469"/>
      <c r="F5" s="466"/>
      <c r="G5" s="466"/>
      <c r="H5" s="466"/>
      <c r="I5" s="466"/>
      <c r="J5" s="466"/>
      <c r="K5" s="466"/>
      <c r="L5" s="466"/>
      <c r="M5" s="466"/>
      <c r="N5" s="466"/>
      <c r="O5" s="466"/>
      <c r="P5" s="466"/>
    </row>
    <row r="6" spans="1:16" x14ac:dyDescent="0.2">
      <c r="A6" s="159" t="s">
        <v>27</v>
      </c>
      <c r="B6" s="23">
        <f>$B$5</f>
        <v>323.89999999999998</v>
      </c>
      <c r="C6" s="23">
        <v>0</v>
      </c>
      <c r="D6" s="361">
        <f>B6+C6</f>
        <v>323.89999999999998</v>
      </c>
      <c r="E6" s="469"/>
      <c r="F6" s="466"/>
      <c r="G6" s="466"/>
      <c r="H6" s="466"/>
      <c r="I6" s="466"/>
      <c r="J6" s="466"/>
      <c r="K6" s="466"/>
      <c r="L6" s="466"/>
      <c r="M6" s="466"/>
      <c r="N6" s="466"/>
      <c r="O6" s="466"/>
      <c r="P6" s="466"/>
    </row>
    <row r="7" spans="1:16" x14ac:dyDescent="0.2">
      <c r="A7" s="159" t="s">
        <v>32</v>
      </c>
      <c r="B7" s="23">
        <f t="shared" ref="B7:B19" si="0">$B$5</f>
        <v>323.89999999999998</v>
      </c>
      <c r="C7" s="23">
        <v>0</v>
      </c>
      <c r="D7" s="361">
        <f>B7+C6+C7</f>
        <v>323.89999999999998</v>
      </c>
      <c r="E7" s="469"/>
      <c r="F7" s="466"/>
      <c r="G7" s="466"/>
      <c r="H7" s="466"/>
      <c r="I7" s="466"/>
      <c r="J7" s="466"/>
      <c r="K7" s="466"/>
      <c r="L7" s="466"/>
      <c r="M7" s="466"/>
      <c r="N7" s="466"/>
      <c r="O7" s="466"/>
      <c r="P7" s="466"/>
    </row>
    <row r="8" spans="1:16" x14ac:dyDescent="0.2">
      <c r="A8" s="159" t="s">
        <v>4</v>
      </c>
      <c r="B8" s="23">
        <f t="shared" si="0"/>
        <v>323.89999999999998</v>
      </c>
      <c r="C8" s="23">
        <v>0</v>
      </c>
      <c r="D8" s="361">
        <f>B8+C6+C8</f>
        <v>323.89999999999998</v>
      </c>
      <c r="E8" s="469"/>
      <c r="F8" s="466"/>
      <c r="G8" s="466"/>
      <c r="H8" s="466"/>
      <c r="I8" s="466"/>
      <c r="J8" s="466"/>
      <c r="K8" s="466"/>
      <c r="L8" s="466"/>
      <c r="M8" s="466"/>
      <c r="N8" s="466"/>
      <c r="O8" s="466"/>
      <c r="P8" s="466"/>
    </row>
    <row r="9" spans="1:16" x14ac:dyDescent="0.2">
      <c r="A9" s="159" t="s">
        <v>7</v>
      </c>
      <c r="B9" s="23">
        <f t="shared" si="0"/>
        <v>323.89999999999998</v>
      </c>
      <c r="C9" s="23">
        <v>0</v>
      </c>
      <c r="D9" s="361">
        <f>B9+C6+C7+C9</f>
        <v>323.89999999999998</v>
      </c>
      <c r="E9" s="469"/>
      <c r="F9" s="466"/>
      <c r="G9" s="466"/>
      <c r="H9" s="466"/>
      <c r="I9" s="466"/>
      <c r="J9" s="466"/>
      <c r="K9" s="466"/>
      <c r="L9" s="466"/>
      <c r="M9" s="466"/>
      <c r="N9" s="466"/>
      <c r="O9" s="466"/>
      <c r="P9" s="466"/>
    </row>
    <row r="10" spans="1:16" x14ac:dyDescent="0.2">
      <c r="A10" s="159" t="s">
        <v>33</v>
      </c>
      <c r="B10" s="23">
        <f t="shared" si="0"/>
        <v>323.89999999999998</v>
      </c>
      <c r="C10" s="23">
        <v>0</v>
      </c>
      <c r="D10" s="361">
        <f>B10+C6+C7+C9+C10</f>
        <v>323.89999999999998</v>
      </c>
      <c r="E10" s="469"/>
      <c r="F10" s="466"/>
      <c r="G10" s="466"/>
      <c r="H10" s="466"/>
      <c r="I10" s="466"/>
      <c r="J10" s="466"/>
      <c r="K10" s="466"/>
      <c r="L10" s="466"/>
      <c r="M10" s="466"/>
      <c r="N10" s="466"/>
      <c r="O10" s="466"/>
      <c r="P10" s="466"/>
    </row>
    <row r="11" spans="1:16" x14ac:dyDescent="0.2">
      <c r="A11" s="159" t="s">
        <v>34</v>
      </c>
      <c r="B11" s="23">
        <f t="shared" si="0"/>
        <v>323.89999999999998</v>
      </c>
      <c r="C11" s="23">
        <v>0</v>
      </c>
      <c r="D11" s="361">
        <f>B11+C6+C7+C11</f>
        <v>323.89999999999998</v>
      </c>
      <c r="E11" s="469"/>
      <c r="F11" s="466"/>
      <c r="G11" s="466"/>
      <c r="H11" s="466"/>
      <c r="I11" s="466"/>
      <c r="J11" s="466"/>
      <c r="K11" s="466"/>
      <c r="L11" s="466"/>
      <c r="M11" s="466"/>
      <c r="N11" s="466"/>
      <c r="O11" s="466"/>
      <c r="P11" s="466"/>
    </row>
    <row r="12" spans="1:16" x14ac:dyDescent="0.2">
      <c r="A12" s="15" t="s">
        <v>14</v>
      </c>
      <c r="B12" s="23">
        <f t="shared" si="0"/>
        <v>323.89999999999998</v>
      </c>
      <c r="C12" s="23">
        <v>0</v>
      </c>
      <c r="D12" s="361">
        <f>B12+C6+C8+C12</f>
        <v>323.89999999999998</v>
      </c>
      <c r="E12" s="469"/>
      <c r="F12" s="466"/>
      <c r="G12" s="466"/>
      <c r="H12" s="466"/>
      <c r="I12" s="466"/>
      <c r="J12" s="466"/>
      <c r="K12" s="466"/>
      <c r="L12" s="466"/>
      <c r="M12" s="466"/>
      <c r="N12" s="466"/>
      <c r="O12" s="466"/>
      <c r="P12" s="466"/>
    </row>
    <row r="13" spans="1:16" x14ac:dyDescent="0.2">
      <c r="A13" s="15" t="s">
        <v>42</v>
      </c>
      <c r="B13" s="23">
        <f t="shared" si="0"/>
        <v>323.89999999999998</v>
      </c>
      <c r="C13" s="23">
        <v>0</v>
      </c>
      <c r="D13" s="361">
        <f>B13+C13</f>
        <v>323.89999999999998</v>
      </c>
      <c r="E13" s="469"/>
      <c r="F13" s="466"/>
      <c r="G13" s="466"/>
      <c r="H13" s="466"/>
      <c r="I13" s="466"/>
      <c r="J13" s="466"/>
      <c r="K13" s="466"/>
      <c r="L13" s="466"/>
      <c r="M13" s="466"/>
      <c r="N13" s="466"/>
      <c r="O13" s="466"/>
      <c r="P13" s="466"/>
    </row>
    <row r="14" spans="1:16" x14ac:dyDescent="0.2">
      <c r="A14" s="15" t="s">
        <v>96</v>
      </c>
      <c r="B14" s="23">
        <f t="shared" si="0"/>
        <v>323.89999999999998</v>
      </c>
      <c r="C14" s="23">
        <v>0</v>
      </c>
      <c r="D14" s="361">
        <f>B14+C13+C14</f>
        <v>323.89999999999998</v>
      </c>
      <c r="E14" s="469"/>
      <c r="F14" s="466"/>
      <c r="G14" s="466"/>
      <c r="H14" s="466"/>
      <c r="I14" s="466"/>
      <c r="J14" s="466"/>
      <c r="K14" s="466"/>
      <c r="L14" s="466"/>
      <c r="M14" s="466"/>
      <c r="N14" s="466"/>
      <c r="O14" s="466"/>
      <c r="P14" s="466"/>
    </row>
    <row r="15" spans="1:16" x14ac:dyDescent="0.2">
      <c r="A15" s="15" t="s">
        <v>19</v>
      </c>
      <c r="B15" s="23">
        <f t="shared" si="0"/>
        <v>323.89999999999998</v>
      </c>
      <c r="C15" s="23">
        <v>0</v>
      </c>
      <c r="D15" s="361">
        <f>B15+C15</f>
        <v>323.89999999999998</v>
      </c>
      <c r="E15" s="469"/>
      <c r="F15" s="466"/>
      <c r="G15" s="466"/>
      <c r="H15" s="466"/>
      <c r="I15" s="466"/>
      <c r="J15" s="466"/>
      <c r="K15" s="466"/>
      <c r="L15" s="466"/>
      <c r="M15" s="466"/>
      <c r="N15" s="466"/>
      <c r="O15" s="466"/>
      <c r="P15" s="466"/>
    </row>
    <row r="16" spans="1:16" x14ac:dyDescent="0.2">
      <c r="A16" s="15" t="s">
        <v>10</v>
      </c>
      <c r="B16" s="23">
        <f t="shared" si="0"/>
        <v>323.89999999999998</v>
      </c>
      <c r="C16" s="23">
        <v>235.74</v>
      </c>
      <c r="D16" s="361">
        <f>B16+C6+C8+C16</f>
        <v>559.64</v>
      </c>
      <c r="E16" s="469"/>
      <c r="F16" s="466"/>
      <c r="G16" s="466"/>
      <c r="H16" s="466"/>
      <c r="I16" s="466"/>
      <c r="J16" s="466"/>
      <c r="K16" s="466"/>
      <c r="L16" s="466"/>
      <c r="M16" s="466"/>
      <c r="N16" s="466"/>
      <c r="O16" s="466"/>
      <c r="P16" s="466"/>
    </row>
    <row r="17" spans="1:35" x14ac:dyDescent="0.2">
      <c r="A17" s="15" t="s">
        <v>9</v>
      </c>
      <c r="B17" s="23">
        <f t="shared" si="0"/>
        <v>323.89999999999998</v>
      </c>
      <c r="C17" s="23">
        <v>0</v>
      </c>
      <c r="D17" s="361">
        <f>B17+C6+C17</f>
        <v>323.89999999999998</v>
      </c>
      <c r="E17" s="469"/>
      <c r="F17" s="466"/>
      <c r="G17" s="466"/>
      <c r="H17" s="466"/>
      <c r="I17" s="466"/>
      <c r="J17" s="466"/>
      <c r="K17" s="466"/>
      <c r="L17" s="466"/>
      <c r="M17" s="466"/>
      <c r="N17" s="466"/>
      <c r="O17" s="466"/>
      <c r="P17" s="466"/>
    </row>
    <row r="18" spans="1:35" x14ac:dyDescent="0.2">
      <c r="A18" s="15" t="s">
        <v>20</v>
      </c>
      <c r="B18" s="23">
        <f t="shared" si="0"/>
        <v>323.89999999999998</v>
      </c>
      <c r="C18" s="23">
        <v>0</v>
      </c>
      <c r="D18" s="361">
        <f>B18+C18</f>
        <v>323.89999999999998</v>
      </c>
      <c r="E18" s="25"/>
      <c r="F18" s="466"/>
      <c r="G18" s="466"/>
      <c r="H18" s="466"/>
      <c r="I18" s="466"/>
      <c r="J18" s="466"/>
      <c r="K18" s="466"/>
      <c r="L18" s="466"/>
      <c r="M18" s="466"/>
      <c r="N18" s="466"/>
      <c r="O18" s="466"/>
      <c r="P18" s="466"/>
    </row>
    <row r="19" spans="1:35" x14ac:dyDescent="0.2">
      <c r="A19" s="15" t="s">
        <v>49</v>
      </c>
      <c r="B19" s="23">
        <f t="shared" si="0"/>
        <v>323.89999999999998</v>
      </c>
      <c r="C19" s="23">
        <v>0</v>
      </c>
      <c r="D19" s="361">
        <f>B19+C19</f>
        <v>323.89999999999998</v>
      </c>
      <c r="E19" s="25"/>
      <c r="F19" s="466"/>
      <c r="G19" s="466"/>
      <c r="H19" s="466"/>
      <c r="I19" s="466"/>
      <c r="J19" s="466"/>
      <c r="K19" s="466"/>
      <c r="L19" s="466"/>
      <c r="M19" s="466"/>
      <c r="N19" s="466"/>
      <c r="O19" s="466"/>
      <c r="P19" s="466"/>
    </row>
    <row r="20" spans="1:35" x14ac:dyDescent="0.2">
      <c r="A20" s="15" t="s">
        <v>29</v>
      </c>
      <c r="B20" s="23">
        <f>B5</f>
        <v>323.89999999999998</v>
      </c>
      <c r="C20" s="23">
        <v>0</v>
      </c>
      <c r="D20" s="361">
        <f>B20+C20</f>
        <v>323.89999999999998</v>
      </c>
      <c r="E20" s="25"/>
      <c r="F20" s="466"/>
      <c r="G20" s="466"/>
      <c r="H20" s="466"/>
      <c r="I20" s="466"/>
      <c r="J20" s="466"/>
      <c r="K20" s="466"/>
      <c r="L20" s="466"/>
      <c r="M20" s="466"/>
      <c r="N20" s="466"/>
      <c r="O20" s="466"/>
      <c r="P20" s="466"/>
    </row>
    <row r="21" spans="1:35" x14ac:dyDescent="0.2">
      <c r="A21" s="16" t="s">
        <v>120</v>
      </c>
      <c r="B21" s="26"/>
      <c r="C21" s="25"/>
      <c r="D21" s="25"/>
      <c r="E21" s="25"/>
      <c r="F21" s="25"/>
      <c r="G21" s="468"/>
    </row>
    <row r="22" spans="1:35" ht="12.75" customHeight="1" x14ac:dyDescent="0.2">
      <c r="A22" s="188" t="s">
        <v>398</v>
      </c>
      <c r="B22" s="183"/>
      <c r="C22" s="183"/>
      <c r="D22" s="183"/>
      <c r="E22" s="183"/>
      <c r="F22" s="183"/>
      <c r="G22" s="468"/>
    </row>
    <row r="23" spans="1:35" x14ac:dyDescent="0.2">
      <c r="A23" s="183"/>
      <c r="B23" s="183"/>
      <c r="C23" s="183"/>
      <c r="D23" s="183"/>
      <c r="E23" s="183"/>
      <c r="F23" s="183"/>
      <c r="G23" s="468"/>
    </row>
    <row r="24" spans="1:35" ht="15.75" x14ac:dyDescent="0.25">
      <c r="A24" s="588" t="s">
        <v>399</v>
      </c>
      <c r="B24" s="589"/>
      <c r="C24" s="589"/>
      <c r="D24" s="589"/>
      <c r="E24" s="590"/>
      <c r="F24" s="470"/>
      <c r="G24" s="468"/>
      <c r="H24" s="468"/>
      <c r="I24" s="468"/>
      <c r="J24" s="468"/>
      <c r="K24" s="468"/>
      <c r="L24" s="468"/>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row>
    <row r="25" spans="1:35" ht="38.25" x14ac:dyDescent="0.2">
      <c r="A25" s="160" t="s">
        <v>2</v>
      </c>
      <c r="B25" s="471" t="s">
        <v>400</v>
      </c>
      <c r="C25" s="471" t="s">
        <v>401</v>
      </c>
      <c r="D25" s="472" t="s">
        <v>402</v>
      </c>
      <c r="E25" s="471" t="s">
        <v>403</v>
      </c>
      <c r="F25" s="33"/>
      <c r="G25" s="473"/>
      <c r="H25" s="473"/>
      <c r="I25" s="468"/>
      <c r="J25" s="468"/>
      <c r="K25" s="468"/>
      <c r="L25" s="468"/>
      <c r="M25" s="468"/>
      <c r="N25" s="468"/>
      <c r="O25" s="468"/>
      <c r="P25" s="468"/>
      <c r="Q25" s="468"/>
      <c r="R25" s="468"/>
      <c r="S25" s="468"/>
      <c r="T25" s="468"/>
      <c r="U25" s="468"/>
      <c r="V25" s="468"/>
      <c r="W25" s="468"/>
      <c r="X25" s="468"/>
      <c r="Y25" s="468"/>
      <c r="Z25" s="468"/>
      <c r="AA25" s="468"/>
      <c r="AB25" s="468"/>
      <c r="AC25" s="468"/>
      <c r="AD25" s="468"/>
      <c r="AE25" s="468"/>
      <c r="AF25" s="468"/>
      <c r="AG25" s="468"/>
      <c r="AH25" s="468"/>
      <c r="AI25" s="468"/>
    </row>
    <row r="26" spans="1:35" x14ac:dyDescent="0.2">
      <c r="A26" s="159" t="s">
        <v>5</v>
      </c>
      <c r="B26" s="474">
        <v>1828.4999999999982</v>
      </c>
      <c r="C26" s="474">
        <v>2049.6</v>
      </c>
      <c r="D26" s="475">
        <f>B26-C26</f>
        <v>-221.10000000000173</v>
      </c>
      <c r="E26" s="474">
        <v>0</v>
      </c>
      <c r="F26" s="476"/>
      <c r="G26" s="468"/>
      <c r="H26" s="468"/>
      <c r="I26" s="468"/>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row>
    <row r="27" spans="1:35" x14ac:dyDescent="0.2">
      <c r="A27" s="159" t="s">
        <v>27</v>
      </c>
      <c r="B27" s="474">
        <v>778.7000000000005</v>
      </c>
      <c r="C27" s="474">
        <v>773.8</v>
      </c>
      <c r="D27" s="477">
        <f t="shared" ref="D27:D40" si="1">B27-C27</f>
        <v>4.9000000000005457</v>
      </c>
      <c r="E27" s="474">
        <v>0</v>
      </c>
      <c r="F27" s="478"/>
      <c r="G27" s="468"/>
      <c r="H27" s="468"/>
      <c r="I27" s="468"/>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row>
    <row r="28" spans="1:35" x14ac:dyDescent="0.2">
      <c r="A28" s="159" t="s">
        <v>32</v>
      </c>
      <c r="B28" s="474">
        <v>58.200000000000031</v>
      </c>
      <c r="C28" s="474">
        <v>631</v>
      </c>
      <c r="D28" s="477">
        <f t="shared" si="1"/>
        <v>-572.79999999999995</v>
      </c>
      <c r="E28" s="474">
        <v>0</v>
      </c>
      <c r="F28" s="478"/>
      <c r="G28" s="468"/>
      <c r="H28" s="468"/>
      <c r="I28" s="468"/>
      <c r="J28" s="468"/>
      <c r="K28" s="468"/>
      <c r="L28" s="468"/>
      <c r="M28" s="468"/>
      <c r="N28" s="468"/>
      <c r="O28" s="468"/>
      <c r="P28" s="468"/>
      <c r="Q28" s="468"/>
      <c r="R28" s="468"/>
      <c r="S28" s="468"/>
      <c r="T28" s="468"/>
      <c r="U28" s="468"/>
      <c r="V28" s="468"/>
      <c r="W28" s="468"/>
      <c r="X28" s="468"/>
      <c r="Y28" s="468"/>
      <c r="Z28" s="468"/>
      <c r="AA28" s="468"/>
      <c r="AB28" s="468"/>
      <c r="AC28" s="468"/>
      <c r="AD28" s="468"/>
      <c r="AE28" s="468"/>
      <c r="AF28" s="468"/>
      <c r="AG28" s="468"/>
      <c r="AH28" s="468"/>
      <c r="AI28" s="468"/>
    </row>
    <row r="29" spans="1:35" x14ac:dyDescent="0.2">
      <c r="A29" s="159" t="s">
        <v>4</v>
      </c>
      <c r="B29" s="474">
        <v>19.700000000000003</v>
      </c>
      <c r="C29" s="474">
        <v>87.7</v>
      </c>
      <c r="D29" s="477">
        <f t="shared" si="1"/>
        <v>-68</v>
      </c>
      <c r="E29" s="474">
        <v>0</v>
      </c>
      <c r="F29" s="478"/>
      <c r="G29" s="468"/>
      <c r="H29" s="468"/>
      <c r="I29" s="468"/>
      <c r="J29" s="468"/>
      <c r="K29" s="468"/>
      <c r="L29" s="468"/>
      <c r="M29" s="468"/>
      <c r="N29" s="468"/>
      <c r="O29" s="468"/>
      <c r="P29" s="468"/>
      <c r="Q29" s="468"/>
      <c r="R29" s="468"/>
      <c r="S29" s="468"/>
      <c r="T29" s="468"/>
      <c r="U29" s="468"/>
      <c r="V29" s="468"/>
      <c r="W29" s="468"/>
      <c r="X29" s="468"/>
      <c r="Y29" s="468"/>
      <c r="Z29" s="468"/>
      <c r="AA29" s="468"/>
      <c r="AB29" s="468"/>
      <c r="AC29" s="468"/>
      <c r="AD29" s="468"/>
      <c r="AE29" s="468"/>
      <c r="AF29" s="468"/>
      <c r="AG29" s="468"/>
      <c r="AH29" s="468"/>
      <c r="AI29" s="468"/>
    </row>
    <row r="30" spans="1:35" x14ac:dyDescent="0.2">
      <c r="A30" s="159" t="s">
        <v>7</v>
      </c>
      <c r="B30" s="474">
        <v>19.899999999999999</v>
      </c>
      <c r="C30" s="474">
        <v>40.1</v>
      </c>
      <c r="D30" s="477">
        <f t="shared" si="1"/>
        <v>-20.200000000000003</v>
      </c>
      <c r="E30" s="474">
        <v>0</v>
      </c>
      <c r="F30" s="47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c r="AF30" s="468"/>
      <c r="AG30" s="468"/>
      <c r="AH30" s="468"/>
      <c r="AI30" s="468"/>
    </row>
    <row r="31" spans="1:35" x14ac:dyDescent="0.2">
      <c r="A31" s="159" t="s">
        <v>33</v>
      </c>
      <c r="B31" s="474">
        <v>5.8000000000000007</v>
      </c>
      <c r="C31" s="474">
        <v>32.5</v>
      </c>
      <c r="D31" s="477">
        <f t="shared" si="1"/>
        <v>-26.7</v>
      </c>
      <c r="E31" s="474">
        <v>0</v>
      </c>
      <c r="F31" s="478"/>
      <c r="G31" s="468"/>
      <c r="H31" s="468"/>
      <c r="I31" s="468"/>
      <c r="J31" s="468"/>
      <c r="K31" s="468"/>
      <c r="L31" s="468"/>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row>
    <row r="32" spans="1:35" x14ac:dyDescent="0.2">
      <c r="A32" s="159" t="s">
        <v>34</v>
      </c>
      <c r="B32" s="474">
        <v>1</v>
      </c>
      <c r="C32" s="474">
        <v>26.1</v>
      </c>
      <c r="D32" s="477">
        <f t="shared" si="1"/>
        <v>-25.1</v>
      </c>
      <c r="E32" s="474">
        <v>0</v>
      </c>
      <c r="F32" s="47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row>
    <row r="33" spans="1:35" x14ac:dyDescent="0.2">
      <c r="A33" s="15" t="s">
        <v>14</v>
      </c>
      <c r="B33" s="474">
        <v>8.9</v>
      </c>
      <c r="C33" s="474">
        <v>79.400000000000006</v>
      </c>
      <c r="D33" s="477">
        <f t="shared" si="1"/>
        <v>-70.5</v>
      </c>
      <c r="E33" s="474">
        <v>0</v>
      </c>
      <c r="F33" s="47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8"/>
      <c r="AH33" s="468"/>
      <c r="AI33" s="468"/>
    </row>
    <row r="34" spans="1:35" x14ac:dyDescent="0.2">
      <c r="A34" s="15" t="s">
        <v>42</v>
      </c>
      <c r="B34" s="474">
        <v>11.000000000000002</v>
      </c>
      <c r="C34" s="474">
        <v>174</v>
      </c>
      <c r="D34" s="477">
        <f t="shared" si="1"/>
        <v>-163</v>
      </c>
      <c r="E34" s="474">
        <v>0</v>
      </c>
      <c r="F34" s="47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row>
    <row r="35" spans="1:35" x14ac:dyDescent="0.2">
      <c r="A35" s="15" t="s">
        <v>96</v>
      </c>
      <c r="B35" s="474">
        <v>0.2</v>
      </c>
      <c r="C35" s="474">
        <v>30</v>
      </c>
      <c r="D35" s="477">
        <f t="shared" si="1"/>
        <v>-29.8</v>
      </c>
      <c r="E35" s="474">
        <v>0</v>
      </c>
      <c r="F35" s="478"/>
      <c r="G35" s="468"/>
      <c r="H35" s="468"/>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c r="AF35" s="468"/>
      <c r="AG35" s="468"/>
      <c r="AH35" s="468"/>
      <c r="AI35" s="468"/>
    </row>
    <row r="36" spans="1:35" x14ac:dyDescent="0.2">
      <c r="A36" s="15" t="s">
        <v>19</v>
      </c>
      <c r="B36" s="474">
        <v>265.20000000000005</v>
      </c>
      <c r="C36" s="474">
        <v>82.6</v>
      </c>
      <c r="D36" s="477">
        <f t="shared" si="1"/>
        <v>182.60000000000005</v>
      </c>
      <c r="E36" s="474">
        <v>0</v>
      </c>
      <c r="F36" s="47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c r="AI36" s="468"/>
    </row>
    <row r="37" spans="1:35" x14ac:dyDescent="0.2">
      <c r="A37" s="15" t="s">
        <v>10</v>
      </c>
      <c r="B37" s="474">
        <v>5.4</v>
      </c>
      <c r="C37" s="474">
        <v>8.3000000000000007</v>
      </c>
      <c r="D37" s="477">
        <f t="shared" si="1"/>
        <v>-2.9000000000000004</v>
      </c>
      <c r="E37" s="474">
        <v>0</v>
      </c>
      <c r="F37" s="478"/>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c r="AD37" s="468"/>
      <c r="AE37" s="468"/>
      <c r="AF37" s="468"/>
      <c r="AG37" s="468"/>
      <c r="AH37" s="468"/>
      <c r="AI37" s="468"/>
    </row>
    <row r="38" spans="1:35" x14ac:dyDescent="0.2">
      <c r="A38" s="15" t="s">
        <v>9</v>
      </c>
      <c r="B38" s="474">
        <v>167.90000000000003</v>
      </c>
      <c r="C38" s="474">
        <v>31.3</v>
      </c>
      <c r="D38" s="477">
        <f t="shared" si="1"/>
        <v>136.60000000000002</v>
      </c>
      <c r="E38" s="474">
        <v>0</v>
      </c>
      <c r="F38" s="478"/>
      <c r="G38" s="468"/>
      <c r="H38" s="468"/>
      <c r="I38" s="468"/>
      <c r="J38" s="468"/>
      <c r="K38" s="468"/>
      <c r="L38" s="468"/>
      <c r="M38" s="468"/>
      <c r="N38" s="468"/>
      <c r="O38" s="468"/>
      <c r="P38" s="468"/>
      <c r="Q38" s="468"/>
      <c r="R38" s="468"/>
      <c r="S38" s="468"/>
      <c r="T38" s="468"/>
      <c r="U38" s="468"/>
      <c r="V38" s="468"/>
      <c r="W38" s="468"/>
      <c r="X38" s="468"/>
      <c r="Y38" s="468"/>
      <c r="Z38" s="468"/>
      <c r="AA38" s="468"/>
      <c r="AB38" s="468"/>
      <c r="AC38" s="468"/>
      <c r="AD38" s="468"/>
      <c r="AE38" s="468"/>
      <c r="AF38" s="468"/>
      <c r="AG38" s="468"/>
      <c r="AH38" s="468"/>
      <c r="AI38" s="468"/>
    </row>
    <row r="39" spans="1:35" x14ac:dyDescent="0.2">
      <c r="A39" s="15" t="s">
        <v>20</v>
      </c>
      <c r="B39" s="474">
        <v>0.2</v>
      </c>
      <c r="C39" s="474">
        <v>427.6</v>
      </c>
      <c r="D39" s="477">
        <f t="shared" si="1"/>
        <v>-427.40000000000003</v>
      </c>
      <c r="E39" s="474">
        <v>0</v>
      </c>
      <c r="F39" s="478"/>
      <c r="G39" s="468"/>
      <c r="H39" s="468"/>
      <c r="I39" s="468"/>
      <c r="J39" s="468"/>
      <c r="K39" s="468"/>
      <c r="L39" s="468"/>
      <c r="M39" s="468"/>
      <c r="N39" s="468"/>
      <c r="O39" s="468"/>
      <c r="P39" s="468"/>
      <c r="Q39" s="468"/>
      <c r="R39" s="468"/>
      <c r="S39" s="468"/>
      <c r="T39" s="468"/>
      <c r="U39" s="468"/>
      <c r="V39" s="468"/>
      <c r="W39" s="468"/>
      <c r="X39" s="468"/>
      <c r="Y39" s="468"/>
      <c r="Z39" s="468"/>
      <c r="AA39" s="468"/>
      <c r="AB39" s="468"/>
      <c r="AC39" s="468"/>
      <c r="AD39" s="468"/>
      <c r="AE39" s="468"/>
      <c r="AF39" s="468"/>
      <c r="AG39" s="468"/>
      <c r="AH39" s="468"/>
      <c r="AI39" s="468"/>
    </row>
    <row r="40" spans="1:35" x14ac:dyDescent="0.2">
      <c r="A40" s="15" t="s">
        <v>49</v>
      </c>
      <c r="B40" s="474">
        <v>0.5</v>
      </c>
      <c r="C40" s="474">
        <v>19.8</v>
      </c>
      <c r="D40" s="477">
        <f t="shared" si="1"/>
        <v>-19.3</v>
      </c>
      <c r="E40" s="474">
        <v>0</v>
      </c>
      <c r="F40" s="478"/>
      <c r="G40" s="468"/>
      <c r="H40" s="468"/>
      <c r="I40" s="468"/>
      <c r="J40" s="468"/>
      <c r="K40" s="468"/>
    </row>
    <row r="41" spans="1:35" x14ac:dyDescent="0.2">
      <c r="A41" s="16" t="s">
        <v>29</v>
      </c>
      <c r="B41" s="474">
        <v>394.10000000000025</v>
      </c>
      <c r="C41" s="474">
        <v>162.4</v>
      </c>
      <c r="D41" s="477">
        <f t="shared" ref="D41" si="2">B41-C41</f>
        <v>231.70000000000024</v>
      </c>
      <c r="E41" s="474">
        <v>0</v>
      </c>
      <c r="F41" s="478"/>
      <c r="G41" s="468"/>
      <c r="H41" s="468"/>
      <c r="I41" s="468"/>
      <c r="J41" s="468"/>
      <c r="K41" s="468"/>
    </row>
    <row r="42" spans="1:35" x14ac:dyDescent="0.2">
      <c r="A42" s="343"/>
      <c r="B42" s="479"/>
      <c r="C42" s="480"/>
      <c r="D42" s="479"/>
      <c r="E42" s="481"/>
      <c r="F42" s="479"/>
      <c r="G42" s="468"/>
      <c r="H42" s="468"/>
      <c r="I42" s="468"/>
      <c r="J42" s="468"/>
      <c r="K42" s="468"/>
    </row>
    <row r="43" spans="1:35" ht="15.75" x14ac:dyDescent="0.25">
      <c r="A43" s="591" t="s">
        <v>404</v>
      </c>
      <c r="B43" s="592"/>
      <c r="C43" s="593"/>
      <c r="D43" s="479"/>
      <c r="E43" s="482" t="s">
        <v>23</v>
      </c>
      <c r="F43" s="479"/>
      <c r="G43" s="468"/>
      <c r="H43" s="468"/>
      <c r="I43" s="468"/>
      <c r="J43" s="468"/>
      <c r="K43" s="468"/>
    </row>
    <row r="44" spans="1:35" ht="38.25" x14ac:dyDescent="0.2">
      <c r="A44" s="160" t="s">
        <v>2</v>
      </c>
      <c r="B44" s="471" t="s">
        <v>405</v>
      </c>
      <c r="C44" s="471" t="s">
        <v>406</v>
      </c>
      <c r="D44" s="471" t="s">
        <v>407</v>
      </c>
      <c r="E44" s="483" t="s">
        <v>23</v>
      </c>
      <c r="F44" s="509"/>
      <c r="G44" s="473"/>
      <c r="H44" s="468"/>
      <c r="I44" s="468"/>
      <c r="J44" s="468"/>
      <c r="K44" s="468"/>
    </row>
    <row r="45" spans="1:35" x14ac:dyDescent="0.2">
      <c r="A45" s="159" t="s">
        <v>5</v>
      </c>
      <c r="B45" s="477">
        <v>221.09999999999997</v>
      </c>
      <c r="C45" s="477">
        <v>0</v>
      </c>
      <c r="D45" s="475">
        <f>B45-C45</f>
        <v>221.09999999999997</v>
      </c>
      <c r="E45" s="478"/>
      <c r="F45" s="484"/>
      <c r="G45" s="468"/>
      <c r="H45" s="468"/>
      <c r="I45" s="468"/>
      <c r="J45" s="468"/>
      <c r="K45" s="468"/>
    </row>
    <row r="46" spans="1:35" x14ac:dyDescent="0.2">
      <c r="A46" s="159" t="s">
        <v>27</v>
      </c>
      <c r="B46" s="477">
        <v>171.2</v>
      </c>
      <c r="C46" s="477">
        <v>0</v>
      </c>
      <c r="D46" s="477">
        <f t="shared" ref="D46:D59" si="3">B46-C46</f>
        <v>171.2</v>
      </c>
      <c r="E46" s="485"/>
      <c r="F46" s="468"/>
      <c r="G46" s="468"/>
      <c r="H46" s="468"/>
      <c r="I46" s="468"/>
      <c r="J46" s="468"/>
      <c r="K46" s="468"/>
    </row>
    <row r="47" spans="1:35" x14ac:dyDescent="0.2">
      <c r="A47" s="159" t="s">
        <v>32</v>
      </c>
      <c r="B47" s="477">
        <v>121.79999999999998</v>
      </c>
      <c r="C47" s="477">
        <v>0</v>
      </c>
      <c r="D47" s="477">
        <f t="shared" si="3"/>
        <v>121.79999999999998</v>
      </c>
      <c r="E47" s="486"/>
      <c r="F47" s="468"/>
      <c r="G47" s="468"/>
      <c r="H47" s="468"/>
      <c r="I47" s="468"/>
      <c r="J47" s="468"/>
      <c r="K47" s="468"/>
    </row>
    <row r="48" spans="1:35" x14ac:dyDescent="0.2">
      <c r="A48" s="159" t="s">
        <v>4</v>
      </c>
      <c r="B48" s="477">
        <v>2.9</v>
      </c>
      <c r="C48" s="477">
        <v>0</v>
      </c>
      <c r="D48" s="477">
        <f t="shared" si="3"/>
        <v>2.9</v>
      </c>
      <c r="E48" s="478"/>
      <c r="F48" s="468"/>
      <c r="G48" s="468"/>
      <c r="H48" s="468"/>
      <c r="I48" s="468"/>
      <c r="J48" s="468"/>
      <c r="K48" s="468"/>
    </row>
    <row r="49" spans="1:21" x14ac:dyDescent="0.2">
      <c r="A49" s="159" t="s">
        <v>7</v>
      </c>
      <c r="B49" s="477">
        <v>99.899999999999991</v>
      </c>
      <c r="C49" s="477">
        <v>0</v>
      </c>
      <c r="D49" s="477">
        <f t="shared" si="3"/>
        <v>99.899999999999991</v>
      </c>
      <c r="E49" s="478"/>
      <c r="F49" s="468"/>
      <c r="G49" s="468"/>
      <c r="H49" s="468"/>
      <c r="I49" s="468"/>
      <c r="J49" s="468"/>
      <c r="K49" s="468"/>
    </row>
    <row r="50" spans="1:21" x14ac:dyDescent="0.2">
      <c r="A50" s="159" t="s">
        <v>33</v>
      </c>
      <c r="B50" s="477">
        <v>11.6</v>
      </c>
      <c r="C50" s="477">
        <v>0</v>
      </c>
      <c r="D50" s="477">
        <f t="shared" si="3"/>
        <v>11.6</v>
      </c>
      <c r="E50" s="478"/>
      <c r="F50" s="468"/>
      <c r="G50" s="468"/>
      <c r="H50" s="468"/>
      <c r="I50" s="468"/>
      <c r="J50" s="468"/>
      <c r="K50" s="468"/>
    </row>
    <row r="51" spans="1:21" x14ac:dyDescent="0.2">
      <c r="A51" s="159" t="s">
        <v>34</v>
      </c>
      <c r="B51" s="477">
        <v>0</v>
      </c>
      <c r="C51" s="477">
        <v>0</v>
      </c>
      <c r="D51" s="477">
        <f t="shared" si="3"/>
        <v>0</v>
      </c>
      <c r="E51" s="478"/>
      <c r="F51" s="468"/>
      <c r="G51" s="468"/>
      <c r="H51" s="468"/>
      <c r="I51" s="468"/>
      <c r="J51" s="468"/>
      <c r="K51" s="468"/>
    </row>
    <row r="52" spans="1:21" x14ac:dyDescent="0.2">
      <c r="A52" s="15" t="s">
        <v>14</v>
      </c>
      <c r="B52" s="477">
        <v>0</v>
      </c>
      <c r="C52" s="477">
        <v>0</v>
      </c>
      <c r="D52" s="477">
        <f t="shared" si="3"/>
        <v>0</v>
      </c>
      <c r="E52" s="478"/>
      <c r="F52" s="468"/>
      <c r="G52" s="468"/>
      <c r="H52" s="468"/>
      <c r="I52" s="468"/>
      <c r="J52" s="468"/>
      <c r="K52" s="468"/>
    </row>
    <row r="53" spans="1:21" x14ac:dyDescent="0.2">
      <c r="A53" s="15" t="s">
        <v>42</v>
      </c>
      <c r="B53" s="477">
        <v>41.400000000000006</v>
      </c>
      <c r="C53" s="477">
        <v>0</v>
      </c>
      <c r="D53" s="477">
        <f t="shared" si="3"/>
        <v>41.400000000000006</v>
      </c>
      <c r="E53" s="478"/>
      <c r="F53" s="468"/>
      <c r="G53" s="468"/>
      <c r="H53" s="468"/>
      <c r="I53" s="468"/>
      <c r="J53" s="468"/>
      <c r="K53" s="468"/>
    </row>
    <row r="54" spans="1:21" x14ac:dyDescent="0.2">
      <c r="A54" s="15" t="s">
        <v>96</v>
      </c>
      <c r="B54" s="477">
        <v>11.8</v>
      </c>
      <c r="C54" s="477">
        <v>0</v>
      </c>
      <c r="D54" s="477">
        <f t="shared" si="3"/>
        <v>11.8</v>
      </c>
      <c r="E54" s="478"/>
      <c r="F54" s="468"/>
      <c r="G54" s="468"/>
      <c r="H54" s="468"/>
      <c r="I54" s="468"/>
      <c r="J54" s="468"/>
      <c r="K54" s="468"/>
    </row>
    <row r="55" spans="1:21" x14ac:dyDescent="0.2">
      <c r="A55" s="15" t="s">
        <v>19</v>
      </c>
      <c r="B55" s="477">
        <v>0</v>
      </c>
      <c r="C55" s="477">
        <v>0</v>
      </c>
      <c r="D55" s="477">
        <f t="shared" si="3"/>
        <v>0</v>
      </c>
      <c r="E55" s="478"/>
      <c r="F55" s="468"/>
      <c r="G55" s="468"/>
      <c r="H55" s="468"/>
      <c r="I55" s="468"/>
      <c r="J55" s="468"/>
      <c r="K55" s="468"/>
    </row>
    <row r="56" spans="1:21" x14ac:dyDescent="0.2">
      <c r="A56" s="15" t="s">
        <v>10</v>
      </c>
      <c r="B56" s="477">
        <v>2.9</v>
      </c>
      <c r="C56" s="477">
        <v>0</v>
      </c>
      <c r="D56" s="477">
        <f t="shared" si="3"/>
        <v>2.9</v>
      </c>
      <c r="E56" s="478"/>
      <c r="F56" s="468"/>
      <c r="G56" s="468"/>
      <c r="H56" s="468"/>
      <c r="I56" s="468"/>
      <c r="J56" s="468"/>
      <c r="K56" s="468"/>
    </row>
    <row r="57" spans="1:21" x14ac:dyDescent="0.2">
      <c r="A57" s="15" t="s">
        <v>9</v>
      </c>
      <c r="B57" s="477">
        <v>45.2</v>
      </c>
      <c r="C57" s="477">
        <v>0</v>
      </c>
      <c r="D57" s="477">
        <f t="shared" si="3"/>
        <v>45.2</v>
      </c>
      <c r="E57" s="478"/>
      <c r="F57" s="468"/>
      <c r="G57" s="468"/>
      <c r="H57" s="468"/>
      <c r="I57" s="468"/>
      <c r="J57" s="468"/>
      <c r="K57" s="468"/>
    </row>
    <row r="58" spans="1:21" x14ac:dyDescent="0.2">
      <c r="A58" s="15" t="s">
        <v>20</v>
      </c>
      <c r="B58" s="477">
        <v>0</v>
      </c>
      <c r="C58" s="477">
        <v>0</v>
      </c>
      <c r="D58" s="477">
        <f t="shared" si="3"/>
        <v>0</v>
      </c>
      <c r="E58" s="478"/>
      <c r="F58" s="468"/>
      <c r="G58" s="468"/>
      <c r="H58" s="468"/>
      <c r="I58" s="468"/>
      <c r="J58" s="468"/>
      <c r="K58" s="468"/>
    </row>
    <row r="59" spans="1:21" x14ac:dyDescent="0.2">
      <c r="A59" s="15" t="s">
        <v>49</v>
      </c>
      <c r="B59" s="477">
        <v>3.3</v>
      </c>
      <c r="C59" s="477">
        <v>0</v>
      </c>
      <c r="D59" s="477">
        <f t="shared" si="3"/>
        <v>3.3</v>
      </c>
      <c r="E59" s="478"/>
      <c r="F59" s="468"/>
      <c r="G59" s="468"/>
      <c r="H59" s="468"/>
      <c r="I59" s="468"/>
      <c r="J59" s="468"/>
      <c r="K59" s="468"/>
    </row>
    <row r="60" spans="1:21" x14ac:dyDescent="0.2">
      <c r="A60" s="15" t="s">
        <v>29</v>
      </c>
      <c r="B60" s="477">
        <v>0</v>
      </c>
      <c r="C60" s="477">
        <v>0</v>
      </c>
      <c r="D60" s="477">
        <f t="shared" ref="D60" si="4">B60-C60</f>
        <v>0</v>
      </c>
      <c r="E60" s="478"/>
      <c r="F60" s="468"/>
      <c r="G60" s="468"/>
      <c r="H60" s="468"/>
      <c r="I60" s="468"/>
      <c r="J60" s="468"/>
      <c r="K60" s="468"/>
    </row>
    <row r="61" spans="1:21" x14ac:dyDescent="0.2">
      <c r="A61" s="343"/>
      <c r="B61" s="479"/>
      <c r="C61" s="480"/>
      <c r="D61" s="479"/>
      <c r="E61" s="481"/>
      <c r="F61" s="479"/>
      <c r="G61" s="468"/>
      <c r="H61" s="468"/>
      <c r="I61" s="468"/>
      <c r="J61" s="468"/>
      <c r="K61" s="468"/>
      <c r="L61" s="468"/>
    </row>
    <row r="62" spans="1:21" ht="15.75" x14ac:dyDescent="0.25">
      <c r="A62" s="594" t="s">
        <v>408</v>
      </c>
      <c r="B62" s="595"/>
      <c r="C62" s="487"/>
      <c r="D62" s="487"/>
      <c r="E62" s="488"/>
      <c r="F62" s="436"/>
      <c r="G62" s="436"/>
      <c r="H62" s="436"/>
      <c r="I62" s="468"/>
      <c r="J62" s="468"/>
      <c r="K62" s="468"/>
      <c r="L62" s="468"/>
      <c r="M62" s="488"/>
      <c r="N62" s="436"/>
      <c r="O62" s="436"/>
    </row>
    <row r="63" spans="1:21" ht="63.75" x14ac:dyDescent="0.2">
      <c r="A63" s="160" t="s">
        <v>2</v>
      </c>
      <c r="B63" s="471" t="s">
        <v>400</v>
      </c>
      <c r="C63" s="471" t="s">
        <v>409</v>
      </c>
      <c r="D63" s="471" t="s">
        <v>410</v>
      </c>
      <c r="E63" s="489" t="s">
        <v>411</v>
      </c>
      <c r="F63" s="490" t="s">
        <v>412</v>
      </c>
      <c r="G63" s="489" t="s">
        <v>413</v>
      </c>
      <c r="H63" s="491"/>
      <c r="I63" s="468"/>
      <c r="J63" s="468"/>
      <c r="K63" s="468"/>
      <c r="L63" s="468"/>
      <c r="M63" s="468"/>
      <c r="N63" s="468"/>
      <c r="O63" s="468"/>
      <c r="P63" s="468"/>
      <c r="Q63" s="468"/>
      <c r="R63" s="468"/>
      <c r="S63" s="468"/>
      <c r="T63" s="468"/>
      <c r="U63" s="468"/>
    </row>
    <row r="64" spans="1:21" x14ac:dyDescent="0.2">
      <c r="A64" s="159" t="s">
        <v>43</v>
      </c>
      <c r="B64" s="39">
        <f>B26-B27-B34-B36-B39-B40-B41</f>
        <v>378.79999999999734</v>
      </c>
      <c r="C64" s="39">
        <f>C26-C27-C34-C36-C39-C40-C41</f>
        <v>409.4</v>
      </c>
      <c r="D64" s="39">
        <f>D26-D27-D34-D36-D39-D40-D41</f>
        <v>-30.600000000002524</v>
      </c>
      <c r="E64" s="41">
        <f>B64*D5</f>
        <v>122693.31999999913</v>
      </c>
      <c r="F64" s="41">
        <f t="shared" ref="F64:F78" si="5">C64*D5</f>
        <v>132604.65999999997</v>
      </c>
      <c r="G64" s="492">
        <f>E64-F64</f>
        <v>-9911.3400000008405</v>
      </c>
      <c r="H64" s="90"/>
      <c r="I64" s="468"/>
      <c r="J64" s="468"/>
      <c r="K64" s="468"/>
      <c r="L64" s="468"/>
    </row>
    <row r="65" spans="1:19" x14ac:dyDescent="0.2">
      <c r="A65" s="159" t="s">
        <v>46</v>
      </c>
      <c r="B65" s="39">
        <f>B27-B28-B29-B38</f>
        <v>532.90000000000032</v>
      </c>
      <c r="C65" s="39">
        <f>C27-C28-C29-C38</f>
        <v>23.799999999999951</v>
      </c>
      <c r="D65" s="39">
        <f>D27-D28-D29-D38</f>
        <v>509.10000000000048</v>
      </c>
      <c r="E65" s="41">
        <f t="shared" ref="E65:E78" si="6">B65*D6</f>
        <v>172606.31000000008</v>
      </c>
      <c r="F65" s="41">
        <f t="shared" si="5"/>
        <v>7708.8199999999833</v>
      </c>
      <c r="G65" s="492">
        <f t="shared" ref="G65:G79" si="7">E65-F65</f>
        <v>164897.49000000011</v>
      </c>
      <c r="H65" s="90"/>
    </row>
    <row r="66" spans="1:19" x14ac:dyDescent="0.2">
      <c r="A66" s="159" t="s">
        <v>45</v>
      </c>
      <c r="B66" s="39">
        <f>B28-B30-B32</f>
        <v>37.300000000000033</v>
      </c>
      <c r="C66" s="39">
        <f>C28-C30-C32</f>
        <v>564.79999999999995</v>
      </c>
      <c r="D66" s="39">
        <f>D28-D30-D32</f>
        <v>-527.49999999999989</v>
      </c>
      <c r="E66" s="41">
        <f t="shared" si="6"/>
        <v>12081.47000000001</v>
      </c>
      <c r="F66" s="41">
        <f t="shared" si="5"/>
        <v>182938.71999999997</v>
      </c>
      <c r="G66" s="492">
        <f t="shared" si="7"/>
        <v>-170857.24999999997</v>
      </c>
      <c r="H66" s="90"/>
    </row>
    <row r="67" spans="1:19" x14ac:dyDescent="0.2">
      <c r="A67" s="159" t="s">
        <v>44</v>
      </c>
      <c r="B67" s="39">
        <f>B29-B33-B37</f>
        <v>5.4000000000000021</v>
      </c>
      <c r="C67" s="39">
        <f>C29-C33-C37</f>
        <v>0</v>
      </c>
      <c r="D67" s="39">
        <f>D29-D33-D37</f>
        <v>5.4</v>
      </c>
      <c r="E67" s="41">
        <f t="shared" si="6"/>
        <v>1749.0600000000006</v>
      </c>
      <c r="F67" s="41">
        <f t="shared" si="5"/>
        <v>0</v>
      </c>
      <c r="G67" s="492">
        <f t="shared" si="7"/>
        <v>1749.0600000000006</v>
      </c>
      <c r="H67" s="90"/>
    </row>
    <row r="68" spans="1:19" x14ac:dyDescent="0.2">
      <c r="A68" s="159" t="s">
        <v>36</v>
      </c>
      <c r="B68" s="39">
        <f>B30-B31</f>
        <v>14.099999999999998</v>
      </c>
      <c r="C68" s="39">
        <f>C30-C31</f>
        <v>7.6000000000000014</v>
      </c>
      <c r="D68" s="39">
        <f>D30-D31</f>
        <v>6.4999999999999964</v>
      </c>
      <c r="E68" s="41">
        <f t="shared" si="6"/>
        <v>4566.9899999999989</v>
      </c>
      <c r="F68" s="41">
        <f t="shared" si="5"/>
        <v>2461.6400000000003</v>
      </c>
      <c r="G68" s="492">
        <f t="shared" si="7"/>
        <v>2105.3499999999985</v>
      </c>
      <c r="H68" s="90"/>
    </row>
    <row r="69" spans="1:19" x14ac:dyDescent="0.2">
      <c r="A69" s="159" t="s">
        <v>33</v>
      </c>
      <c r="B69" s="39">
        <f>VLOOKUP($A69,$A$26:$D$41,2,0)</f>
        <v>5.8000000000000007</v>
      </c>
      <c r="C69" s="39">
        <f>VLOOKUP($A69,$A$26:$D$41,3,0)</f>
        <v>32.5</v>
      </c>
      <c r="D69" s="39">
        <f>VLOOKUP($A69,$A$26:$D$41,4,0)</f>
        <v>-26.7</v>
      </c>
      <c r="E69" s="41">
        <f t="shared" si="6"/>
        <v>1878.6200000000001</v>
      </c>
      <c r="F69" s="41">
        <f t="shared" si="5"/>
        <v>10526.75</v>
      </c>
      <c r="G69" s="492">
        <f t="shared" si="7"/>
        <v>-8648.1299999999992</v>
      </c>
      <c r="H69" s="90"/>
    </row>
    <row r="70" spans="1:19" x14ac:dyDescent="0.2">
      <c r="A70" s="159" t="s">
        <v>34</v>
      </c>
      <c r="B70" s="39">
        <f t="shared" ref="B70:B79" si="8">VLOOKUP($A70,$A$26:$D$41,2,0)</f>
        <v>1</v>
      </c>
      <c r="C70" s="39">
        <f t="shared" ref="C70:C79" si="9">VLOOKUP($A70,$A$26:$D$41,3,0)</f>
        <v>26.1</v>
      </c>
      <c r="D70" s="39">
        <f t="shared" ref="D70:D79" si="10">VLOOKUP($A70,$A$26:$D$41,4,0)</f>
        <v>-25.1</v>
      </c>
      <c r="E70" s="41">
        <f t="shared" si="6"/>
        <v>323.89999999999998</v>
      </c>
      <c r="F70" s="41">
        <f t="shared" si="5"/>
        <v>8453.7899999999991</v>
      </c>
      <c r="G70" s="492">
        <f t="shared" si="7"/>
        <v>-8129.8899999999994</v>
      </c>
      <c r="H70" s="90"/>
    </row>
    <row r="71" spans="1:19" x14ac:dyDescent="0.2">
      <c r="A71" s="159" t="s">
        <v>14</v>
      </c>
      <c r="B71" s="39">
        <f t="shared" si="8"/>
        <v>8.9</v>
      </c>
      <c r="C71" s="39">
        <f t="shared" si="9"/>
        <v>79.400000000000006</v>
      </c>
      <c r="D71" s="39">
        <f t="shared" si="10"/>
        <v>-70.5</v>
      </c>
      <c r="E71" s="41">
        <f t="shared" si="6"/>
        <v>2882.71</v>
      </c>
      <c r="F71" s="41">
        <f t="shared" si="5"/>
        <v>25717.66</v>
      </c>
      <c r="G71" s="492">
        <f t="shared" si="7"/>
        <v>-22834.95</v>
      </c>
      <c r="H71" s="90"/>
    </row>
    <row r="72" spans="1:19" x14ac:dyDescent="0.2">
      <c r="A72" s="159" t="s">
        <v>97</v>
      </c>
      <c r="B72" s="39">
        <f>B34-B35</f>
        <v>10.800000000000002</v>
      </c>
      <c r="C72" s="39">
        <f>C34-C35</f>
        <v>144</v>
      </c>
      <c r="D72" s="39">
        <f>D34-D35</f>
        <v>-133.19999999999999</v>
      </c>
      <c r="E72" s="41">
        <f t="shared" si="6"/>
        <v>3498.1200000000003</v>
      </c>
      <c r="F72" s="41">
        <f t="shared" si="5"/>
        <v>46641.599999999999</v>
      </c>
      <c r="G72" s="492">
        <f t="shared" si="7"/>
        <v>-43143.479999999996</v>
      </c>
      <c r="H72" s="90"/>
    </row>
    <row r="73" spans="1:19" x14ac:dyDescent="0.2">
      <c r="A73" s="159" t="s">
        <v>96</v>
      </c>
      <c r="B73" s="39">
        <f t="shared" si="8"/>
        <v>0.2</v>
      </c>
      <c r="C73" s="39">
        <f t="shared" si="9"/>
        <v>30</v>
      </c>
      <c r="D73" s="39">
        <f t="shared" si="10"/>
        <v>-29.8</v>
      </c>
      <c r="E73" s="41">
        <f t="shared" si="6"/>
        <v>64.78</v>
      </c>
      <c r="F73" s="41">
        <f t="shared" si="5"/>
        <v>9717</v>
      </c>
      <c r="G73" s="492">
        <f t="shared" si="7"/>
        <v>-9652.2199999999993</v>
      </c>
      <c r="H73" s="90"/>
    </row>
    <row r="74" spans="1:19" x14ac:dyDescent="0.2">
      <c r="A74" s="15" t="s">
        <v>19</v>
      </c>
      <c r="B74" s="39">
        <f t="shared" si="8"/>
        <v>265.20000000000005</v>
      </c>
      <c r="C74" s="39">
        <f t="shared" si="9"/>
        <v>82.6</v>
      </c>
      <c r="D74" s="39">
        <f t="shared" si="10"/>
        <v>182.60000000000005</v>
      </c>
      <c r="E74" s="41">
        <f t="shared" si="6"/>
        <v>85898.280000000013</v>
      </c>
      <c r="F74" s="41">
        <f t="shared" si="5"/>
        <v>26754.139999999996</v>
      </c>
      <c r="G74" s="492">
        <f t="shared" si="7"/>
        <v>59144.140000000014</v>
      </c>
      <c r="H74" s="90"/>
    </row>
    <row r="75" spans="1:19" x14ac:dyDescent="0.2">
      <c r="A75" s="15" t="s">
        <v>10</v>
      </c>
      <c r="B75" s="39">
        <f t="shared" si="8"/>
        <v>5.4</v>
      </c>
      <c r="C75" s="39">
        <f t="shared" si="9"/>
        <v>8.3000000000000007</v>
      </c>
      <c r="D75" s="39">
        <f t="shared" si="10"/>
        <v>-2.9000000000000004</v>
      </c>
      <c r="E75" s="41">
        <f t="shared" si="6"/>
        <v>3022.056</v>
      </c>
      <c r="F75" s="41">
        <f t="shared" si="5"/>
        <v>4645.0120000000006</v>
      </c>
      <c r="G75" s="492">
        <f t="shared" si="7"/>
        <v>-1622.9560000000006</v>
      </c>
      <c r="H75" s="90"/>
    </row>
    <row r="76" spans="1:19" x14ac:dyDescent="0.2">
      <c r="A76" s="15" t="s">
        <v>9</v>
      </c>
      <c r="B76" s="39">
        <f>VLOOKUP($A76,$A$26:$D$41,2,0)</f>
        <v>167.90000000000003</v>
      </c>
      <c r="C76" s="39">
        <f t="shared" si="9"/>
        <v>31.3</v>
      </c>
      <c r="D76" s="39">
        <f t="shared" si="10"/>
        <v>136.60000000000002</v>
      </c>
      <c r="E76" s="41">
        <f t="shared" si="6"/>
        <v>54382.810000000005</v>
      </c>
      <c r="F76" s="41">
        <f t="shared" si="5"/>
        <v>10138.07</v>
      </c>
      <c r="G76" s="492">
        <f t="shared" si="7"/>
        <v>44244.740000000005</v>
      </c>
      <c r="H76" s="90"/>
    </row>
    <row r="77" spans="1:19" x14ac:dyDescent="0.2">
      <c r="A77" s="15" t="s">
        <v>20</v>
      </c>
      <c r="B77" s="39">
        <f t="shared" si="8"/>
        <v>0.2</v>
      </c>
      <c r="C77" s="39">
        <f t="shared" si="9"/>
        <v>427.6</v>
      </c>
      <c r="D77" s="39">
        <f t="shared" si="10"/>
        <v>-427.40000000000003</v>
      </c>
      <c r="E77" s="41">
        <f t="shared" si="6"/>
        <v>64.78</v>
      </c>
      <c r="F77" s="41">
        <f t="shared" si="5"/>
        <v>138499.63999999998</v>
      </c>
      <c r="G77" s="492">
        <f t="shared" si="7"/>
        <v>-138434.85999999999</v>
      </c>
      <c r="H77" s="90"/>
    </row>
    <row r="78" spans="1:19" x14ac:dyDescent="0.2">
      <c r="A78" s="15" t="s">
        <v>49</v>
      </c>
      <c r="B78" s="39">
        <f t="shared" si="8"/>
        <v>0.5</v>
      </c>
      <c r="C78" s="39">
        <f t="shared" si="9"/>
        <v>19.8</v>
      </c>
      <c r="D78" s="39">
        <f t="shared" si="10"/>
        <v>-19.3</v>
      </c>
      <c r="E78" s="41">
        <f t="shared" si="6"/>
        <v>161.94999999999999</v>
      </c>
      <c r="F78" s="41">
        <f t="shared" si="5"/>
        <v>6413.2199999999993</v>
      </c>
      <c r="G78" s="492">
        <f t="shared" si="7"/>
        <v>-6251.2699999999995</v>
      </c>
      <c r="H78" s="90"/>
      <c r="K78" s="468"/>
      <c r="L78" s="468"/>
      <c r="M78" s="468"/>
      <c r="N78" s="468"/>
      <c r="O78" s="468"/>
      <c r="P78" s="468"/>
      <c r="Q78" s="468"/>
      <c r="R78" s="468"/>
      <c r="S78" s="468"/>
    </row>
    <row r="79" spans="1:19" x14ac:dyDescent="0.2">
      <c r="A79" s="15" t="s">
        <v>29</v>
      </c>
      <c r="B79" s="39">
        <f t="shared" si="8"/>
        <v>394.10000000000025</v>
      </c>
      <c r="C79" s="39">
        <f t="shared" si="9"/>
        <v>162.4</v>
      </c>
      <c r="D79" s="39">
        <f t="shared" si="10"/>
        <v>231.70000000000024</v>
      </c>
      <c r="E79" s="41">
        <f>B79*D20</f>
        <v>127648.99000000008</v>
      </c>
      <c r="F79" s="41">
        <f>C79*D20</f>
        <v>52601.36</v>
      </c>
      <c r="G79" s="492">
        <f t="shared" si="7"/>
        <v>75047.630000000077</v>
      </c>
      <c r="H79" s="90"/>
      <c r="K79" s="468"/>
      <c r="L79" s="468"/>
      <c r="M79" s="468"/>
      <c r="N79" s="468"/>
      <c r="O79" s="468"/>
      <c r="P79" s="468"/>
      <c r="Q79" s="468"/>
      <c r="R79" s="468"/>
      <c r="S79" s="468"/>
    </row>
    <row r="80" spans="1:19" x14ac:dyDescent="0.2">
      <c r="A80" s="57" t="s">
        <v>47</v>
      </c>
      <c r="B80" s="45">
        <f t="shared" ref="B80:G80" si="11">SUM(B64:B79)</f>
        <v>1828.4999999999982</v>
      </c>
      <c r="C80" s="45">
        <f t="shared" si="11"/>
        <v>2049.5999999999995</v>
      </c>
      <c r="D80" s="45">
        <f t="shared" si="11"/>
        <v>-221.1000000000017</v>
      </c>
      <c r="E80" s="58">
        <f t="shared" si="11"/>
        <v>593524.14599999937</v>
      </c>
      <c r="F80" s="58">
        <f t="shared" si="11"/>
        <v>665822.08199999982</v>
      </c>
      <c r="G80" s="58">
        <f t="shared" si="11"/>
        <v>-72297.936000000584</v>
      </c>
      <c r="H80" s="493"/>
      <c r="K80" s="468"/>
      <c r="L80" s="468"/>
      <c r="M80" s="468"/>
      <c r="N80" s="468"/>
      <c r="O80" s="468"/>
      <c r="P80" s="468"/>
      <c r="Q80" s="468"/>
      <c r="R80" s="468"/>
      <c r="S80" s="468"/>
    </row>
    <row r="81" spans="1:19" x14ac:dyDescent="0.2">
      <c r="A81" s="341"/>
      <c r="B81" s="494"/>
      <c r="C81" s="494"/>
      <c r="D81" s="494"/>
      <c r="E81" s="495"/>
      <c r="F81" s="494"/>
      <c r="G81" s="494"/>
      <c r="H81" s="494"/>
      <c r="I81" s="437"/>
      <c r="K81" s="468"/>
      <c r="L81" s="468"/>
      <c r="M81" s="468"/>
      <c r="N81" s="468"/>
      <c r="O81" s="468"/>
      <c r="P81" s="468"/>
      <c r="Q81" s="468"/>
      <c r="R81" s="468"/>
      <c r="S81" s="468"/>
    </row>
    <row r="82" spans="1:19" ht="15.75" x14ac:dyDescent="0.25">
      <c r="A82" s="596" t="s">
        <v>414</v>
      </c>
      <c r="B82" s="597"/>
      <c r="C82" s="439"/>
      <c r="D82" s="439"/>
      <c r="F82" s="496"/>
      <c r="G82" s="487" t="s">
        <v>23</v>
      </c>
      <c r="H82" s="487"/>
      <c r="K82" s="468"/>
      <c r="L82" s="468"/>
      <c r="M82" s="468"/>
      <c r="N82" s="468"/>
      <c r="O82" s="468"/>
      <c r="P82" s="468"/>
      <c r="Q82" s="468"/>
      <c r="R82" s="468"/>
      <c r="S82" s="468"/>
    </row>
    <row r="83" spans="1:19" ht="63.75" x14ac:dyDescent="0.2">
      <c r="A83" s="497" t="s">
        <v>2</v>
      </c>
      <c r="B83" s="144" t="s">
        <v>132</v>
      </c>
      <c r="C83" s="161" t="s">
        <v>133</v>
      </c>
      <c r="D83" s="161" t="s">
        <v>134</v>
      </c>
      <c r="E83" s="161" t="s">
        <v>135</v>
      </c>
      <c r="F83" s="162" t="s">
        <v>110</v>
      </c>
      <c r="G83" s="160" t="s">
        <v>138</v>
      </c>
      <c r="H83" s="160" t="s">
        <v>415</v>
      </c>
      <c r="I83" s="160" t="s">
        <v>416</v>
      </c>
      <c r="K83" s="468"/>
      <c r="L83" s="468"/>
      <c r="M83" s="468"/>
      <c r="N83" s="468"/>
      <c r="O83" s="468"/>
      <c r="P83" s="468"/>
      <c r="Q83" s="468"/>
      <c r="R83" s="468"/>
      <c r="S83" s="468"/>
    </row>
    <row r="84" spans="1:19" x14ac:dyDescent="0.2">
      <c r="A84" s="159" t="s">
        <v>43</v>
      </c>
      <c r="B84" s="39">
        <f>E26-E27-E34-E36-E39-E40</f>
        <v>0</v>
      </c>
      <c r="C84" s="23">
        <f t="shared" ref="C84:C99" si="12">B84*D5</f>
        <v>0</v>
      </c>
      <c r="D84" s="23">
        <v>0</v>
      </c>
      <c r="E84" s="23">
        <v>0</v>
      </c>
      <c r="F84" s="23">
        <v>0</v>
      </c>
      <c r="G84" s="41">
        <v>0</v>
      </c>
      <c r="H84" s="23">
        <v>0</v>
      </c>
      <c r="I84" s="23">
        <v>0</v>
      </c>
      <c r="K84" s="468"/>
      <c r="L84" s="468"/>
      <c r="M84" s="468"/>
      <c r="N84" s="468"/>
      <c r="O84" s="468"/>
      <c r="P84" s="468"/>
      <c r="Q84" s="468"/>
      <c r="R84" s="468"/>
      <c r="S84" s="468"/>
    </row>
    <row r="85" spans="1:19" x14ac:dyDescent="0.2">
      <c r="A85" s="159" t="s">
        <v>46</v>
      </c>
      <c r="B85" s="39">
        <f>E27-E28-E29-E38</f>
        <v>0</v>
      </c>
      <c r="C85" s="23">
        <f t="shared" si="12"/>
        <v>0</v>
      </c>
      <c r="D85" s="23">
        <v>0</v>
      </c>
      <c r="E85" s="23">
        <v>0</v>
      </c>
      <c r="F85" s="23">
        <v>0</v>
      </c>
      <c r="G85" s="41">
        <v>0</v>
      </c>
      <c r="H85" s="23">
        <v>0</v>
      </c>
      <c r="I85" s="23">
        <v>0</v>
      </c>
      <c r="K85" s="468"/>
      <c r="L85" s="468"/>
      <c r="M85" s="468"/>
      <c r="N85" s="468"/>
      <c r="O85" s="468"/>
      <c r="P85" s="468"/>
      <c r="Q85" s="468"/>
      <c r="R85" s="468"/>
      <c r="S85" s="468"/>
    </row>
    <row r="86" spans="1:19" x14ac:dyDescent="0.2">
      <c r="A86" s="159" t="s">
        <v>45</v>
      </c>
      <c r="B86" s="39">
        <f>E28-E30-E32</f>
        <v>0</v>
      </c>
      <c r="C86" s="23">
        <f t="shared" si="12"/>
        <v>0</v>
      </c>
      <c r="D86" s="23">
        <v>0</v>
      </c>
      <c r="E86" s="23">
        <v>0</v>
      </c>
      <c r="F86" s="23">
        <v>0</v>
      </c>
      <c r="G86" s="41">
        <v>0</v>
      </c>
      <c r="H86" s="23">
        <v>0</v>
      </c>
      <c r="I86" s="23">
        <v>0</v>
      </c>
      <c r="K86" s="468"/>
      <c r="L86" s="468"/>
      <c r="M86" s="468"/>
      <c r="N86" s="468"/>
      <c r="O86" s="468"/>
      <c r="P86" s="468"/>
      <c r="Q86" s="468"/>
      <c r="R86" s="468"/>
      <c r="S86" s="468"/>
    </row>
    <row r="87" spans="1:19" x14ac:dyDescent="0.2">
      <c r="A87" s="159" t="s">
        <v>44</v>
      </c>
      <c r="B87" s="39">
        <f>E29-E33-E37</f>
        <v>0</v>
      </c>
      <c r="C87" s="23">
        <f t="shared" si="12"/>
        <v>0</v>
      </c>
      <c r="D87" s="23">
        <v>0</v>
      </c>
      <c r="E87" s="23">
        <v>0</v>
      </c>
      <c r="F87" s="23">
        <v>0</v>
      </c>
      <c r="G87" s="41">
        <v>0</v>
      </c>
      <c r="H87" s="23">
        <v>0</v>
      </c>
      <c r="I87" s="23">
        <v>0</v>
      </c>
      <c r="K87" s="468"/>
      <c r="L87" s="468"/>
      <c r="M87" s="468"/>
      <c r="N87" s="468"/>
      <c r="O87" s="468"/>
      <c r="P87" s="468"/>
      <c r="Q87" s="468"/>
      <c r="R87" s="468"/>
      <c r="S87" s="468"/>
    </row>
    <row r="88" spans="1:19" x14ac:dyDescent="0.2">
      <c r="A88" s="159" t="s">
        <v>36</v>
      </c>
      <c r="B88" s="39">
        <f>E30-E31</f>
        <v>0</v>
      </c>
      <c r="C88" s="23">
        <f t="shared" si="12"/>
        <v>0</v>
      </c>
      <c r="D88" s="23">
        <v>0</v>
      </c>
      <c r="E88" s="23">
        <v>0</v>
      </c>
      <c r="F88" s="23">
        <v>0</v>
      </c>
      <c r="G88" s="41">
        <v>0</v>
      </c>
      <c r="H88" s="23">
        <v>0</v>
      </c>
      <c r="I88" s="23">
        <v>0</v>
      </c>
      <c r="K88" s="468"/>
      <c r="L88" s="468"/>
      <c r="M88" s="468"/>
      <c r="N88" s="468"/>
      <c r="O88" s="468"/>
      <c r="P88" s="468"/>
      <c r="Q88" s="468"/>
      <c r="R88" s="468"/>
      <c r="S88" s="468"/>
    </row>
    <row r="89" spans="1:19" x14ac:dyDescent="0.2">
      <c r="A89" s="159" t="s">
        <v>33</v>
      </c>
      <c r="B89" s="39">
        <f>E31</f>
        <v>0</v>
      </c>
      <c r="C89" s="23">
        <f t="shared" si="12"/>
        <v>0</v>
      </c>
      <c r="D89" s="23">
        <v>0</v>
      </c>
      <c r="E89" s="23">
        <v>0</v>
      </c>
      <c r="F89" s="23">
        <v>0</v>
      </c>
      <c r="G89" s="41">
        <v>0</v>
      </c>
      <c r="H89" s="23">
        <v>0</v>
      </c>
      <c r="I89" s="23">
        <v>0</v>
      </c>
      <c r="K89" s="468"/>
      <c r="L89" s="468"/>
      <c r="M89" s="468"/>
      <c r="N89" s="468"/>
      <c r="O89" s="468"/>
      <c r="P89" s="468"/>
      <c r="Q89" s="468"/>
      <c r="R89" s="468"/>
      <c r="S89" s="468"/>
    </row>
    <row r="90" spans="1:19" x14ac:dyDescent="0.2">
      <c r="A90" s="159" t="s">
        <v>34</v>
      </c>
      <c r="B90" s="39">
        <f>E32</f>
        <v>0</v>
      </c>
      <c r="C90" s="23">
        <f t="shared" si="12"/>
        <v>0</v>
      </c>
      <c r="D90" s="23">
        <v>0</v>
      </c>
      <c r="E90" s="23">
        <v>0</v>
      </c>
      <c r="F90" s="23">
        <v>0</v>
      </c>
      <c r="G90" s="41">
        <v>0</v>
      </c>
      <c r="H90" s="23">
        <v>0</v>
      </c>
      <c r="I90" s="23">
        <v>0</v>
      </c>
      <c r="K90" s="468"/>
      <c r="L90" s="468"/>
      <c r="M90" s="468"/>
      <c r="N90" s="468"/>
      <c r="O90" s="468"/>
      <c r="P90" s="468"/>
      <c r="Q90" s="468"/>
      <c r="R90" s="468"/>
      <c r="S90" s="468"/>
    </row>
    <row r="91" spans="1:19" x14ac:dyDescent="0.2">
      <c r="A91" s="159" t="s">
        <v>14</v>
      </c>
      <c r="B91" s="39">
        <f>E33</f>
        <v>0</v>
      </c>
      <c r="C91" s="23">
        <f t="shared" si="12"/>
        <v>0</v>
      </c>
      <c r="D91" s="23">
        <v>0</v>
      </c>
      <c r="E91" s="23">
        <v>0</v>
      </c>
      <c r="F91" s="23">
        <v>0</v>
      </c>
      <c r="G91" s="41">
        <v>0</v>
      </c>
      <c r="H91" s="23">
        <v>0</v>
      </c>
      <c r="I91" s="23">
        <v>0</v>
      </c>
      <c r="K91" s="468"/>
      <c r="L91" s="468"/>
      <c r="M91" s="468"/>
      <c r="N91" s="468"/>
      <c r="O91" s="468"/>
      <c r="P91" s="468"/>
      <c r="Q91" s="468"/>
      <c r="R91" s="468"/>
      <c r="S91" s="468"/>
    </row>
    <row r="92" spans="1:19" x14ac:dyDescent="0.2">
      <c r="A92" s="159" t="s">
        <v>97</v>
      </c>
      <c r="B92" s="39">
        <f>E34-E35</f>
        <v>0</v>
      </c>
      <c r="C92" s="23">
        <f t="shared" si="12"/>
        <v>0</v>
      </c>
      <c r="D92" s="23">
        <v>0</v>
      </c>
      <c r="E92" s="23">
        <v>0</v>
      </c>
      <c r="F92" s="23">
        <v>0</v>
      </c>
      <c r="G92" s="41">
        <v>0</v>
      </c>
      <c r="H92" s="23">
        <v>0</v>
      </c>
      <c r="I92" s="23">
        <v>0</v>
      </c>
    </row>
    <row r="93" spans="1:19" x14ac:dyDescent="0.2">
      <c r="A93" s="15" t="s">
        <v>96</v>
      </c>
      <c r="B93" s="39">
        <f t="shared" ref="B93:B99" si="13">E35</f>
        <v>0</v>
      </c>
      <c r="C93" s="23">
        <f t="shared" si="12"/>
        <v>0</v>
      </c>
      <c r="D93" s="23">
        <v>0</v>
      </c>
      <c r="E93" s="23">
        <v>0</v>
      </c>
      <c r="F93" s="23">
        <v>0</v>
      </c>
      <c r="G93" s="41">
        <v>0</v>
      </c>
      <c r="H93" s="23">
        <v>0</v>
      </c>
      <c r="I93" s="23">
        <v>0</v>
      </c>
    </row>
    <row r="94" spans="1:19" x14ac:dyDescent="0.2">
      <c r="A94" s="15" t="s">
        <v>19</v>
      </c>
      <c r="B94" s="39">
        <f t="shared" si="13"/>
        <v>0</v>
      </c>
      <c r="C94" s="23">
        <f t="shared" si="12"/>
        <v>0</v>
      </c>
      <c r="D94" s="23">
        <v>0</v>
      </c>
      <c r="E94" s="23">
        <v>0</v>
      </c>
      <c r="F94" s="23">
        <v>0</v>
      </c>
      <c r="G94" s="41">
        <v>0</v>
      </c>
      <c r="H94" s="23">
        <v>0</v>
      </c>
      <c r="I94" s="23">
        <v>0</v>
      </c>
    </row>
    <row r="95" spans="1:19" x14ac:dyDescent="0.2">
      <c r="A95" s="15" t="s">
        <v>10</v>
      </c>
      <c r="B95" s="39">
        <f t="shared" si="13"/>
        <v>0</v>
      </c>
      <c r="C95" s="23">
        <f t="shared" si="12"/>
        <v>0</v>
      </c>
      <c r="D95" s="23">
        <v>0</v>
      </c>
      <c r="E95" s="23">
        <v>0</v>
      </c>
      <c r="F95" s="23">
        <v>0</v>
      </c>
      <c r="G95" s="41">
        <v>0</v>
      </c>
      <c r="H95" s="23">
        <v>0</v>
      </c>
      <c r="I95" s="23">
        <v>0</v>
      </c>
    </row>
    <row r="96" spans="1:19" x14ac:dyDescent="0.2">
      <c r="A96" s="15" t="s">
        <v>9</v>
      </c>
      <c r="B96" s="39">
        <f t="shared" si="13"/>
        <v>0</v>
      </c>
      <c r="C96" s="23">
        <f t="shared" si="12"/>
        <v>0</v>
      </c>
      <c r="D96" s="23">
        <v>0</v>
      </c>
      <c r="E96" s="23">
        <v>0</v>
      </c>
      <c r="F96" s="23">
        <v>0</v>
      </c>
      <c r="G96" s="41">
        <v>0</v>
      </c>
      <c r="H96" s="23">
        <v>0</v>
      </c>
      <c r="I96" s="23">
        <v>0</v>
      </c>
    </row>
    <row r="97" spans="1:9" x14ac:dyDescent="0.2">
      <c r="A97" s="15" t="s">
        <v>20</v>
      </c>
      <c r="B97" s="39">
        <f t="shared" si="13"/>
        <v>0</v>
      </c>
      <c r="C97" s="23">
        <f t="shared" si="12"/>
        <v>0</v>
      </c>
      <c r="D97" s="23">
        <v>0</v>
      </c>
      <c r="E97" s="23">
        <v>0</v>
      </c>
      <c r="F97" s="23">
        <v>0</v>
      </c>
      <c r="G97" s="41">
        <v>0</v>
      </c>
      <c r="H97" s="23">
        <v>0</v>
      </c>
      <c r="I97" s="23">
        <v>0</v>
      </c>
    </row>
    <row r="98" spans="1:9" x14ac:dyDescent="0.2">
      <c r="A98" s="15" t="s">
        <v>49</v>
      </c>
      <c r="B98" s="39">
        <f t="shared" si="13"/>
        <v>0</v>
      </c>
      <c r="C98" s="23">
        <f t="shared" si="12"/>
        <v>0</v>
      </c>
      <c r="D98" s="23">
        <v>0</v>
      </c>
      <c r="E98" s="23">
        <v>0</v>
      </c>
      <c r="F98" s="23">
        <v>0</v>
      </c>
      <c r="G98" s="41">
        <v>0</v>
      </c>
      <c r="H98" s="23">
        <v>0</v>
      </c>
      <c r="I98" s="23">
        <v>0</v>
      </c>
    </row>
    <row r="99" spans="1:9" x14ac:dyDescent="0.2">
      <c r="A99" s="15" t="s">
        <v>29</v>
      </c>
      <c r="B99" s="39">
        <f t="shared" si="13"/>
        <v>0</v>
      </c>
      <c r="C99" s="23">
        <f t="shared" si="12"/>
        <v>0</v>
      </c>
      <c r="D99" s="23">
        <v>0</v>
      </c>
      <c r="E99" s="23">
        <v>0</v>
      </c>
      <c r="F99" s="23">
        <v>0</v>
      </c>
      <c r="G99" s="41">
        <v>0</v>
      </c>
      <c r="H99" s="23">
        <v>0</v>
      </c>
      <c r="I99" s="23">
        <v>0</v>
      </c>
    </row>
    <row r="100" spans="1:9" x14ac:dyDescent="0.2">
      <c r="A100" s="57" t="s">
        <v>47</v>
      </c>
      <c r="B100" s="45">
        <f t="shared" ref="B100:I100" si="14">SUM(B84:B98)</f>
        <v>0</v>
      </c>
      <c r="C100" s="34">
        <f t="shared" si="14"/>
        <v>0</v>
      </c>
      <c r="D100" s="34">
        <f>SUM(D84:D98)</f>
        <v>0</v>
      </c>
      <c r="E100" s="34">
        <f>SUM(E84:E96)</f>
        <v>0</v>
      </c>
      <c r="F100" s="34">
        <f>SUM(F84:F98)</f>
        <v>0</v>
      </c>
      <c r="G100" s="34">
        <f>SUM(G84:G98)</f>
        <v>0</v>
      </c>
      <c r="H100" s="34">
        <f t="shared" si="14"/>
        <v>0</v>
      </c>
      <c r="I100" s="34">
        <f t="shared" si="14"/>
        <v>0</v>
      </c>
    </row>
    <row r="102" spans="1:9" ht="15.75" x14ac:dyDescent="0.25">
      <c r="A102" s="583" t="s">
        <v>107</v>
      </c>
      <c r="B102" s="584"/>
      <c r="C102" s="584"/>
      <c r="D102" s="585"/>
    </row>
    <row r="103" spans="1:9" ht="38.25" x14ac:dyDescent="0.2">
      <c r="A103" s="19" t="s">
        <v>57</v>
      </c>
      <c r="B103" s="19" t="s">
        <v>108</v>
      </c>
      <c r="C103" s="19" t="s">
        <v>153</v>
      </c>
      <c r="D103" s="19" t="s">
        <v>58</v>
      </c>
    </row>
    <row r="104" spans="1:9" x14ac:dyDescent="0.2">
      <c r="A104" s="159" t="s">
        <v>27</v>
      </c>
      <c r="B104" s="145">
        <v>0</v>
      </c>
      <c r="C104" s="41">
        <f t="shared" ref="C104:C118" si="15">C6</f>
        <v>0</v>
      </c>
      <c r="D104" s="41">
        <f>B104*C104</f>
        <v>0</v>
      </c>
    </row>
    <row r="105" spans="1:9" x14ac:dyDescent="0.2">
      <c r="A105" s="159" t="s">
        <v>32</v>
      </c>
      <c r="B105" s="145">
        <v>0</v>
      </c>
      <c r="C105" s="41">
        <f t="shared" si="15"/>
        <v>0</v>
      </c>
      <c r="D105" s="41">
        <f t="shared" ref="D105:D117" si="16">B105*C105</f>
        <v>0</v>
      </c>
    </row>
    <row r="106" spans="1:9" x14ac:dyDescent="0.2">
      <c r="A106" s="159" t="s">
        <v>4</v>
      </c>
      <c r="B106" s="145">
        <v>0</v>
      </c>
      <c r="C106" s="41">
        <f t="shared" si="15"/>
        <v>0</v>
      </c>
      <c r="D106" s="41">
        <f t="shared" si="16"/>
        <v>0</v>
      </c>
    </row>
    <row r="107" spans="1:9" x14ac:dyDescent="0.2">
      <c r="A107" s="159" t="s">
        <v>7</v>
      </c>
      <c r="B107" s="145">
        <v>0</v>
      </c>
      <c r="C107" s="41">
        <f t="shared" si="15"/>
        <v>0</v>
      </c>
      <c r="D107" s="41">
        <f t="shared" si="16"/>
        <v>0</v>
      </c>
    </row>
    <row r="108" spans="1:9" x14ac:dyDescent="0.2">
      <c r="A108" s="159" t="s">
        <v>33</v>
      </c>
      <c r="B108" s="145">
        <v>0</v>
      </c>
      <c r="C108" s="41">
        <f t="shared" si="15"/>
        <v>0</v>
      </c>
      <c r="D108" s="41">
        <f t="shared" si="16"/>
        <v>0</v>
      </c>
    </row>
    <row r="109" spans="1:9" x14ac:dyDescent="0.2">
      <c r="A109" s="159" t="s">
        <v>34</v>
      </c>
      <c r="B109" s="145">
        <v>0</v>
      </c>
      <c r="C109" s="41">
        <f t="shared" si="15"/>
        <v>0</v>
      </c>
      <c r="D109" s="41">
        <f t="shared" si="16"/>
        <v>0</v>
      </c>
    </row>
    <row r="110" spans="1:9" x14ac:dyDescent="0.2">
      <c r="A110" s="15" t="s">
        <v>14</v>
      </c>
      <c r="B110" s="145">
        <v>0</v>
      </c>
      <c r="C110" s="41">
        <f t="shared" si="15"/>
        <v>0</v>
      </c>
      <c r="D110" s="41">
        <f t="shared" si="16"/>
        <v>0</v>
      </c>
    </row>
    <row r="111" spans="1:9" x14ac:dyDescent="0.2">
      <c r="A111" s="15" t="s">
        <v>42</v>
      </c>
      <c r="B111" s="145">
        <v>0</v>
      </c>
      <c r="C111" s="41">
        <f t="shared" si="15"/>
        <v>0</v>
      </c>
      <c r="D111" s="41">
        <f t="shared" si="16"/>
        <v>0</v>
      </c>
    </row>
    <row r="112" spans="1:9" x14ac:dyDescent="0.2">
      <c r="A112" s="15" t="s">
        <v>96</v>
      </c>
      <c r="B112" s="145">
        <v>0</v>
      </c>
      <c r="C112" s="41">
        <f t="shared" si="15"/>
        <v>0</v>
      </c>
      <c r="D112" s="41">
        <f t="shared" si="16"/>
        <v>0</v>
      </c>
    </row>
    <row r="113" spans="1:5" x14ac:dyDescent="0.2">
      <c r="A113" s="15" t="s">
        <v>19</v>
      </c>
      <c r="B113" s="145">
        <v>0</v>
      </c>
      <c r="C113" s="41">
        <f t="shared" si="15"/>
        <v>0</v>
      </c>
      <c r="D113" s="41">
        <f t="shared" si="16"/>
        <v>0</v>
      </c>
    </row>
    <row r="114" spans="1:5" x14ac:dyDescent="0.2">
      <c r="A114" s="15" t="s">
        <v>10</v>
      </c>
      <c r="B114" s="145">
        <v>0</v>
      </c>
      <c r="C114" s="41">
        <f t="shared" si="15"/>
        <v>235.74</v>
      </c>
      <c r="D114" s="41">
        <f t="shared" si="16"/>
        <v>0</v>
      </c>
    </row>
    <row r="115" spans="1:5" x14ac:dyDescent="0.2">
      <c r="A115" s="15" t="s">
        <v>9</v>
      </c>
      <c r="B115" s="145">
        <v>0</v>
      </c>
      <c r="C115" s="41">
        <f t="shared" si="15"/>
        <v>0</v>
      </c>
      <c r="D115" s="41">
        <f t="shared" si="16"/>
        <v>0</v>
      </c>
    </row>
    <row r="116" spans="1:5" x14ac:dyDescent="0.2">
      <c r="A116" s="186" t="s">
        <v>20</v>
      </c>
      <c r="B116" s="145">
        <v>0</v>
      </c>
      <c r="C116" s="41">
        <f t="shared" si="15"/>
        <v>0</v>
      </c>
      <c r="D116" s="41">
        <f t="shared" si="16"/>
        <v>0</v>
      </c>
    </row>
    <row r="117" spans="1:5" x14ac:dyDescent="0.2">
      <c r="A117" s="186" t="s">
        <v>49</v>
      </c>
      <c r="B117" s="145">
        <v>0</v>
      </c>
      <c r="C117" s="41">
        <f t="shared" si="15"/>
        <v>0</v>
      </c>
      <c r="D117" s="41">
        <f t="shared" si="16"/>
        <v>0</v>
      </c>
    </row>
    <row r="118" spans="1:5" x14ac:dyDescent="0.2">
      <c r="A118" s="186" t="s">
        <v>29</v>
      </c>
      <c r="B118" s="145">
        <v>0</v>
      </c>
      <c r="C118" s="41">
        <f t="shared" si="15"/>
        <v>0</v>
      </c>
      <c r="D118" s="41">
        <f t="shared" ref="D118" si="17">B118*C118</f>
        <v>0</v>
      </c>
    </row>
    <row r="119" spans="1:5" x14ac:dyDescent="0.2">
      <c r="A119" s="146" t="s">
        <v>47</v>
      </c>
      <c r="B119" s="159" t="s">
        <v>23</v>
      </c>
      <c r="C119" s="159"/>
      <c r="D119" s="58">
        <f>SUM(D104:D115)</f>
        <v>0</v>
      </c>
      <c r="E119" s="344" t="s">
        <v>23</v>
      </c>
    </row>
    <row r="120" spans="1:5" x14ac:dyDescent="0.2">
      <c r="A120" s="16" t="s">
        <v>154</v>
      </c>
      <c r="B120" s="14"/>
      <c r="C120" s="14"/>
      <c r="D120" s="14"/>
    </row>
  </sheetData>
  <mergeCells count="6">
    <mergeCell ref="A102:D102"/>
    <mergeCell ref="A3:B3"/>
    <mergeCell ref="A24:E24"/>
    <mergeCell ref="A43:C43"/>
    <mergeCell ref="A62:B62"/>
    <mergeCell ref="A82:B8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FZSF-FZCP</vt:lpstr>
      <vt:lpstr>UCAP Oblig.-ZCP</vt:lpstr>
      <vt:lpstr>Summary</vt:lpstr>
      <vt:lpstr>Pricing Points</vt:lpstr>
      <vt:lpstr>BRA Resource Clearing Results</vt:lpstr>
      <vt:lpstr>BRA Load Pricing Results</vt:lpstr>
      <vt:lpstr>BRA CTRs</vt:lpstr>
      <vt:lpstr>BRA ICTRs</vt:lpstr>
      <vt:lpstr>3rdIA Resource Clearing Results</vt:lpstr>
      <vt:lpstr>3rd IA Load Pricing Results</vt:lpstr>
      <vt:lpstr>3rd IA CTRs</vt:lpstr>
      <vt:lpstr>3rd IA ICTRs</vt:lpstr>
      <vt:lpstr>FPR</vt:lpstr>
      <vt:lpstr>OPL_ScalingFactor</vt:lpstr>
      <vt:lpstr>ParticipantBuyAndSell</vt:lpstr>
      <vt:lpstr>ParticipantNetCleared</vt:lpstr>
      <vt:lpstr>PjmNetCleared</vt:lpstr>
      <vt:lpstr>'3rd IA ICTRs'!Print_Area</vt:lpstr>
      <vt:lpstr>'BRA CTRs'!Print_Area</vt:lpstr>
      <vt:lpstr>'BRA ICTRs'!Print_Area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Keech</dc:creator>
  <cp:lastModifiedBy>Bachus, Tim D</cp:lastModifiedBy>
  <cp:lastPrinted>2019-09-17T17:18:56Z</cp:lastPrinted>
  <dcterms:created xsi:type="dcterms:W3CDTF">2007-03-21T19:37:11Z</dcterms:created>
  <dcterms:modified xsi:type="dcterms:W3CDTF">2025-03-11T18:52:14Z</dcterms:modified>
</cp:coreProperties>
</file>