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yiks\AppData\Roaming\OpenText\OTEdit\EC_cera\c269604978\"/>
    </mc:Choice>
  </mc:AlternateContent>
  <bookViews>
    <workbookView xWindow="0" yWindow="0" windowWidth="28800" windowHeight="12300" tabRatio="776"/>
  </bookViews>
  <sheets>
    <sheet name="Planning Parameters" sheetId="20" r:id="rId1"/>
    <sheet name="Net CONE" sheetId="2" r:id="rId2"/>
    <sheet name="Key Transmission Upgrades"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20" l="1"/>
  <c r="Q25" i="20"/>
  <c r="M25" i="20"/>
  <c r="J25" i="20"/>
  <c r="I25" i="20"/>
  <c r="E25" i="20"/>
  <c r="B25" i="20"/>
  <c r="R24" i="20"/>
  <c r="Q24" i="20"/>
  <c r="P24" i="20"/>
  <c r="O24" i="20"/>
  <c r="N24" i="20"/>
  <c r="M24" i="20"/>
  <c r="L24" i="20"/>
  <c r="K24" i="20"/>
  <c r="J24" i="20"/>
  <c r="I24" i="20"/>
  <c r="H24" i="20"/>
  <c r="G24" i="20"/>
  <c r="F24" i="20"/>
  <c r="E24" i="20"/>
  <c r="D24" i="20"/>
  <c r="C24" i="20"/>
  <c r="B24" i="20"/>
  <c r="R23" i="20"/>
  <c r="Q23" i="20"/>
  <c r="P23" i="20"/>
  <c r="P25" i="20" s="1"/>
  <c r="O23" i="20"/>
  <c r="O25" i="20" s="1"/>
  <c r="N23" i="20"/>
  <c r="N25" i="20" s="1"/>
  <c r="M23" i="20"/>
  <c r="L23" i="20"/>
  <c r="L25" i="20" s="1"/>
  <c r="K23" i="20"/>
  <c r="K25" i="20" s="1"/>
  <c r="J23" i="20"/>
  <c r="I23" i="20"/>
  <c r="H23" i="20"/>
  <c r="H25" i="20" s="1"/>
  <c r="G23" i="20"/>
  <c r="G25" i="20" s="1"/>
  <c r="F23" i="20"/>
  <c r="F25" i="20" s="1"/>
  <c r="E23" i="20"/>
  <c r="D23" i="20"/>
  <c r="D25" i="20" s="1"/>
  <c r="C23" i="20"/>
  <c r="C25" i="20" s="1"/>
  <c r="B23" i="20"/>
  <c r="R22" i="20"/>
  <c r="Q22" i="20"/>
  <c r="P22" i="20"/>
  <c r="O22" i="20"/>
  <c r="N22" i="20"/>
  <c r="M22" i="20"/>
  <c r="L22" i="20"/>
  <c r="K22" i="20"/>
  <c r="J22" i="20"/>
  <c r="I22" i="20"/>
  <c r="H22" i="20"/>
  <c r="G22" i="20"/>
  <c r="F22" i="20"/>
  <c r="E22" i="20"/>
  <c r="D22" i="20"/>
  <c r="C22" i="20"/>
  <c r="B22" i="20"/>
  <c r="G41" i="2" l="1"/>
  <c r="G40" i="2"/>
  <c r="G38" i="2"/>
  <c r="G37" i="2"/>
  <c r="G36" i="2"/>
  <c r="G35" i="2"/>
  <c r="G34" i="2"/>
  <c r="G33" i="2"/>
  <c r="G32" i="2"/>
  <c r="G31" i="2"/>
  <c r="G30" i="2"/>
  <c r="G27" i="2"/>
  <c r="G26" i="2"/>
  <c r="G25" i="2"/>
  <c r="G22" i="2"/>
  <c r="G21" i="2"/>
  <c r="G18" i="2"/>
  <c r="G17" i="2"/>
  <c r="G16" i="2"/>
  <c r="G15" i="2"/>
  <c r="G14" i="2"/>
  <c r="G13" i="2"/>
  <c r="E12" i="2"/>
  <c r="E41" i="2" l="1"/>
  <c r="E39" i="2"/>
  <c r="E29" i="2"/>
  <c r="E24" i="2"/>
  <c r="E20" i="2"/>
  <c r="C36" i="20" l="1"/>
  <c r="C33" i="20"/>
  <c r="E34" i="20" l="1"/>
  <c r="M34" i="20"/>
  <c r="C34" i="20"/>
  <c r="B34" i="20"/>
  <c r="M36" i="20" l="1"/>
  <c r="E36" i="20"/>
  <c r="B32" i="20" l="1"/>
  <c r="E32" i="20"/>
  <c r="B36" i="20" l="1"/>
  <c r="K76" i="20" l="1"/>
  <c r="G70" i="20"/>
  <c r="H70" i="20" s="1"/>
  <c r="K67" i="20"/>
  <c r="K66" i="20"/>
  <c r="K63" i="20"/>
  <c r="K62" i="20"/>
  <c r="K60" i="20"/>
  <c r="K59" i="20"/>
  <c r="K56" i="20"/>
  <c r="K55" i="20"/>
  <c r="K53" i="20"/>
  <c r="B16" i="20"/>
  <c r="B17" i="20" s="1"/>
  <c r="E30" i="20"/>
  <c r="D30" i="20"/>
  <c r="P17" i="20"/>
  <c r="R16" i="20"/>
  <c r="R17" i="20" s="1"/>
  <c r="Q16" i="20"/>
  <c r="Q17" i="20" s="1"/>
  <c r="P16" i="20"/>
  <c r="O16" i="20"/>
  <c r="O17" i="20" s="1"/>
  <c r="N16" i="20"/>
  <c r="N17" i="20" s="1"/>
  <c r="M16" i="20"/>
  <c r="M17" i="20" s="1"/>
  <c r="L16" i="20"/>
  <c r="L17" i="20" s="1"/>
  <c r="K16" i="20"/>
  <c r="K17" i="20" s="1"/>
  <c r="J16" i="20"/>
  <c r="J17" i="20" s="1"/>
  <c r="I16" i="20"/>
  <c r="I17" i="20" s="1"/>
  <c r="H16" i="20"/>
  <c r="H17" i="20" s="1"/>
  <c r="G16" i="20"/>
  <c r="G17" i="20" s="1"/>
  <c r="F16" i="20"/>
  <c r="F17" i="20" s="1"/>
  <c r="E16" i="20"/>
  <c r="E17" i="20" s="1"/>
  <c r="D16" i="20"/>
  <c r="D17" i="20" s="1"/>
  <c r="B6" i="20"/>
  <c r="C16" i="20" l="1"/>
  <c r="C17" i="20" s="1"/>
  <c r="C30" i="20"/>
  <c r="B30" i="20" s="1"/>
  <c r="F18" i="20"/>
  <c r="N18" i="20"/>
  <c r="J18" i="20"/>
  <c r="K18" i="20"/>
  <c r="G61" i="20"/>
  <c r="H61" i="20" s="1"/>
  <c r="G66" i="20"/>
  <c r="H66" i="20" s="1"/>
  <c r="G58" i="20"/>
  <c r="H58" i="20" s="1"/>
  <c r="G67" i="20"/>
  <c r="H67" i="20" s="1"/>
  <c r="G72" i="20"/>
  <c r="H72" i="20" s="1"/>
  <c r="G64" i="20"/>
  <c r="H64" i="20" s="1"/>
  <c r="B8" i="20"/>
  <c r="B15" i="20" s="1"/>
  <c r="B18" i="20" s="1"/>
  <c r="K61" i="20"/>
  <c r="G60" i="20"/>
  <c r="H60" i="20" s="1"/>
  <c r="P47" i="20"/>
  <c r="P18" i="20" s="1"/>
  <c r="G59" i="20"/>
  <c r="H59" i="20" s="1"/>
  <c r="K64" i="20"/>
  <c r="G68" i="20"/>
  <c r="H68" i="20" s="1"/>
  <c r="G65" i="20"/>
  <c r="K68" i="20"/>
  <c r="Q47" i="20"/>
  <c r="Q18" i="20" s="1"/>
  <c r="I18" i="20"/>
  <c r="G63" i="20"/>
  <c r="H63" i="20" s="1"/>
  <c r="C32" i="20"/>
  <c r="G62" i="20"/>
  <c r="H62" i="20" s="1"/>
  <c r="G69" i="20"/>
  <c r="H69" i="20" s="1"/>
  <c r="G71" i="20"/>
  <c r="H71" i="20" s="1"/>
  <c r="G73" i="20"/>
  <c r="H73" i="20" s="1"/>
  <c r="R47" i="20"/>
  <c r="R18" i="20" s="1"/>
  <c r="E47" i="20"/>
  <c r="E18" i="20" s="1"/>
  <c r="L18" i="20"/>
  <c r="M47" i="20"/>
  <c r="M18" i="20" s="1"/>
  <c r="K58" i="20"/>
  <c r="G18" i="20"/>
  <c r="O18" i="20"/>
  <c r="K75" i="20"/>
  <c r="G75" i="20"/>
  <c r="M32" i="20"/>
  <c r="K69" i="20"/>
  <c r="K70" i="20"/>
  <c r="K71" i="20"/>
  <c r="K72" i="20"/>
  <c r="K73" i="20"/>
  <c r="K74" i="20"/>
  <c r="G53" i="20"/>
  <c r="G54" i="20"/>
  <c r="H54" i="20" s="1"/>
  <c r="G55" i="20"/>
  <c r="H55" i="20" s="1"/>
  <c r="G56" i="20"/>
  <c r="H56" i="20" s="1"/>
  <c r="G76" i="20"/>
  <c r="H76" i="20" s="1"/>
  <c r="K54" i="20"/>
  <c r="G74" i="20"/>
  <c r="H74" i="20" s="1"/>
  <c r="H47" i="20" l="1"/>
  <c r="H18" i="20" s="1"/>
  <c r="C47" i="20"/>
  <c r="C18" i="20" s="1"/>
  <c r="K65" i="20"/>
  <c r="H53" i="20"/>
  <c r="G52" i="20"/>
  <c r="K57" i="20"/>
  <c r="G57" i="20"/>
  <c r="D47" i="20"/>
  <c r="D18" i="20" s="1"/>
  <c r="H13" i="2" l="1"/>
  <c r="D41" i="2"/>
  <c r="B19" i="20"/>
  <c r="E40" i="2" l="1"/>
  <c r="L19" i="20" s="1"/>
  <c r="B41" i="2" l="1"/>
  <c r="D12" i="2" l="1"/>
  <c r="H14" i="2" l="1"/>
  <c r="H20" i="20" s="1"/>
  <c r="H17" i="2"/>
  <c r="H44" i="20" l="1"/>
  <c r="G20" i="20"/>
  <c r="F20" i="20"/>
  <c r="F44" i="20" l="1"/>
  <c r="G44" i="20"/>
  <c r="D29" i="2" l="1"/>
  <c r="D24" i="2"/>
  <c r="D20" i="2"/>
  <c r="H25" i="2" l="1"/>
  <c r="H37" i="2"/>
  <c r="H38" i="2"/>
  <c r="H31" i="2"/>
  <c r="H30" i="2"/>
  <c r="H32" i="2"/>
  <c r="H33" i="2"/>
  <c r="H34" i="2"/>
  <c r="H35" i="2"/>
  <c r="H22" i="2"/>
  <c r="H15" i="2"/>
  <c r="R20" i="20" s="1"/>
  <c r="H18" i="2"/>
  <c r="H16" i="2"/>
  <c r="E27" i="2"/>
  <c r="H27" i="2"/>
  <c r="E38" i="2"/>
  <c r="E23" i="2"/>
  <c r="H26" i="2"/>
  <c r="R44" i="20" l="1"/>
  <c r="E19" i="20"/>
  <c r="I20" i="20"/>
  <c r="N20" i="20"/>
  <c r="K20" i="20"/>
  <c r="J20" i="20"/>
  <c r="N19" i="20"/>
  <c r="P20" i="20"/>
  <c r="O20" i="20"/>
  <c r="H19" i="2"/>
  <c r="D20" i="20" s="1"/>
  <c r="H41" i="2"/>
  <c r="H40" i="2"/>
  <c r="H36" i="2"/>
  <c r="H21" i="2"/>
  <c r="M20" i="20" s="1"/>
  <c r="E25" i="2"/>
  <c r="E26" i="2"/>
  <c r="E35" i="2"/>
  <c r="E34" i="2"/>
  <c r="E31" i="2"/>
  <c r="E32" i="2"/>
  <c r="E37" i="2"/>
  <c r="E33" i="2"/>
  <c r="E30" i="2"/>
  <c r="E36" i="2"/>
  <c r="E22" i="2"/>
  <c r="E21" i="2"/>
  <c r="E19" i="2"/>
  <c r="E18" i="2"/>
  <c r="E17" i="2"/>
  <c r="E16" i="2"/>
  <c r="E15" i="2"/>
  <c r="E14" i="2"/>
  <c r="E13" i="2"/>
  <c r="M42" i="20" l="1"/>
  <c r="M40" i="20"/>
  <c r="M35" i="20"/>
  <c r="O44" i="20"/>
  <c r="N44" i="20"/>
  <c r="P44" i="20"/>
  <c r="D44" i="20"/>
  <c r="I44" i="20"/>
  <c r="M44" i="20"/>
  <c r="J44" i="20"/>
  <c r="K44" i="20"/>
  <c r="O19" i="20"/>
  <c r="B20" i="20"/>
  <c r="D19" i="20"/>
  <c r="M19" i="20"/>
  <c r="L20" i="20"/>
  <c r="F19" i="20"/>
  <c r="G19" i="20"/>
  <c r="G19" i="2"/>
  <c r="I19" i="20"/>
  <c r="H19" i="20"/>
  <c r="R19" i="20"/>
  <c r="P19" i="20"/>
  <c r="Q20" i="20"/>
  <c r="J19" i="20"/>
  <c r="K19" i="20"/>
  <c r="Q19" i="20"/>
  <c r="H28" i="2"/>
  <c r="H23" i="2"/>
  <c r="E28" i="2"/>
  <c r="B42" i="20" l="1"/>
  <c r="Q44" i="20"/>
  <c r="B44" i="20"/>
  <c r="L44" i="20"/>
  <c r="C19" i="20"/>
  <c r="E20" i="20"/>
  <c r="C20" i="20"/>
  <c r="G28" i="2"/>
  <c r="G23" i="2"/>
  <c r="B41" i="20" l="1"/>
  <c r="B40" i="20"/>
  <c r="E40" i="20"/>
  <c r="E35" i="20"/>
  <c r="C44" i="20"/>
  <c r="E44" i="20"/>
  <c r="B35" i="20"/>
  <c r="M41" i="20"/>
  <c r="E38" i="20"/>
  <c r="M38" i="20"/>
  <c r="C38" i="20"/>
  <c r="C42" i="20" l="1"/>
  <c r="C40" i="20"/>
  <c r="C37" i="20"/>
  <c r="E41" i="20"/>
  <c r="C39" i="20"/>
  <c r="C43" i="20"/>
  <c r="E42" i="20" l="1"/>
  <c r="B38" i="20" l="1"/>
</calcChain>
</file>

<file path=xl/sharedStrings.xml><?xml version="1.0" encoding="utf-8"?>
<sst xmlns="http://schemas.openxmlformats.org/spreadsheetml/2006/main" count="565" uniqueCount="190">
  <si>
    <t xml:space="preserve"> </t>
  </si>
  <si>
    <t>RTO</t>
  </si>
  <si>
    <t>Notes:</t>
  </si>
  <si>
    <t xml:space="preserve">Installed Reserve Margin (IRM) </t>
  </si>
  <si>
    <t>Forecast Pool Requirement (FPR)</t>
  </si>
  <si>
    <t>Preliminary Forecast Peak Load</t>
  </si>
  <si>
    <t>Locational Deliverability Area</t>
  </si>
  <si>
    <t>MAAC</t>
  </si>
  <si>
    <t>EMAAC</t>
  </si>
  <si>
    <t>SWMAAC</t>
  </si>
  <si>
    <t>PS</t>
  </si>
  <si>
    <t>PS NORTH</t>
  </si>
  <si>
    <t>DPL SOUTH</t>
  </si>
  <si>
    <t>PEPCO</t>
  </si>
  <si>
    <t>ATSI</t>
  </si>
  <si>
    <t>ATSI-Cleveland</t>
  </si>
  <si>
    <t>COMED</t>
  </si>
  <si>
    <t>BGE</t>
  </si>
  <si>
    <t>PL</t>
  </si>
  <si>
    <t>DAYTON</t>
  </si>
  <si>
    <t>DEOK</t>
  </si>
  <si>
    <t>CETO</t>
  </si>
  <si>
    <t>NA</t>
  </si>
  <si>
    <t>CETL</t>
  </si>
  <si>
    <t>Reliability Requirement</t>
  </si>
  <si>
    <t>Total Peak Load of FRR Entities</t>
  </si>
  <si>
    <t>Preliminary FRR Obligation</t>
  </si>
  <si>
    <t>Reliability Requirement adjusted for FRR</t>
  </si>
  <si>
    <t>Gross CONE, $/MW-Day (UCAP Price)</t>
  </si>
  <si>
    <t>Net CONE, $/MW-Day (UCAP Price)</t>
  </si>
  <si>
    <t>Variable Resource Requirement Curve:</t>
  </si>
  <si>
    <t>Point (a) UCAP Price, $/MW-Day</t>
  </si>
  <si>
    <t>Point (b) UCAP Price, $/MW-Day</t>
  </si>
  <si>
    <t>Point (c) UCAP Price, $/MW-Day</t>
  </si>
  <si>
    <t>Point (a) UCAP Level, MW</t>
  </si>
  <si>
    <t>Point (b) UCAP Level, MW</t>
  </si>
  <si>
    <t>Point (c) UCAP Level, MW</t>
  </si>
  <si>
    <t>Nominated PRD Value, MW</t>
  </si>
  <si>
    <t>VRR Curve adjusted for PRD:</t>
  </si>
  <si>
    <t>Point (a1) UCAP Price, $/MW-Day</t>
  </si>
  <si>
    <t>Point (b1) UCAP Price, $/MW-Day</t>
  </si>
  <si>
    <t>Point (prd1) UCAP Price, $/MW-Day</t>
  </si>
  <si>
    <t>Point (a1) UCAP Level, MW</t>
  </si>
  <si>
    <t>Point (b1) UCAP Level, MW</t>
  </si>
  <si>
    <t>Point (prd1) UCAP Level, MW</t>
  </si>
  <si>
    <t>Pre-Auction Credit Rate, $/MW</t>
  </si>
  <si>
    <t>FRR Load Requirement (% Obligation):</t>
  </si>
  <si>
    <t>Minimum Internal Resource Requirement</t>
  </si>
  <si>
    <t>LDA CETO/CETL Data; Zonal Peak Loads, Base Zonal FRR Scaling Factors, and FRR load.</t>
  </si>
  <si>
    <t>LDA/Zone</t>
  </si>
  <si>
    <t>CETL to CETO Ratio %</t>
  </si>
  <si>
    <t>Preliminary Zonal Peak Load Forecast</t>
  </si>
  <si>
    <t>Base Zonal FRR Scaling Factor</t>
  </si>
  <si>
    <t xml:space="preserve">FRR Portion of the Preliminary Peak Load Forecast       </t>
  </si>
  <si>
    <t>AE</t>
  </si>
  <si>
    <t>&gt;115%</t>
  </si>
  <si>
    <t>AEP</t>
  </si>
  <si>
    <t>*</t>
  </si>
  <si>
    <t>APS</t>
  </si>
  <si>
    <t>ATSI-CLEVELAND</t>
  </si>
  <si>
    <t>DLCO</t>
  </si>
  <si>
    <t>DOM</t>
  </si>
  <si>
    <t>DPL</t>
  </si>
  <si>
    <t>EKPC</t>
  </si>
  <si>
    <t>JCPL</t>
  </si>
  <si>
    <t>METED</t>
  </si>
  <si>
    <t>OVEC</t>
  </si>
  <si>
    <t>PECO</t>
  </si>
  <si>
    <t>PENLC</t>
  </si>
  <si>
    <t>PL (incl. UGI)</t>
  </si>
  <si>
    <t>RECO</t>
  </si>
  <si>
    <t>Western MAAC</t>
  </si>
  <si>
    <t>Western PJM</t>
  </si>
  <si>
    <t>* LDA has adequate internal resources to meet the reliability criterion.</t>
  </si>
  <si>
    <t>Limiting conditions at the CETL for modeled LDAs:</t>
  </si>
  <si>
    <t xml:space="preserve">LDA      </t>
  </si>
  <si>
    <t>Violation</t>
  </si>
  <si>
    <t>Limiting Facility</t>
  </si>
  <si>
    <t>PSNORTH</t>
  </si>
  <si>
    <t>DPLSOUTH</t>
  </si>
  <si>
    <t>ICAP to UCAP Conversion Factor:</t>
  </si>
  <si>
    <t>CONE Area 1: AE, DPL, JCPL, PECO, PS, RECO</t>
  </si>
  <si>
    <t>CONE Area 2: BGE, PEPCO</t>
  </si>
  <si>
    <t>CONE Area 4: MetEd, Penelec, PPL</t>
  </si>
  <si>
    <t>Zone/LDA</t>
  </si>
  <si>
    <t>Escalation</t>
  </si>
  <si>
    <t>Gross CONE, $/MW-Day, UCAP Price</t>
  </si>
  <si>
    <t>Net CONE,         $/MW-Day,    ICAP Price</t>
  </si>
  <si>
    <t>Net CONE,   $/MW-Day,  UCAP Price</t>
  </si>
  <si>
    <t>LDA Modeled with VRR Curve</t>
  </si>
  <si>
    <t>CONE Area 1</t>
  </si>
  <si>
    <t>PE</t>
  </si>
  <si>
    <t>PSEG</t>
  </si>
  <si>
    <t>PS, PSEG NORTH</t>
  </si>
  <si>
    <t>CONE Area 2</t>
  </si>
  <si>
    <t>CONE Area 4</t>
  </si>
  <si>
    <t>PENELEC</t>
  </si>
  <si>
    <t>PPL</t>
  </si>
  <si>
    <t>CONE Area 3</t>
  </si>
  <si>
    <t>ATSI, ATSI CLEVELAND</t>
  </si>
  <si>
    <t>Upgrade ID</t>
  </si>
  <si>
    <t>Description</t>
  </si>
  <si>
    <t>Transmission Owner</t>
  </si>
  <si>
    <t>Dominion</t>
  </si>
  <si>
    <t>None</t>
  </si>
  <si>
    <t>Mean Thermal</t>
  </si>
  <si>
    <t>Discrete Thermal</t>
  </si>
  <si>
    <t>Discrete Voltage</t>
  </si>
  <si>
    <t>CETL (Capacity Emergency Transfer Limit)</t>
  </si>
  <si>
    <t>CETO (Capacity Emergency Transfer Objective)</t>
  </si>
  <si>
    <t>Mean/Discrete Voltage</t>
  </si>
  <si>
    <t>CONE Area 5</t>
  </si>
  <si>
    <t>CONE Area 3: AEP, APS, ATSI, Dayton, DEOK, Dominion, Duquesne (DLCo), EKPC, OVEC</t>
  </si>
  <si>
    <t>CONE Area 5: ComEd</t>
  </si>
  <si>
    <t>CONE Area 5 based on asset life factor of CONE Area 3. 25/26: 1.0069; 27/28: 1.0376; 28/29: 1.0581; 29/30: 1.0818</t>
  </si>
  <si>
    <t>UCAP Price = ICAP Price / Pool-Wide Average Accredited UCAP Factor</t>
  </si>
  <si>
    <t>Reference Resource Accredited UCAP Factor</t>
  </si>
  <si>
    <t>Pool-Wide Accredited UCAP Factor</t>
  </si>
  <si>
    <t>Mean Voltage</t>
  </si>
  <si>
    <t>2026/2027 BRA CONE: Levelized Revenue Requirement, $/MW-Year</t>
  </si>
  <si>
    <t>2026/2027 BRA CONE: Levelized Revenue Requirement,     $/MW-Year *</t>
  </si>
  <si>
    <t>Forward Net E&amp;AS Revenue Offset, $/MW-Year</t>
  </si>
  <si>
    <t>RPM CONE and E&amp;AS Values for 2026/2027 Base Residual Auction</t>
  </si>
  <si>
    <t>Mean/Discrete thermal</t>
  </si>
  <si>
    <t>Dumont - Stillwell 345 kV for the loss of Dumont - Wilton 765 kV line
Olive - University Park 345 kV for the loss of Dumont - Wilton 765 kV line</t>
  </si>
  <si>
    <t>Smithburg - East Windsor 230 kV for the loss of Deans - Smithburg 500 kV</t>
  </si>
  <si>
    <t>Participant-Funded ICTRs Awarded*</t>
  </si>
  <si>
    <t>* - Participant Funded ICTRs will be updated on final Planning Parameters posting after the completion of the 26/27 BRA</t>
  </si>
  <si>
    <t>New Key Transmission Upgrades included for 2026/2027 model</t>
  </si>
  <si>
    <t>b3718.3</t>
  </si>
  <si>
    <t>Construct a new 500 kV transmission line for ~ 3.5 miles along with substation upgrades at Wishing Star and Mars. New right-of-way will be needed and will share same structures with the line. New conductor to have a minimum summer normal rating of 4357 MVA.</t>
  </si>
  <si>
    <t>b3718.1</t>
  </si>
  <si>
    <t>Install one 500/230kV 1440MVA transformer at a new substation called Wishing Star. Cut and extend 500 kV Line #546 (Brambleton-Mosby) and 500 kV Line #590 (Brambleton-Mosby) to the proposed Wishing Star substation. Lines to terminate in a 500 kV breaker and a half configuration.</t>
  </si>
  <si>
    <t>s2738</t>
  </si>
  <si>
    <t>*Obtain land and build a new 500/230kV Finneywood switching station at the intersection of 500kV Line #556 (Clover-Rawlings) and 230kV Line #235 (Cloud – Farmville).</t>
  </si>
  <si>
    <t>* Cut and terminate 500kV Line #556 into Finneywood 500/230kV switching station. Cut and terminate 230kV Line #235 into Finneywood 500/230kV switching station. In the new Finneywood switching station, install two 840 MVA 500/230kV transformers, a 230kV breaker and half bus with 12 breakers and a 500kV ring bus with 6 breakers.</t>
  </si>
  <si>
    <t>* Construct Butler Farm 230kV substation with four 230kV breaker ring bus to terminate two 230kV lines. Construct one new 230kV transmission line for approximately 20 miles from Clover Sub to Butler Farm Substation. Construct one new 230kV transmission line for approximately 10 miles from Finneywood Sub to Butler Farm Substation.</t>
  </si>
  <si>
    <t xml:space="preserve">*  New right-of-way will be needed for both transmission lines. New conductor to have a minimum summer normal rating of 1573 MVA.  </t>
  </si>
  <si>
    <t>Key Transmission Upgrades included for 2025/2026 model but not included for 2026/2027 model</t>
  </si>
  <si>
    <t>Preliminary Zonal Peak Load Forecast minus LA Adder</t>
  </si>
  <si>
    <t>Preliminary Zonal Peak Load Forecast minus FRR Load</t>
  </si>
  <si>
    <t>LA Adder**</t>
  </si>
  <si>
    <t>** LA Adder represents Load Adjustments in auction DY for each zone. See M19 Attachment B.</t>
  </si>
  <si>
    <t>2026/2027 RPM Base Residual Auction Planning Parameters</t>
  </si>
  <si>
    <t>2024 Zonal W/N Coincident Peak Loads</t>
  </si>
  <si>
    <t>Reference Resource AUCAP Factor</t>
  </si>
  <si>
    <t>* The 2026/2027 BRA CONE values are based on PJM’s filing (Docket No. ER25-682) which was FERC approved on February 18, 2025.</t>
  </si>
  <si>
    <t>endorsed at the March 19, 2025 MRC meeting.</t>
  </si>
  <si>
    <t>2025 Load Report with adjustments for load served outside PJM.</t>
  </si>
  <si>
    <t>endorsed at the March 19, 2025 MRC meeting https://www.pjm.com/-/media/DotCom/committees-groups/committees/mrc/2025/20250319/20250319-item-04---irm-fpr-and-elcc-for-26-27-bra---presentation.pdf</t>
  </si>
  <si>
    <t>Sporn - Muskingum River 345 kV line for the loss of Kammer - Belmont - Mountaineer 765 kV</t>
  </si>
  <si>
    <t>Voltage drop across BGE and PEPCO for the loss of Conastone - Brighton 500 kV line</t>
  </si>
  <si>
    <t>Inland - Clinic Hospital 138 kV line for the loss of Inland 345/138 kV transformer #4</t>
  </si>
  <si>
    <t>Shelby - Sidney 138 kV pre-contingency</t>
  </si>
  <si>
    <t>Silver Run - Cedar Creek 230 kV line for the loss of Silver Run - Cartanza 230 kV line
Elroy - Hose 500 kV line for the loss of Alburtis-Branchburg 500 kV line
Keeney - Rock Springs 500 kV line for the loss of Peach Bottom - Limerick 500 kV line</t>
  </si>
  <si>
    <t>Pierce - DOEX530 345 kV line ckt 2 for the loss of Pierce - DOEX530 345 kV line ckt 1,or 
Pierce - DOEX530 345 kV line ckt 1 for the loss of Pierce - DOEX530 345 kV line ckt 2</t>
  </si>
  <si>
    <t>Elroy - Hosensack 500 kV for the loss of Alburtis - Branchburg 500 kV
Keeney - Rock Springs 500 kV for the loss of Peach Bottom - Limerick 500 kV</t>
  </si>
  <si>
    <t>Morrisville - Loudoun 500 kV line for the loss of Brister - Ox 500 kV line</t>
  </si>
  <si>
    <t>NorthWest326 - Conastone 230 kV line for the loss of Brighton - Conastone 500 kV line
'NorthWest326 - Conastone 230 kV line for the loss of NorthWest311 - Conastone 230 kV line</t>
  </si>
  <si>
    <t>Wescosville 500/138 kV transformer pre-contingency</t>
  </si>
  <si>
    <t xml:space="preserve">Brunswick - Meadow Road 230 kV ckt Z2331 for the loss of Metuchen -Pierson Ave - Meadow Rd- Deans 230 kV ckt s2219
Stanley Terrace - McCarter 230 kV for the loss of West Orange - Orange Heights 230 kV
Roseland - Williams PIPE   230 kV for the loss of Roseland - Cedar Grove 230 kV </t>
  </si>
  <si>
    <t>Roseland - Williams PIPE   230 kV for the loss of Roseland - Cedar Grove 230 kV 
Stanley Terrance - McCarther  230kV   for the loss of WEST ORANGE - ORANGE HEIGHTS 230 kV</t>
  </si>
  <si>
    <t>Voltage collapse for the loss of Brandon Shores unit #2</t>
  </si>
  <si>
    <t>Dickerson - Dickerson H 230 kV ckt 2 for the loss of Doubs - Goose Creek 500 kV</t>
  </si>
  <si>
    <t>3/31/2025 - Initial posting - please note that resources with Reliability Must Run requirements are included in the Planning Parameters modeling</t>
  </si>
  <si>
    <t>b2443.6</t>
  </si>
  <si>
    <t>Install a second 500/230 kV transformer at Possum Point substation and replace bus work and associated equipment as needed.</t>
  </si>
  <si>
    <t>b3326.0</t>
  </si>
  <si>
    <t>Rebuild the 13707 Vienna-Nelson 138 kV line</t>
  </si>
  <si>
    <t>b3020</t>
  </si>
  <si>
    <t>Rebuild 500kV Line #574 Ladysmith to Elmont - 26.2 miles long</t>
  </si>
  <si>
    <t>Point (d) UCAP Level, MW</t>
  </si>
  <si>
    <t>Point (d) UCAP Price, $/MW-Day</t>
  </si>
  <si>
    <t>Point (b2) UCAP Level, MW</t>
  </si>
  <si>
    <t>Point (b2) UCAP Price, $/MW-Day</t>
  </si>
  <si>
    <t>Price Cap ($/MW-ICAP)</t>
  </si>
  <si>
    <t>Price Floor ($/MW-ICAP)</t>
  </si>
  <si>
    <t>Established in ER25-1357</t>
  </si>
  <si>
    <t>4/28/2025 - Cap set to $256.75/MW-ICAP Floor set to $138.25/MW-ICAP per ER25-1357. When floor price is reached all available capacity will be procured at that price.</t>
  </si>
  <si>
    <t/>
  </si>
  <si>
    <t>&gt;2,308.1</t>
  </si>
  <si>
    <t>&gt;1,667.5</t>
  </si>
  <si>
    <t>&gt;1,906.7</t>
  </si>
  <si>
    <t>&gt;2,183.9</t>
  </si>
  <si>
    <t>&gt;1,717.0</t>
  </si>
  <si>
    <t>&gt;1,152.3</t>
  </si>
  <si>
    <t>&gt;1,712.4</t>
  </si>
  <si>
    <t>&gt;3,352.3</t>
  </si>
  <si>
    <t>&gt;377.2</t>
  </si>
  <si>
    <t>&gt;1,138.5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</si>
</sst>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0.0%"/>
    <numFmt numFmtId="167" formatCode="0.0000"/>
    <numFmt numFmtId="168" formatCode="0.0"/>
    <numFmt numFmtId="169" formatCode="0.000"/>
    <numFmt numFmtId="170" formatCode="&quot;$&quot;#,##0"/>
    <numFmt numFmtId="171" formatCode="#,##0.00000"/>
  </numFmts>
  <fonts count="20">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4"/>
      <color rgb="FFFF0000"/>
      <name val="Arial"/>
      <family val="2"/>
    </font>
    <font>
      <b/>
      <sz val="12"/>
      <name val="Arial"/>
      <family val="2"/>
    </font>
    <font>
      <b/>
      <sz val="12"/>
      <color rgb="FFFF0000"/>
      <name val="Arial"/>
      <family val="2"/>
    </font>
    <font>
      <sz val="12"/>
      <name val="Arial"/>
      <family val="2"/>
    </font>
    <font>
      <sz val="12"/>
      <color theme="1"/>
      <name val="Arial"/>
      <family val="2"/>
    </font>
    <font>
      <b/>
      <sz val="10"/>
      <name val="Arial"/>
      <family val="2"/>
    </font>
    <font>
      <sz val="10"/>
      <name val="Arial"/>
      <family val="2"/>
    </font>
    <font>
      <b/>
      <sz val="12"/>
      <color theme="1"/>
      <name val="Arial"/>
      <family val="2"/>
    </font>
    <font>
      <sz val="10"/>
      <color rgb="FFFF0000"/>
      <name val="Arial"/>
      <family val="2"/>
    </font>
    <font>
      <b/>
      <sz val="10"/>
      <color rgb="FFFF0000"/>
      <name val="Arial"/>
      <family val="2"/>
    </font>
    <font>
      <sz val="9"/>
      <color rgb="FFFF0000"/>
      <name val="Arial"/>
      <family val="2"/>
    </font>
    <font>
      <b/>
      <sz val="11"/>
      <name val="Arial"/>
      <family val="2"/>
    </font>
    <font>
      <sz val="10"/>
      <color theme="1"/>
      <name val="Arial"/>
      <family val="2"/>
    </font>
    <font>
      <sz val="10"/>
      <name val="Arial"/>
      <family val="2"/>
    </font>
    <font>
      <sz val="9.5"/>
      <color rgb="FF000000"/>
      <name val="Albany AMT"/>
    </font>
    <font>
      <sz val="11"/>
      <color rgb="FF000000"/>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rgb="FFEEE4EC"/>
        <bgColor indexed="64"/>
      </patternFill>
    </fill>
    <fill>
      <patternFill patternType="solid">
        <fgColor rgb="FFE4DFEC"/>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lignment wrapText="1"/>
    </xf>
    <xf numFmtId="0" fontId="16" fillId="0" borderId="0"/>
    <xf numFmtId="0" fontId="10" fillId="0" borderId="0"/>
    <xf numFmtId="0" fontId="10" fillId="0" borderId="0">
      <alignment wrapText="1"/>
    </xf>
    <xf numFmtId="0" fontId="1" fillId="0" borderId="0"/>
    <xf numFmtId="0" fontId="10" fillId="0" borderId="0"/>
    <xf numFmtId="0" fontId="17" fillId="0" borderId="0"/>
    <xf numFmtId="0" fontId="18" fillId="0" borderId="0"/>
    <xf numFmtId="43" fontId="18" fillId="0" borderId="0" applyFont="0" applyFill="0" applyBorder="0" applyAlignment="0" applyProtection="0"/>
    <xf numFmtId="9" fontId="18" fillId="0" borderId="0" applyFont="0" applyFill="0" applyBorder="0" applyAlignment="0" applyProtection="0"/>
    <xf numFmtId="0" fontId="1" fillId="0" borderId="0"/>
    <xf numFmtId="44" fontId="1" fillId="0" borderId="0" applyFont="0" applyFill="0" applyBorder="0" applyAlignment="0" applyProtection="0"/>
  </cellStyleXfs>
  <cellXfs count="256">
    <xf numFmtId="0" fontId="0" fillId="0" borderId="0" xfId="0"/>
    <xf numFmtId="0" fontId="3" fillId="0" borderId="0" xfId="0" applyFont="1" applyBorder="1" applyAlignment="1">
      <alignmen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center"/>
    </xf>
    <xf numFmtId="164" fontId="6" fillId="0" borderId="0" xfId="0" applyNumberFormat="1"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center"/>
    </xf>
    <xf numFmtId="1" fontId="6" fillId="0" borderId="0" xfId="0" applyNumberFormat="1" applyFont="1" applyBorder="1" applyAlignment="1">
      <alignment horizontal="left" vertical="center"/>
    </xf>
    <xf numFmtId="165" fontId="6" fillId="0" borderId="0" xfId="0" applyNumberFormat="1" applyFont="1" applyBorder="1" applyAlignment="1">
      <alignment horizontal="left" vertical="center"/>
    </xf>
    <xf numFmtId="0" fontId="3" fillId="0" borderId="2" xfId="0" applyFont="1" applyBorder="1" applyAlignment="1">
      <alignment horizontal="center"/>
    </xf>
    <xf numFmtId="165" fontId="7" fillId="0" borderId="1" xfId="0" applyNumberFormat="1" applyFont="1" applyBorder="1" applyAlignment="1">
      <alignment horizontal="center" vertical="center"/>
    </xf>
    <xf numFmtId="0" fontId="9"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1" xfId="0" applyFont="1" applyFill="1" applyBorder="1" applyAlignment="1">
      <alignment horizontal="center" vertical="center"/>
    </xf>
    <xf numFmtId="0" fontId="7" fillId="0" borderId="5" xfId="0" applyFont="1" applyBorder="1" applyAlignment="1">
      <alignment horizontal="left" vertical="center" wrapText="1"/>
    </xf>
    <xf numFmtId="164" fontId="7" fillId="0" borderId="1" xfId="0" applyNumberFormat="1" applyFont="1" applyBorder="1" applyAlignment="1">
      <alignment horizontal="right" vertical="center" wrapText="1"/>
    </xf>
    <xf numFmtId="164" fontId="8" fillId="0" borderId="1" xfId="0" applyNumberFormat="1" applyFont="1" applyFill="1" applyBorder="1" applyAlignment="1">
      <alignment horizontal="right" vertical="center" wrapText="1"/>
    </xf>
    <xf numFmtId="164" fontId="7"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164" fontId="7" fillId="0" borderId="1" xfId="0" applyNumberFormat="1" applyFont="1" applyFill="1" applyBorder="1" applyAlignment="1">
      <alignment horizontal="right" vertical="center"/>
    </xf>
    <xf numFmtId="164" fontId="5"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165" fontId="7"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65" fontId="5" fillId="0" borderId="1" xfId="0" applyNumberFormat="1" applyFont="1" applyBorder="1" applyAlignment="1">
      <alignment horizontal="right" vertical="center" wrapText="1"/>
    </xf>
    <xf numFmtId="0" fontId="7" fillId="2" borderId="8" xfId="0" applyFont="1" applyFill="1" applyBorder="1" applyAlignment="1">
      <alignment horizontal="left" vertical="center" wrapText="1"/>
    </xf>
    <xf numFmtId="165" fontId="7" fillId="2" borderId="9" xfId="0" applyNumberFormat="1" applyFont="1" applyFill="1" applyBorder="1" applyAlignment="1">
      <alignment horizontal="right" vertical="center" wrapText="1"/>
    </xf>
    <xf numFmtId="165" fontId="7" fillId="2" borderId="10" xfId="0" applyNumberFormat="1" applyFont="1" applyFill="1" applyBorder="1" applyAlignment="1">
      <alignment horizontal="right" vertical="center" wrapText="1"/>
    </xf>
    <xf numFmtId="0" fontId="7" fillId="2" borderId="5" xfId="0" applyFont="1" applyFill="1" applyBorder="1" applyAlignment="1">
      <alignment horizontal="left" vertical="center" wrapText="1"/>
    </xf>
    <xf numFmtId="165" fontId="7" fillId="2" borderId="1" xfId="0" applyNumberFormat="1" applyFont="1" applyFill="1" applyBorder="1" applyAlignment="1">
      <alignment horizontal="right" vertical="center" wrapText="1"/>
    </xf>
    <xf numFmtId="165" fontId="7" fillId="2" borderId="11" xfId="0" applyNumberFormat="1" applyFont="1" applyFill="1" applyBorder="1" applyAlignment="1">
      <alignment horizontal="right" vertical="center" wrapText="1"/>
    </xf>
    <xf numFmtId="166" fontId="7" fillId="0" borderId="1" xfId="0" applyNumberFormat="1" applyFont="1" applyBorder="1" applyAlignment="1">
      <alignment horizontal="right" vertical="center" wrapText="1"/>
    </xf>
    <xf numFmtId="166" fontId="7" fillId="0" borderId="1" xfId="2" applyNumberFormat="1" applyFont="1" applyFill="1" applyBorder="1" applyAlignment="1">
      <alignment horizontal="right" vertical="center"/>
    </xf>
    <xf numFmtId="166" fontId="7" fillId="0" borderId="1" xfId="2" applyNumberFormat="1" applyFont="1" applyBorder="1" applyAlignment="1">
      <alignment horizontal="right" vertical="center"/>
    </xf>
    <xf numFmtId="164" fontId="0" fillId="0" borderId="0" xfId="0" applyNumberFormat="1" applyBorder="1" applyAlignment="1">
      <alignment horizontal="left"/>
    </xf>
    <xf numFmtId="0" fontId="10" fillId="0" borderId="0" xfId="0" applyFont="1"/>
    <xf numFmtId="0" fontId="10" fillId="0" borderId="0" xfId="0" applyFont="1" applyFill="1" applyBorder="1"/>
    <xf numFmtId="0" fontId="5" fillId="0" borderId="1" xfId="0" applyFont="1" applyBorder="1" applyAlignment="1">
      <alignment horizontal="right" vertical="center" wrapText="1"/>
    </xf>
    <xf numFmtId="0" fontId="5" fillId="0" borderId="1" xfId="0" applyFont="1" applyBorder="1" applyAlignment="1">
      <alignment horizontal="center" vertical="center" wrapText="1"/>
    </xf>
    <xf numFmtId="0" fontId="10" fillId="0" borderId="0" xfId="0" applyFont="1" applyFill="1" applyBorder="1" applyAlignment="1">
      <alignmen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0" fontId="7" fillId="0" borderId="1" xfId="0" applyFont="1" applyFill="1" applyBorder="1" applyAlignment="1">
      <alignment horizontal="right" vertical="center"/>
    </xf>
    <xf numFmtId="0" fontId="7" fillId="0" borderId="0" xfId="0" applyFont="1" applyBorder="1"/>
    <xf numFmtId="0" fontId="3" fillId="0" borderId="0" xfId="0" applyFont="1" applyAlignment="1"/>
    <xf numFmtId="0" fontId="6" fillId="0" borderId="0" xfId="0" applyFont="1" applyAlignment="1">
      <alignment horizontal="left" vertical="center" wrapText="1"/>
    </xf>
    <xf numFmtId="10" fontId="5" fillId="3" borderId="1" xfId="2" applyNumberFormat="1" applyFont="1" applyFill="1" applyBorder="1" applyAlignment="1">
      <alignment vertical="center"/>
    </xf>
    <xf numFmtId="0" fontId="0" fillId="0" borderId="0" xfId="0" applyAlignment="1">
      <alignment wrapText="1"/>
    </xf>
    <xf numFmtId="0" fontId="13" fillId="0" borderId="0" xfId="0" applyFont="1" applyAlignment="1">
      <alignment horizontal="center" vertical="center"/>
    </xf>
    <xf numFmtId="8" fontId="0" fillId="0" borderId="0" xfId="0" applyNumberFormat="1"/>
    <xf numFmtId="0" fontId="14" fillId="0" borderId="0" xfId="0" applyFont="1" applyAlignment="1">
      <alignment horizontal="center" vertical="center"/>
    </xf>
    <xf numFmtId="0" fontId="13" fillId="0" borderId="0" xfId="0" applyFont="1" applyAlignment="1">
      <alignment horizontal="left"/>
    </xf>
    <xf numFmtId="0" fontId="5" fillId="4" borderId="21" xfId="0" applyFont="1" applyFill="1" applyBorder="1" applyAlignment="1">
      <alignmen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5" fillId="4" borderId="8" xfId="0" applyFont="1" applyFill="1" applyBorder="1" applyAlignment="1">
      <alignment wrapText="1"/>
    </xf>
    <xf numFmtId="6" fontId="7" fillId="0" borderId="9" xfId="0" applyNumberFormat="1" applyFont="1" applyBorder="1" applyAlignment="1">
      <alignment horizontal="center" vertical="center" wrapText="1"/>
    </xf>
    <xf numFmtId="169" fontId="7" fillId="0" borderId="9" xfId="0" applyNumberFormat="1" applyFont="1" applyBorder="1" applyAlignment="1">
      <alignment horizontal="center" vertical="center" wrapText="1"/>
    </xf>
    <xf numFmtId="165" fontId="7" fillId="0" borderId="9" xfId="0" applyNumberFormat="1" applyFont="1" applyBorder="1" applyAlignment="1">
      <alignment horizontal="center" vertical="center" wrapText="1"/>
    </xf>
    <xf numFmtId="0" fontId="7" fillId="0" borderId="9" xfId="0" applyFont="1" applyBorder="1" applyAlignment="1">
      <alignment vertical="center" wrapText="1"/>
    </xf>
    <xf numFmtId="0" fontId="5" fillId="0" borderId="9" xfId="0" applyFont="1" applyBorder="1" applyAlignment="1">
      <alignment vertical="center" wrapText="1"/>
    </xf>
    <xf numFmtId="0" fontId="0" fillId="0" borderId="10" xfId="0" applyBorder="1" applyAlignment="1">
      <alignment horizontal="center"/>
    </xf>
    <xf numFmtId="0" fontId="7" fillId="4" borderId="5" xfId="0" applyFont="1" applyFill="1" applyBorder="1" applyAlignment="1">
      <alignment horizontal="left" vertical="center" wrapText="1"/>
    </xf>
    <xf numFmtId="6"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170" fontId="7" fillId="0" borderId="1" xfId="0" applyNumberFormat="1" applyFont="1" applyBorder="1" applyAlignment="1">
      <alignment horizontal="center"/>
    </xf>
    <xf numFmtId="0" fontId="0" fillId="0" borderId="11" xfId="0" applyBorder="1" applyAlignment="1">
      <alignment horizontal="center"/>
    </xf>
    <xf numFmtId="0" fontId="7" fillId="0" borderId="11" xfId="0" applyFont="1" applyBorder="1" applyAlignment="1">
      <alignment horizontal="center"/>
    </xf>
    <xf numFmtId="0" fontId="7" fillId="0" borderId="11" xfId="0" applyFont="1" applyBorder="1" applyAlignment="1">
      <alignment horizontal="center" vertical="center"/>
    </xf>
    <xf numFmtId="0" fontId="5" fillId="4" borderId="12" xfId="0" applyFont="1" applyFill="1" applyBorder="1" applyAlignment="1">
      <alignment horizontal="left" vertical="center" wrapText="1"/>
    </xf>
    <xf numFmtId="6" fontId="7" fillId="0" borderId="13" xfId="0" applyNumberFormat="1" applyFont="1" applyBorder="1" applyAlignment="1">
      <alignment horizontal="center" vertical="center" wrapText="1"/>
    </xf>
    <xf numFmtId="165" fontId="7" fillId="0" borderId="13" xfId="0" applyNumberFormat="1" applyFont="1" applyBorder="1" applyAlignment="1">
      <alignment horizontal="center" vertical="center" wrapText="1"/>
    </xf>
    <xf numFmtId="170" fontId="7" fillId="0" borderId="13" xfId="0" applyNumberFormat="1" applyFont="1" applyFill="1" applyBorder="1" applyAlignment="1">
      <alignment horizontal="center" vertical="center" wrapText="1"/>
    </xf>
    <xf numFmtId="0" fontId="7" fillId="0" borderId="14" xfId="0" applyFont="1" applyBorder="1" applyAlignment="1">
      <alignment horizontal="center" vertical="center"/>
    </xf>
    <xf numFmtId="170" fontId="7" fillId="0" borderId="9" xfId="0" applyNumberFormat="1" applyFont="1" applyFill="1" applyBorder="1" applyAlignment="1">
      <alignment horizontal="center" vertical="center" wrapText="1"/>
    </xf>
    <xf numFmtId="165" fontId="5" fillId="0" borderId="9" xfId="0" applyNumberFormat="1" applyFont="1" applyBorder="1" applyAlignment="1">
      <alignment horizontal="center" vertical="center" wrapText="1"/>
    </xf>
    <xf numFmtId="0" fontId="7" fillId="4" borderId="5" xfId="0" applyFont="1" applyFill="1" applyBorder="1" applyAlignment="1">
      <alignment wrapText="1"/>
    </xf>
    <xf numFmtId="170" fontId="7" fillId="0" borderId="1" xfId="0" applyNumberFormat="1" applyFont="1" applyFill="1" applyBorder="1" applyAlignment="1">
      <alignment horizontal="center"/>
    </xf>
    <xf numFmtId="0" fontId="5" fillId="4" borderId="21" xfId="0" applyFont="1" applyFill="1" applyBorder="1" applyAlignment="1">
      <alignment horizontal="left" vertical="center" wrapText="1"/>
    </xf>
    <xf numFmtId="6" fontId="7" fillId="0" borderId="22" xfId="0" applyNumberFormat="1" applyFont="1" applyBorder="1" applyAlignment="1">
      <alignment horizontal="center" vertical="center" wrapText="1"/>
    </xf>
    <xf numFmtId="165" fontId="7" fillId="0" borderId="22" xfId="0" applyNumberFormat="1" applyFont="1" applyBorder="1" applyAlignment="1">
      <alignment horizontal="center" vertical="center" wrapText="1"/>
    </xf>
    <xf numFmtId="170" fontId="7" fillId="0" borderId="22" xfId="0" applyNumberFormat="1" applyFont="1" applyBorder="1" applyAlignment="1">
      <alignment horizontal="center"/>
    </xf>
    <xf numFmtId="0" fontId="7" fillId="0" borderId="23" xfId="0" applyFont="1" applyBorder="1" applyAlignment="1">
      <alignment horizontal="center" vertical="center"/>
    </xf>
    <xf numFmtId="0" fontId="7" fillId="0" borderId="24" xfId="0" applyFont="1" applyFill="1" applyBorder="1" applyAlignment="1">
      <alignment vertical="center"/>
    </xf>
    <xf numFmtId="0" fontId="7" fillId="0" borderId="0" xfId="0" applyFont="1" applyFill="1" applyBorder="1" applyAlignment="1">
      <alignment vertical="center" wrapText="1"/>
    </xf>
    <xf numFmtId="170" fontId="7" fillId="0" borderId="0" xfId="0" applyNumberFormat="1" applyFont="1" applyFill="1" applyBorder="1" applyAlignment="1">
      <alignment vertical="center" wrapText="1"/>
    </xf>
    <xf numFmtId="0" fontId="7" fillId="6" borderId="5" xfId="0" applyFont="1" applyFill="1" applyBorder="1" applyAlignment="1">
      <alignment horizontal="left" vertical="center" wrapText="1"/>
    </xf>
    <xf numFmtId="165" fontId="7" fillId="6" borderId="1" xfId="0" applyNumberFormat="1" applyFont="1" applyFill="1" applyBorder="1" applyAlignment="1">
      <alignment horizontal="right" vertical="center" wrapText="1"/>
    </xf>
    <xf numFmtId="164" fontId="7" fillId="6" borderId="1" xfId="0" applyNumberFormat="1" applyFont="1" applyFill="1" applyBorder="1" applyAlignment="1">
      <alignment horizontal="right" vertical="center" wrapText="1"/>
    </xf>
    <xf numFmtId="0" fontId="7" fillId="9" borderId="8" xfId="0" applyFont="1" applyFill="1" applyBorder="1" applyAlignment="1">
      <alignment horizontal="left" vertical="center" wrapText="1"/>
    </xf>
    <xf numFmtId="164" fontId="7" fillId="9" borderId="9" xfId="0" applyNumberFormat="1" applyFont="1" applyFill="1" applyBorder="1" applyAlignment="1">
      <alignment horizontal="right" vertical="center" wrapText="1"/>
    </xf>
    <xf numFmtId="0" fontId="7" fillId="9" borderId="5" xfId="0" applyFont="1" applyFill="1" applyBorder="1" applyAlignment="1">
      <alignment horizontal="left" vertical="center" wrapText="1"/>
    </xf>
    <xf numFmtId="164" fontId="7" fillId="9" borderId="1" xfId="0" applyNumberFormat="1" applyFont="1" applyFill="1" applyBorder="1" applyAlignment="1">
      <alignment horizontal="right" vertical="center" wrapText="1"/>
    </xf>
    <xf numFmtId="0" fontId="15" fillId="0" borderId="21" xfId="3" applyFont="1" applyBorder="1" applyAlignment="1">
      <alignment vertical="center"/>
    </xf>
    <xf numFmtId="0" fontId="15" fillId="0" borderId="22" xfId="3" applyFont="1" applyBorder="1" applyAlignment="1">
      <alignment horizontal="center" vertical="center"/>
    </xf>
    <xf numFmtId="0" fontId="15" fillId="0" borderId="23" xfId="3" applyFont="1" applyBorder="1" applyAlignment="1">
      <alignment horizontal="center" vertical="center" wrapText="1"/>
    </xf>
    <xf numFmtId="0" fontId="10" fillId="0" borderId="1" xfId="4" applyFont="1" applyFill="1" applyBorder="1" applyAlignment="1">
      <alignment vertical="center" wrapText="1"/>
    </xf>
    <xf numFmtId="0" fontId="10" fillId="0" borderId="11" xfId="4" applyFont="1" applyFill="1" applyBorder="1" applyAlignment="1">
      <alignment horizontal="center" vertical="center"/>
    </xf>
    <xf numFmtId="0" fontId="10" fillId="0" borderId="5" xfId="4" applyFont="1" applyFill="1" applyBorder="1" applyAlignment="1">
      <alignment vertical="center"/>
    </xf>
    <xf numFmtId="0" fontId="0" fillId="0" borderId="0" xfId="0" applyFill="1"/>
    <xf numFmtId="0" fontId="15" fillId="0" borderId="5" xfId="3" applyFont="1" applyBorder="1" applyAlignment="1">
      <alignment vertical="center"/>
    </xf>
    <xf numFmtId="0" fontId="15" fillId="0" borderId="11" xfId="3" applyFont="1" applyBorder="1" applyAlignment="1">
      <alignment horizontal="center" vertical="center" wrapText="1"/>
    </xf>
    <xf numFmtId="0" fontId="6" fillId="0" borderId="0" xfId="0" applyFont="1" applyAlignment="1">
      <alignment horizontal="left" vertical="center" wrapText="1"/>
    </xf>
    <xf numFmtId="164" fontId="0" fillId="0" borderId="0" xfId="0" applyNumberFormat="1"/>
    <xf numFmtId="166" fontId="7" fillId="11" borderId="2" xfId="0" applyNumberFormat="1" applyFont="1" applyFill="1" applyBorder="1" applyAlignment="1">
      <alignment horizontal="right" vertical="center"/>
    </xf>
    <xf numFmtId="10" fontId="7" fillId="11" borderId="2" xfId="0" applyNumberFormat="1" applyFont="1" applyFill="1" applyBorder="1" applyAlignment="1">
      <alignment horizontal="right" vertical="center"/>
    </xf>
    <xf numFmtId="167" fontId="7" fillId="11" borderId="2" xfId="0" applyNumberFormat="1" applyFont="1" applyFill="1" applyBorder="1" applyAlignment="1">
      <alignment horizontal="right" vertical="center"/>
    </xf>
    <xf numFmtId="164" fontId="11" fillId="11" borderId="1" xfId="0" applyNumberFormat="1" applyFont="1" applyFill="1" applyBorder="1" applyAlignment="1">
      <alignment horizontal="right" vertical="center" wrapText="1"/>
    </xf>
    <xf numFmtId="164" fontId="7" fillId="11" borderId="1" xfId="2" applyNumberFormat="1" applyFont="1" applyFill="1" applyBorder="1" applyAlignment="1">
      <alignment horizontal="right" vertical="center"/>
    </xf>
    <xf numFmtId="164" fontId="8" fillId="11" borderId="1" xfId="2" applyNumberFormat="1" applyFont="1" applyFill="1" applyBorder="1" applyAlignment="1">
      <alignment horizontal="right" vertical="center"/>
    </xf>
    <xf numFmtId="164" fontId="8" fillId="11" borderId="2" xfId="0" applyNumberFormat="1" applyFont="1" applyFill="1" applyBorder="1" applyAlignment="1">
      <alignment horizontal="right" vertical="center"/>
    </xf>
    <xf numFmtId="164" fontId="5" fillId="11" borderId="7" xfId="0" applyNumberFormat="1" applyFont="1" applyFill="1" applyBorder="1" applyAlignment="1">
      <alignment horizontal="right" vertical="center" wrapText="1"/>
    </xf>
    <xf numFmtId="164" fontId="7" fillId="11" borderId="4" xfId="2" applyNumberFormat="1" applyFont="1" applyFill="1" applyBorder="1" applyAlignment="1">
      <alignment horizontal="right" vertical="center"/>
    </xf>
    <xf numFmtId="164" fontId="8" fillId="11" borderId="1" xfId="0" applyNumberFormat="1" applyFont="1" applyFill="1" applyBorder="1" applyAlignment="1">
      <alignment horizontal="right" vertical="center" wrapText="1"/>
    </xf>
    <xf numFmtId="164" fontId="7" fillId="11" borderId="1" xfId="0" applyNumberFormat="1" applyFont="1" applyFill="1" applyBorder="1" applyAlignment="1">
      <alignment horizontal="right" vertical="center" wrapText="1"/>
    </xf>
    <xf numFmtId="0" fontId="3" fillId="12" borderId="0" xfId="0" applyFont="1" applyFill="1" applyAlignment="1"/>
    <xf numFmtId="0" fontId="7" fillId="11" borderId="1" xfId="0" applyFont="1" applyFill="1" applyBorder="1" applyAlignment="1">
      <alignment horizontal="right" vertical="center" wrapText="1"/>
    </xf>
    <xf numFmtId="164" fontId="7" fillId="11" borderId="1" xfId="0" applyNumberFormat="1" applyFont="1" applyFill="1" applyBorder="1" applyAlignment="1">
      <alignment horizontal="right" vertical="center"/>
    </xf>
    <xf numFmtId="0" fontId="7" fillId="11" borderId="5" xfId="0" applyFont="1" applyFill="1" applyBorder="1" applyAlignment="1">
      <alignment horizontal="left" vertical="center" wrapText="1"/>
    </xf>
    <xf numFmtId="1" fontId="7" fillId="11" borderId="5" xfId="0" applyNumberFormat="1" applyFont="1" applyFill="1" applyBorder="1" applyAlignment="1">
      <alignment horizontal="left" vertical="center" wrapText="1"/>
    </xf>
    <xf numFmtId="1" fontId="7" fillId="11" borderId="5" xfId="0" applyNumberFormat="1" applyFont="1" applyFill="1" applyBorder="1" applyAlignment="1">
      <alignment horizontal="left" vertical="center"/>
    </xf>
    <xf numFmtId="0" fontId="7" fillId="11" borderId="1" xfId="0" applyFont="1" applyFill="1" applyBorder="1" applyAlignment="1">
      <alignment horizontal="left" vertical="center" wrapText="1"/>
    </xf>
    <xf numFmtId="0" fontId="5" fillId="11" borderId="1" xfId="0" applyFont="1" applyFill="1" applyBorder="1" applyAlignment="1">
      <alignment horizontal="left" vertical="center" wrapText="1"/>
    </xf>
    <xf numFmtId="0" fontId="7" fillId="4" borderId="36" xfId="0" applyFont="1" applyFill="1" applyBorder="1" applyAlignment="1">
      <alignment horizontal="left" vertical="center" wrapText="1"/>
    </xf>
    <xf numFmtId="6" fontId="7" fillId="0" borderId="17" xfId="0" applyNumberFormat="1" applyFont="1" applyBorder="1" applyAlignment="1">
      <alignment horizontal="center" vertical="center" wrapText="1"/>
    </xf>
    <xf numFmtId="170" fontId="7" fillId="0" borderId="17" xfId="0" applyNumberFormat="1" applyFont="1" applyFill="1" applyBorder="1" applyAlignment="1">
      <alignment horizontal="center"/>
    </xf>
    <xf numFmtId="165" fontId="7" fillId="0" borderId="4" xfId="0" applyNumberFormat="1" applyFont="1" applyBorder="1" applyAlignment="1">
      <alignment horizontal="center" vertical="center" wrapText="1"/>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24" xfId="0" applyBorder="1"/>
    <xf numFmtId="165" fontId="7" fillId="2" borderId="37" xfId="0" applyNumberFormat="1" applyFont="1" applyFill="1" applyBorder="1" applyAlignment="1">
      <alignment horizontal="right" vertical="center" wrapText="1"/>
    </xf>
    <xf numFmtId="165" fontId="7" fillId="2" borderId="2" xfId="0" applyNumberFormat="1" applyFont="1" applyFill="1" applyBorder="1" applyAlignment="1">
      <alignment horizontal="right" vertical="center" wrapText="1"/>
    </xf>
    <xf numFmtId="164" fontId="7" fillId="9" borderId="37" xfId="0" applyNumberFormat="1" applyFont="1" applyFill="1" applyBorder="1" applyAlignment="1">
      <alignment horizontal="right" vertical="center" wrapText="1"/>
    </xf>
    <xf numFmtId="164" fontId="7" fillId="9" borderId="2" xfId="0" applyNumberFormat="1" applyFont="1" applyFill="1" applyBorder="1" applyAlignment="1">
      <alignment horizontal="right" vertical="center" wrapText="1"/>
    </xf>
    <xf numFmtId="166" fontId="7" fillId="0" borderId="2" xfId="2" applyNumberFormat="1" applyFont="1" applyBorder="1" applyAlignment="1">
      <alignment horizontal="right" vertical="center"/>
    </xf>
    <xf numFmtId="164" fontId="7" fillId="9" borderId="10" xfId="0" applyNumberFormat="1" applyFont="1" applyFill="1" applyBorder="1" applyAlignment="1">
      <alignment horizontal="right" vertical="center" wrapText="1"/>
    </xf>
    <xf numFmtId="164" fontId="7" fillId="9" borderId="11" xfId="0" applyNumberFormat="1" applyFont="1" applyFill="1" applyBorder="1" applyAlignment="1">
      <alignment horizontal="right" vertical="center" wrapText="1"/>
    </xf>
    <xf numFmtId="0" fontId="4" fillId="0" borderId="0" xfId="0" applyFont="1" applyFill="1" applyBorder="1" applyAlignment="1">
      <alignment horizontal="left" vertical="center"/>
    </xf>
    <xf numFmtId="0" fontId="10" fillId="0" borderId="0" xfId="0" applyFont="1" applyFill="1" applyBorder="1" applyAlignment="1">
      <alignment vertical="center" wrapText="1"/>
    </xf>
    <xf numFmtId="165" fontId="0" fillId="0" borderId="0" xfId="0" applyNumberFormat="1"/>
    <xf numFmtId="8" fontId="0" fillId="0" borderId="0" xfId="0" applyNumberFormat="1" applyAlignment="1">
      <alignment wrapText="1"/>
    </xf>
    <xf numFmtId="0" fontId="0" fillId="0" borderId="0" xfId="0" applyAlignment="1">
      <alignment horizontal="center"/>
    </xf>
    <xf numFmtId="0" fontId="7" fillId="6" borderId="8" xfId="0" applyFont="1" applyFill="1" applyBorder="1" applyAlignment="1">
      <alignment horizontal="left" vertical="center" wrapText="1"/>
    </xf>
    <xf numFmtId="165" fontId="7" fillId="6" borderId="9" xfId="0" applyNumberFormat="1" applyFont="1" applyFill="1" applyBorder="1" applyAlignment="1">
      <alignment horizontal="right" vertical="center" wrapText="1"/>
    </xf>
    <xf numFmtId="164" fontId="7" fillId="7" borderId="17" xfId="0" applyNumberFormat="1" applyFont="1" applyFill="1" applyBorder="1" applyAlignment="1">
      <alignment horizontal="right" vertical="center" wrapText="1"/>
    </xf>
    <xf numFmtId="0" fontId="0" fillId="0" borderId="29" xfId="0" applyBorder="1"/>
    <xf numFmtId="0" fontId="0" fillId="0" borderId="39" xfId="0" applyBorder="1"/>
    <xf numFmtId="0" fontId="15" fillId="0" borderId="7" xfId="3" applyFont="1" applyBorder="1" applyAlignment="1">
      <alignment horizontal="center" vertical="center"/>
    </xf>
    <xf numFmtId="164" fontId="5" fillId="11" borderId="1" xfId="0" applyNumberFormat="1" applyFont="1" applyFill="1" applyBorder="1" applyAlignment="1">
      <alignment horizontal="right" vertical="center"/>
    </xf>
    <xf numFmtId="0" fontId="7" fillId="0" borderId="24" xfId="0" applyFont="1" applyFill="1" applyBorder="1" applyAlignment="1">
      <alignment horizontal="left" vertical="center"/>
    </xf>
    <xf numFmtId="0" fontId="5" fillId="0" borderId="0" xfId="0" applyFont="1" applyFill="1" applyBorder="1" applyAlignment="1">
      <alignment horizontal="left" vertical="center"/>
    </xf>
    <xf numFmtId="0" fontId="5" fillId="0" borderId="2" xfId="0" applyFont="1" applyBorder="1" applyAlignment="1">
      <alignment horizontal="left" vertical="center"/>
    </xf>
    <xf numFmtId="166" fontId="7" fillId="0" borderId="20" xfId="0" applyNumberFormat="1" applyFont="1" applyBorder="1" applyAlignment="1">
      <alignment horizontal="right" vertical="center" wrapText="1"/>
    </xf>
    <xf numFmtId="166" fontId="7" fillId="0" borderId="20" xfId="2" applyNumberFormat="1" applyFont="1" applyFill="1" applyBorder="1" applyAlignment="1">
      <alignment horizontal="right" vertical="center"/>
    </xf>
    <xf numFmtId="166" fontId="7" fillId="0" borderId="20" xfId="2" applyNumberFormat="1" applyFont="1" applyBorder="1" applyAlignment="1">
      <alignment horizontal="right" vertical="center"/>
    </xf>
    <xf numFmtId="166" fontId="7" fillId="0" borderId="6" xfId="2" applyNumberFormat="1" applyFont="1" applyBorder="1" applyAlignment="1">
      <alignment horizontal="right" vertical="center"/>
    </xf>
    <xf numFmtId="43" fontId="10" fillId="0" borderId="0" xfId="1" applyFont="1" applyFill="1" applyBorder="1" applyAlignment="1">
      <alignment vertical="center"/>
    </xf>
    <xf numFmtId="43" fontId="0" fillId="0" borderId="0" xfId="1" applyFont="1"/>
    <xf numFmtId="0" fontId="5" fillId="0" borderId="24" xfId="0" applyFont="1" applyBorder="1" applyAlignment="1">
      <alignment horizontal="left" vertical="center"/>
    </xf>
    <xf numFmtId="164" fontId="7" fillId="11" borderId="0" xfId="2" applyNumberFormat="1" applyFont="1" applyFill="1" applyBorder="1" applyAlignment="1">
      <alignment horizontal="right" vertical="center"/>
    </xf>
    <xf numFmtId="164" fontId="8" fillId="11" borderId="0" xfId="2" applyNumberFormat="1" applyFont="1" applyFill="1" applyBorder="1" applyAlignment="1">
      <alignment horizontal="right" vertical="center"/>
    </xf>
    <xf numFmtId="164" fontId="7" fillId="11" borderId="18" xfId="2" applyNumberFormat="1" applyFont="1" applyFill="1" applyBorder="1" applyAlignment="1">
      <alignment horizontal="right" vertical="center"/>
    </xf>
    <xf numFmtId="164" fontId="7" fillId="11" borderId="19" xfId="2" applyNumberFormat="1" applyFont="1" applyFill="1" applyBorder="1" applyAlignment="1">
      <alignment horizontal="right" vertical="center"/>
    </xf>
    <xf numFmtId="164" fontId="7" fillId="11" borderId="16" xfId="2" applyNumberFormat="1" applyFont="1" applyFill="1" applyBorder="1" applyAlignment="1">
      <alignment horizontal="right" vertical="center"/>
    </xf>
    <xf numFmtId="164" fontId="7" fillId="11" borderId="7" xfId="0" applyNumberFormat="1" applyFont="1" applyFill="1" applyBorder="1" applyAlignment="1">
      <alignment horizontal="right" vertical="center" wrapText="1"/>
    </xf>
    <xf numFmtId="171" fontId="8" fillId="11" borderId="1" xfId="2" applyNumberFormat="1" applyFont="1" applyFill="1" applyBorder="1" applyAlignment="1">
      <alignment horizontal="right" vertical="center"/>
    </xf>
    <xf numFmtId="171" fontId="7" fillId="11" borderId="4" xfId="2" applyNumberFormat="1" applyFont="1" applyFill="1" applyBorder="1" applyAlignment="1">
      <alignment horizontal="right" vertical="center"/>
    </xf>
    <xf numFmtId="171" fontId="7" fillId="11" borderId="1" xfId="2" applyNumberFormat="1" applyFont="1" applyFill="1" applyBorder="1" applyAlignment="1">
      <alignment horizontal="right" vertical="center"/>
    </xf>
    <xf numFmtId="14" fontId="3" fillId="5" borderId="0" xfId="0" applyNumberFormat="1" applyFont="1" applyFill="1" applyBorder="1" applyAlignment="1">
      <alignment horizontal="center" vertical="center"/>
    </xf>
    <xf numFmtId="9" fontId="7" fillId="11" borderId="1" xfId="2" applyFont="1" applyFill="1" applyBorder="1" applyAlignment="1">
      <alignment horizontal="right" vertical="center" wrapText="1"/>
    </xf>
    <xf numFmtId="9" fontId="10" fillId="0" borderId="0" xfId="2" applyFont="1" applyFill="1" applyBorder="1" applyAlignment="1">
      <alignment vertical="center" wrapText="1"/>
    </xf>
    <xf numFmtId="0" fontId="0" fillId="0" borderId="32" xfId="0" applyNumberFormat="1" applyFont="1" applyFill="1" applyBorder="1" applyAlignment="1" applyProtection="1">
      <alignment horizontal="center"/>
    </xf>
    <xf numFmtId="0" fontId="19" fillId="0" borderId="32" xfId="0" applyNumberFormat="1" applyFont="1" applyFill="1" applyBorder="1" applyAlignment="1" applyProtection="1">
      <alignment horizontal="center" vertical="center" wrapText="1"/>
    </xf>
    <xf numFmtId="0" fontId="19" fillId="0" borderId="31" xfId="0" applyNumberFormat="1" applyFont="1" applyFill="1" applyBorder="1" applyAlignment="1" applyProtection="1">
      <alignment horizontal="center" vertical="center" wrapText="1"/>
    </xf>
    <xf numFmtId="0" fontId="19" fillId="10" borderId="34" xfId="0" applyFont="1" applyFill="1" applyBorder="1" applyAlignment="1">
      <alignment horizontal="center" vertical="center"/>
    </xf>
    <xf numFmtId="0" fontId="19" fillId="0" borderId="32" xfId="0" applyFont="1" applyFill="1" applyBorder="1" applyAlignment="1">
      <alignment horizontal="left" vertical="center" wrapText="1"/>
    </xf>
    <xf numFmtId="0" fontId="19" fillId="10" borderId="32" xfId="0" applyFont="1" applyFill="1" applyBorder="1" applyAlignment="1">
      <alignment horizontal="center" vertical="center"/>
    </xf>
    <xf numFmtId="0" fontId="19" fillId="0" borderId="26" xfId="0" applyFont="1" applyFill="1" applyBorder="1" applyAlignment="1">
      <alignment horizontal="left" vertical="center" wrapText="1"/>
    </xf>
    <xf numFmtId="0" fontId="19" fillId="0" borderId="40" xfId="0" applyFont="1" applyBorder="1" applyAlignment="1">
      <alignment horizontal="left" vertical="center" wrapText="1"/>
    </xf>
    <xf numFmtId="0" fontId="19" fillId="0" borderId="0" xfId="0" applyFont="1" applyBorder="1" applyAlignment="1">
      <alignment horizontal="left" vertical="center" wrapText="1"/>
    </xf>
    <xf numFmtId="0" fontId="19" fillId="0" borderId="35" xfId="0" applyFont="1" applyBorder="1" applyAlignment="1">
      <alignment horizontal="left" vertical="center" wrapText="1"/>
    </xf>
    <xf numFmtId="0" fontId="0" fillId="0" borderId="32" xfId="0" applyNumberFormat="1" applyFont="1" applyFill="1" applyBorder="1" applyAlignment="1" applyProtection="1">
      <alignment wrapText="1"/>
    </xf>
    <xf numFmtId="0" fontId="0" fillId="0" borderId="32" xfId="0" applyNumberFormat="1" applyFont="1" applyFill="1" applyBorder="1" applyAlignment="1" applyProtection="1"/>
    <xf numFmtId="0" fontId="19" fillId="0" borderId="31" xfId="0" applyFont="1" applyFill="1" applyBorder="1" applyAlignment="1">
      <alignment horizontal="center" vertical="center"/>
    </xf>
    <xf numFmtId="0" fontId="19" fillId="0" borderId="3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0" xfId="0" applyFont="1" applyBorder="1" applyAlignment="1">
      <alignment horizontal="left" vertical="center"/>
    </xf>
    <xf numFmtId="0" fontId="7" fillId="0" borderId="1" xfId="0" applyFont="1" applyBorder="1" applyAlignment="1">
      <alignment horizontal="left" vertical="center"/>
    </xf>
    <xf numFmtId="0" fontId="7" fillId="0" borderId="1" xfId="0" applyFont="1" applyFill="1" applyBorder="1" applyAlignment="1">
      <alignment horizontal="left" vertical="center"/>
    </xf>
    <xf numFmtId="0" fontId="7" fillId="6" borderId="36" xfId="0" applyFont="1" applyFill="1" applyBorder="1" applyAlignment="1">
      <alignment horizontal="left" vertical="center" wrapText="1"/>
    </xf>
    <xf numFmtId="164" fontId="7" fillId="6" borderId="41" xfId="0" applyNumberFormat="1" applyFont="1" applyFill="1" applyBorder="1" applyAlignment="1">
      <alignment horizontal="right" vertical="center" wrapText="1"/>
    </xf>
    <xf numFmtId="0" fontId="5" fillId="8" borderId="21" xfId="0" applyFont="1" applyFill="1" applyBorder="1" applyAlignment="1">
      <alignment horizontal="left" vertical="center" wrapText="1"/>
    </xf>
    <xf numFmtId="165" fontId="7" fillId="2" borderId="42" xfId="0" applyNumberFormat="1" applyFont="1" applyFill="1" applyBorder="1" applyAlignment="1">
      <alignment horizontal="right" vertical="center" wrapText="1"/>
    </xf>
    <xf numFmtId="0" fontId="7" fillId="2" borderId="36" xfId="0" applyFont="1" applyFill="1" applyBorder="1" applyAlignment="1">
      <alignment horizontal="left" vertical="center" wrapText="1"/>
    </xf>
    <xf numFmtId="0" fontId="7" fillId="9" borderId="36" xfId="0" applyFont="1" applyFill="1" applyBorder="1" applyAlignment="1">
      <alignment horizontal="left" vertical="center" wrapText="1"/>
    </xf>
    <xf numFmtId="0" fontId="7" fillId="0" borderId="3" xfId="0" applyFont="1" applyBorder="1" applyAlignment="1">
      <alignment horizontal="left" vertical="center" wrapText="1"/>
    </xf>
    <xf numFmtId="166" fontId="7" fillId="13" borderId="4" xfId="0" applyNumberFormat="1" applyFont="1" applyFill="1" applyBorder="1" applyAlignment="1">
      <alignment horizontal="right" vertical="center" wrapText="1"/>
    </xf>
    <xf numFmtId="168" fontId="7" fillId="13" borderId="4" xfId="0" applyNumberFormat="1" applyFont="1" applyFill="1" applyBorder="1" applyAlignment="1">
      <alignment horizontal="right" vertical="center"/>
    </xf>
    <xf numFmtId="0" fontId="0" fillId="13" borderId="4" xfId="0" applyFill="1" applyBorder="1"/>
    <xf numFmtId="0" fontId="5" fillId="0" borderId="21" xfId="0" applyFont="1" applyFill="1" applyBorder="1" applyAlignment="1">
      <alignment horizontal="left" vertical="center" wrapText="1"/>
    </xf>
    <xf numFmtId="165" fontId="8" fillId="0" borderId="22" xfId="0" applyNumberFormat="1" applyFont="1" applyFill="1" applyBorder="1" applyAlignment="1">
      <alignment horizontal="right" vertical="center"/>
    </xf>
    <xf numFmtId="165" fontId="8" fillId="0" borderId="43" xfId="0" applyNumberFormat="1" applyFont="1" applyFill="1" applyBorder="1" applyAlignment="1">
      <alignment horizontal="right" vertical="center"/>
    </xf>
    <xf numFmtId="165" fontId="8" fillId="0" borderId="23"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164" fontId="0" fillId="0" borderId="0" xfId="0" applyNumberFormat="1" applyAlignment="1">
      <alignment horizontal="center"/>
    </xf>
    <xf numFmtId="165" fontId="8" fillId="11" borderId="2" xfId="14"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Border="1" applyAlignment="1">
      <alignment horizontal="left" vertical="center"/>
    </xf>
    <xf numFmtId="0" fontId="7" fillId="0" borderId="1" xfId="0" applyFont="1" applyBorder="1" applyAlignment="1">
      <alignment horizontal="left" vertical="center"/>
    </xf>
    <xf numFmtId="0" fontId="8" fillId="0" borderId="1" xfId="0" applyFont="1" applyFill="1" applyBorder="1" applyAlignment="1">
      <alignment horizontal="left" vertical="center"/>
    </xf>
    <xf numFmtId="164" fontId="7" fillId="0" borderId="2" xfId="0" applyNumberFormat="1" applyFont="1" applyFill="1" applyBorder="1" applyAlignment="1">
      <alignment horizontal="center" vertical="center"/>
    </xf>
    <xf numFmtId="164" fontId="7" fillId="0" borderId="6" xfId="0" applyNumberFormat="1" applyFont="1" applyFill="1" applyBorder="1" applyAlignment="1">
      <alignment horizontal="center" vertical="center"/>
    </xf>
    <xf numFmtId="164" fontId="7" fillId="0" borderId="2" xfId="0" applyNumberFormat="1" applyFont="1" applyFill="1" applyBorder="1" applyAlignment="1">
      <alignment horizontal="center" vertical="top" wrapText="1"/>
    </xf>
    <xf numFmtId="164" fontId="7" fillId="0" borderId="20" xfId="0" applyNumberFormat="1" applyFont="1" applyFill="1" applyBorder="1" applyAlignment="1">
      <alignment horizontal="center" vertical="top"/>
    </xf>
    <xf numFmtId="164" fontId="7" fillId="0" borderId="6" xfId="0" applyNumberFormat="1" applyFont="1" applyFill="1" applyBorder="1" applyAlignment="1">
      <alignment horizontal="center" vertical="top"/>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0" xfId="0" applyFont="1" applyBorder="1" applyAlignment="1">
      <alignment horizontal="left" vertical="center"/>
    </xf>
    <xf numFmtId="0" fontId="12" fillId="0" borderId="18" xfId="0" applyFont="1" applyBorder="1" applyAlignment="1">
      <alignment horizontal="left"/>
    </xf>
    <xf numFmtId="0" fontId="12" fillId="0" borderId="19" xfId="0" applyFont="1" applyBorder="1" applyAlignment="1">
      <alignment horizontal="left"/>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164" fontId="7" fillId="0" borderId="2" xfId="0" applyNumberFormat="1" applyFont="1" applyFill="1" applyBorder="1" applyAlignment="1">
      <alignment horizontal="center" vertical="center" wrapText="1"/>
    </xf>
    <xf numFmtId="164" fontId="7" fillId="0" borderId="20" xfId="0" applyNumberFormat="1" applyFont="1" applyFill="1" applyBorder="1" applyAlignment="1">
      <alignment horizontal="center" vertical="center" wrapText="1"/>
    </xf>
    <xf numFmtId="164" fontId="7" fillId="0" borderId="6" xfId="0" applyNumberFormat="1" applyFont="1" applyFill="1" applyBorder="1" applyAlignment="1">
      <alignment horizontal="center" vertical="center" wrapText="1"/>
    </xf>
    <xf numFmtId="164" fontId="7" fillId="0" borderId="2" xfId="0" quotePrefix="1" applyNumberFormat="1" applyFont="1" applyFill="1" applyBorder="1" applyAlignment="1">
      <alignment horizontal="center" vertical="center" wrapText="1"/>
    </xf>
    <xf numFmtId="164" fontId="7" fillId="0" borderId="20" xfId="0" applyNumberFormat="1" applyFont="1" applyFill="1" applyBorder="1" applyAlignment="1">
      <alignment horizontal="center" vertical="center"/>
    </xf>
    <xf numFmtId="0" fontId="2" fillId="0" borderId="1" xfId="0" applyFont="1" applyBorder="1" applyAlignment="1">
      <alignment horizontal="left"/>
    </xf>
    <xf numFmtId="0" fontId="7" fillId="0" borderId="1" xfId="0" applyFont="1" applyFill="1" applyBorder="1" applyAlignment="1">
      <alignment horizontal="left" vertical="center"/>
    </xf>
    <xf numFmtId="0" fontId="7" fillId="0" borderId="1" xfId="0" applyFont="1" applyBorder="1" applyAlignment="1">
      <alignment vertical="center"/>
    </xf>
    <xf numFmtId="0" fontId="3" fillId="12" borderId="28" xfId="3" applyFont="1" applyFill="1" applyBorder="1" applyAlignment="1">
      <alignment horizontal="center" vertical="center"/>
    </xf>
    <xf numFmtId="0" fontId="3" fillId="12" borderId="29" xfId="3" applyFont="1" applyFill="1" applyBorder="1" applyAlignment="1">
      <alignment horizontal="center" vertical="center"/>
    </xf>
    <xf numFmtId="0" fontId="3" fillId="12" borderId="30" xfId="3" applyFont="1" applyFill="1" applyBorder="1" applyAlignment="1">
      <alignment horizontal="center" vertical="center"/>
    </xf>
    <xf numFmtId="0" fontId="19" fillId="10" borderId="34" xfId="0" applyFont="1" applyFill="1" applyBorder="1" applyAlignment="1">
      <alignment horizontal="center" vertical="center"/>
    </xf>
    <xf numFmtId="0" fontId="19" fillId="10" borderId="33" xfId="0" applyFont="1" applyFill="1" applyBorder="1" applyAlignment="1">
      <alignment horizontal="center" vertical="center"/>
    </xf>
    <xf numFmtId="0" fontId="19" fillId="10" borderId="31" xfId="0" applyFont="1" applyFill="1" applyBorder="1" applyAlignment="1">
      <alignment horizontal="center" vertical="center"/>
    </xf>
    <xf numFmtId="0" fontId="19" fillId="0" borderId="34" xfId="0" applyFont="1" applyBorder="1" applyAlignment="1">
      <alignment horizontal="center" vertical="center"/>
    </xf>
    <xf numFmtId="0" fontId="19" fillId="0" borderId="33" xfId="0" applyFont="1" applyBorder="1" applyAlignment="1">
      <alignment horizontal="center" vertical="center"/>
    </xf>
    <xf numFmtId="0" fontId="19" fillId="0" borderId="31" xfId="0" applyFont="1" applyBorder="1" applyAlignment="1">
      <alignment horizontal="center" vertical="center"/>
    </xf>
    <xf numFmtId="0" fontId="3" fillId="12" borderId="25" xfId="6" applyFont="1" applyFill="1" applyBorder="1" applyAlignment="1">
      <alignment horizontal="center" vertical="center"/>
    </xf>
    <xf numFmtId="0" fontId="3" fillId="12" borderId="26" xfId="6" applyFont="1" applyFill="1" applyBorder="1" applyAlignment="1">
      <alignment horizontal="center" vertical="center"/>
    </xf>
    <xf numFmtId="0" fontId="3" fillId="12" borderId="27" xfId="6" applyFont="1" applyFill="1" applyBorder="1" applyAlignment="1">
      <alignment horizontal="center" vertical="center"/>
    </xf>
    <xf numFmtId="0" fontId="10" fillId="0" borderId="0" xfId="0" applyFont="1" applyFill="1" applyAlignment="1">
      <alignment horizontal="center"/>
    </xf>
    <xf numFmtId="0" fontId="7" fillId="0" borderId="25"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7" xfId="0" applyFont="1" applyFill="1" applyBorder="1" applyAlignment="1">
      <alignment horizontal="left" vertical="center" wrapText="1"/>
    </xf>
  </cellXfs>
  <cellStyles count="15">
    <cellStyle name="Comma" xfId="1" builtinId="3"/>
    <cellStyle name="Comma 2" xfId="11"/>
    <cellStyle name="Currency" xfId="14" builtinId="4"/>
    <cellStyle name="Normal" xfId="0" builtinId="0"/>
    <cellStyle name="Normal 10 2" xfId="5"/>
    <cellStyle name="Normal 2" xfId="9"/>
    <cellStyle name="Normal 2 2" xfId="3"/>
    <cellStyle name="Normal 2 2 2" xfId="6"/>
    <cellStyle name="Normal 3" xfId="10"/>
    <cellStyle name="Normal 3 7" xfId="4"/>
    <cellStyle name="Normal 4 3" xfId="8"/>
    <cellStyle name="Normal 5" xfId="7"/>
    <cellStyle name="Normal 6" xfId="13"/>
    <cellStyle name="Percent" xfId="2" builtinId="5"/>
    <cellStyle name="Percent 2" xfId="12"/>
  </cellStyles>
  <dxfs count="1">
    <dxf>
      <font>
        <b/>
        <i val="0"/>
      </font>
    </dxf>
  </dxfs>
  <tableStyles count="0" defaultTableStyle="TableStyleMedium2" defaultPivotStyle="PivotStyleLight16"/>
  <colors>
    <mruColors>
      <color rgb="FFE4DFEC"/>
      <color rgb="FFEEE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4"/>
  <sheetViews>
    <sheetView tabSelected="1" zoomScale="70" zoomScaleNormal="70" workbookViewId="0"/>
  </sheetViews>
  <sheetFormatPr defaultRowHeight="15"/>
  <cols>
    <col min="1" max="1" width="60.85546875" customWidth="1"/>
    <col min="2" max="10" width="16.85546875" customWidth="1"/>
    <col min="11" max="11" width="21" bestFit="1" customWidth="1"/>
    <col min="12" max="15" width="16.85546875" customWidth="1"/>
    <col min="16" max="18" width="17" customWidth="1"/>
  </cols>
  <sheetData>
    <row r="1" spans="1:18" ht="18">
      <c r="A1" s="1" t="s">
        <v>143</v>
      </c>
      <c r="B1" s="1"/>
      <c r="C1" s="2"/>
      <c r="D1" s="170">
        <v>45775</v>
      </c>
      <c r="E1" s="139"/>
      <c r="F1" s="3"/>
      <c r="G1" s="208"/>
      <c r="H1" s="4"/>
      <c r="I1" s="5" t="s">
        <v>0</v>
      </c>
      <c r="J1" s="6" t="s">
        <v>0</v>
      </c>
    </row>
    <row r="2" spans="1:18" ht="15.75">
      <c r="A2" s="7" t="s">
        <v>0</v>
      </c>
      <c r="B2" s="8"/>
      <c r="C2" s="8"/>
      <c r="D2" s="8"/>
      <c r="E2" s="8"/>
      <c r="F2" s="8"/>
      <c r="G2" s="6"/>
      <c r="H2" s="8"/>
      <c r="I2" s="6" t="s">
        <v>0</v>
      </c>
      <c r="J2" s="9" t="s">
        <v>0</v>
      </c>
      <c r="K2" s="8" t="s">
        <v>0</v>
      </c>
      <c r="L2" s="8"/>
      <c r="M2" s="10" t="s">
        <v>0</v>
      </c>
      <c r="N2" s="8"/>
    </row>
    <row r="3" spans="1:18" ht="18">
      <c r="A3" s="189" t="s">
        <v>0</v>
      </c>
      <c r="B3" s="11" t="s">
        <v>1</v>
      </c>
      <c r="C3" s="211" t="s">
        <v>2</v>
      </c>
      <c r="D3" s="211"/>
      <c r="E3" s="211"/>
      <c r="F3" s="211"/>
      <c r="G3" s="211"/>
      <c r="H3" s="211"/>
      <c r="I3" s="211"/>
      <c r="J3" s="211"/>
      <c r="K3" s="211"/>
      <c r="L3" s="211"/>
      <c r="M3" s="211"/>
      <c r="N3" s="211"/>
      <c r="O3" s="211"/>
      <c r="P3" s="211"/>
      <c r="Q3" s="211"/>
      <c r="R3" s="211"/>
    </row>
    <row r="4" spans="1:18" ht="15" customHeight="1">
      <c r="A4" s="189" t="s">
        <v>3</v>
      </c>
      <c r="B4" s="106">
        <v>0.191</v>
      </c>
      <c r="C4" s="212" t="s">
        <v>149</v>
      </c>
      <c r="D4" s="212"/>
      <c r="E4" s="212"/>
      <c r="F4" s="212"/>
      <c r="G4" s="212"/>
      <c r="H4" s="212"/>
      <c r="I4" s="212"/>
      <c r="J4" s="212"/>
      <c r="K4" s="212"/>
      <c r="L4" s="212"/>
      <c r="M4" s="212"/>
      <c r="N4" s="212"/>
      <c r="O4" s="212"/>
      <c r="P4" s="212"/>
      <c r="Q4" s="212"/>
      <c r="R4" s="212"/>
    </row>
    <row r="5" spans="1:18" ht="15" customHeight="1">
      <c r="A5" s="189" t="s">
        <v>117</v>
      </c>
      <c r="B5" s="106">
        <v>0.76990000000000003</v>
      </c>
      <c r="C5" s="212" t="s">
        <v>147</v>
      </c>
      <c r="D5" s="212"/>
      <c r="E5" s="212"/>
      <c r="F5" s="212"/>
      <c r="G5" s="212"/>
      <c r="H5" s="212"/>
      <c r="I5" s="212"/>
      <c r="J5" s="212"/>
      <c r="K5" s="212"/>
      <c r="L5" s="212"/>
      <c r="M5" s="212"/>
      <c r="N5" s="212"/>
      <c r="O5" s="212"/>
      <c r="P5" s="212"/>
      <c r="Q5" s="212"/>
      <c r="R5" s="212"/>
    </row>
    <row r="6" spans="1:18" ht="15" customHeight="1">
      <c r="A6" s="189" t="s">
        <v>145</v>
      </c>
      <c r="B6" s="107">
        <f>'Net CONE'!H4</f>
        <v>0.78</v>
      </c>
      <c r="C6" s="189"/>
      <c r="D6" s="189"/>
      <c r="E6" s="189"/>
      <c r="F6" s="189"/>
      <c r="G6" s="189"/>
      <c r="H6" s="189"/>
      <c r="I6" s="189"/>
      <c r="J6" s="189"/>
      <c r="K6" s="189"/>
      <c r="L6" s="189"/>
      <c r="M6" s="189"/>
      <c r="N6" s="189"/>
      <c r="O6" s="189"/>
      <c r="P6" s="189"/>
      <c r="Q6" s="189"/>
      <c r="R6" s="189"/>
    </row>
    <row r="7" spans="1:18" ht="15" customHeight="1">
      <c r="A7" s="189" t="s">
        <v>4</v>
      </c>
      <c r="B7" s="108">
        <v>0.91700000000000004</v>
      </c>
      <c r="C7" s="212" t="s">
        <v>147</v>
      </c>
      <c r="D7" s="212"/>
      <c r="E7" s="212"/>
      <c r="F7" s="212"/>
      <c r="G7" s="212"/>
      <c r="H7" s="212"/>
      <c r="I7" s="212"/>
      <c r="J7" s="212"/>
      <c r="K7" s="212"/>
      <c r="L7" s="212"/>
      <c r="M7" s="212"/>
      <c r="N7" s="212"/>
      <c r="O7" s="212"/>
      <c r="P7" s="212"/>
      <c r="Q7" s="212"/>
      <c r="R7" s="212"/>
    </row>
    <row r="8" spans="1:18" ht="15" customHeight="1">
      <c r="A8" s="189" t="s">
        <v>5</v>
      </c>
      <c r="B8" s="112">
        <f>I52</f>
        <v>159329.1</v>
      </c>
      <c r="C8" s="213" t="s">
        <v>148</v>
      </c>
      <c r="D8" s="213"/>
      <c r="E8" s="213"/>
      <c r="F8" s="213"/>
      <c r="G8" s="213"/>
      <c r="H8" s="213"/>
      <c r="I8" s="213"/>
      <c r="J8" s="213"/>
      <c r="K8" s="213"/>
      <c r="L8" s="213"/>
      <c r="M8" s="213"/>
      <c r="N8" s="213"/>
      <c r="O8" s="213"/>
      <c r="P8" s="213"/>
      <c r="Q8" s="213"/>
      <c r="R8" s="213"/>
    </row>
    <row r="9" spans="1:18" ht="15" customHeight="1">
      <c r="A9" s="206" t="s">
        <v>175</v>
      </c>
      <c r="B9" s="209">
        <v>256.75</v>
      </c>
      <c r="C9" s="207" t="s">
        <v>177</v>
      </c>
      <c r="D9" s="207"/>
      <c r="E9" s="207"/>
      <c r="F9" s="207"/>
      <c r="G9" s="207"/>
      <c r="H9" s="207"/>
      <c r="I9" s="207"/>
      <c r="J9" s="207"/>
      <c r="K9" s="207"/>
      <c r="L9" s="207"/>
      <c r="M9" s="207"/>
      <c r="N9" s="207"/>
      <c r="O9" s="207"/>
      <c r="P9" s="207"/>
      <c r="Q9" s="207"/>
      <c r="R9" s="207"/>
    </row>
    <row r="10" spans="1:18" ht="15" customHeight="1">
      <c r="A10" s="206" t="s">
        <v>176</v>
      </c>
      <c r="B10" s="209">
        <v>138.25</v>
      </c>
      <c r="C10" s="207" t="s">
        <v>177</v>
      </c>
      <c r="D10" s="207"/>
      <c r="E10" s="207"/>
      <c r="F10" s="207"/>
      <c r="G10" s="207"/>
      <c r="H10" s="207"/>
      <c r="I10" s="207"/>
      <c r="J10" s="207"/>
      <c r="K10" s="207"/>
      <c r="L10" s="207"/>
      <c r="M10" s="207"/>
      <c r="N10" s="207"/>
      <c r="O10" s="207"/>
      <c r="P10" s="207"/>
      <c r="Q10" s="207"/>
      <c r="R10" s="207"/>
    </row>
    <row r="11" spans="1:18" ht="15.75" customHeight="1">
      <c r="A11" s="189" t="s">
        <v>0</v>
      </c>
      <c r="B11" s="12" t="s">
        <v>0</v>
      </c>
      <c r="C11" s="210" t="s">
        <v>6</v>
      </c>
      <c r="D11" s="210"/>
      <c r="E11" s="210"/>
      <c r="F11" s="210"/>
      <c r="G11" s="210"/>
      <c r="H11" s="210"/>
      <c r="I11" s="210"/>
      <c r="J11" s="210"/>
      <c r="K11" s="210"/>
      <c r="L11" s="210"/>
      <c r="M11" s="210"/>
      <c r="N11" s="210"/>
      <c r="O11" s="210"/>
      <c r="P11" s="210"/>
      <c r="Q11" s="210"/>
      <c r="R11" s="210"/>
    </row>
    <row r="12" spans="1:18" ht="15.75">
      <c r="A12" s="13" t="s">
        <v>0</v>
      </c>
      <c r="B12" s="14" t="s">
        <v>1</v>
      </c>
      <c r="C12" s="14" t="s">
        <v>7</v>
      </c>
      <c r="D12" s="14" t="s">
        <v>8</v>
      </c>
      <c r="E12" s="14" t="s">
        <v>9</v>
      </c>
      <c r="F12" s="14" t="s">
        <v>10</v>
      </c>
      <c r="G12" s="14" t="s">
        <v>11</v>
      </c>
      <c r="H12" s="14" t="s">
        <v>12</v>
      </c>
      <c r="I12" s="14" t="s">
        <v>13</v>
      </c>
      <c r="J12" s="14" t="s">
        <v>14</v>
      </c>
      <c r="K12" s="14" t="s">
        <v>15</v>
      </c>
      <c r="L12" s="129" t="s">
        <v>16</v>
      </c>
      <c r="M12" s="129" t="s">
        <v>17</v>
      </c>
      <c r="N12" s="129" t="s">
        <v>18</v>
      </c>
      <c r="O12" s="129" t="s">
        <v>19</v>
      </c>
      <c r="P12" s="129" t="s">
        <v>20</v>
      </c>
      <c r="Q12" s="130" t="s">
        <v>61</v>
      </c>
      <c r="R12" s="15" t="s">
        <v>64</v>
      </c>
    </row>
    <row r="13" spans="1:18">
      <c r="A13" s="120" t="s">
        <v>21</v>
      </c>
      <c r="B13" s="17" t="s">
        <v>22</v>
      </c>
      <c r="C13" s="18">
        <v>590</v>
      </c>
      <c r="D13" s="18">
        <v>6072</v>
      </c>
      <c r="E13" s="18">
        <v>6877</v>
      </c>
      <c r="F13" s="18">
        <v>6713</v>
      </c>
      <c r="G13" s="18">
        <v>3017</v>
      </c>
      <c r="H13" s="18">
        <v>1615</v>
      </c>
      <c r="I13" s="18">
        <v>4334</v>
      </c>
      <c r="J13" s="18">
        <v>3800</v>
      </c>
      <c r="K13" s="18">
        <v>3720</v>
      </c>
      <c r="L13" s="18">
        <v>-1236</v>
      </c>
      <c r="M13" s="18">
        <v>4775</v>
      </c>
      <c r="N13" s="18">
        <v>1144</v>
      </c>
      <c r="O13" s="18">
        <v>2626</v>
      </c>
      <c r="P13" s="18">
        <v>2793</v>
      </c>
      <c r="Q13" s="18">
        <v>5511</v>
      </c>
      <c r="R13" s="18">
        <v>3790</v>
      </c>
    </row>
    <row r="14" spans="1:18">
      <c r="A14" s="120" t="s">
        <v>23</v>
      </c>
      <c r="B14" s="17" t="s">
        <v>22</v>
      </c>
      <c r="C14" s="18">
        <v>2715</v>
      </c>
      <c r="D14" s="18">
        <v>8083</v>
      </c>
      <c r="E14" s="18">
        <v>6999</v>
      </c>
      <c r="F14" s="18">
        <v>8889</v>
      </c>
      <c r="G14" s="18">
        <v>4425</v>
      </c>
      <c r="H14" s="18">
        <v>1948</v>
      </c>
      <c r="I14" s="18">
        <v>5870</v>
      </c>
      <c r="J14" s="18">
        <v>10406</v>
      </c>
      <c r="K14" s="18">
        <v>5199</v>
      </c>
      <c r="L14" s="18">
        <v>6110</v>
      </c>
      <c r="M14" s="18">
        <v>6000</v>
      </c>
      <c r="N14" s="18">
        <v>3205</v>
      </c>
      <c r="O14" s="18">
        <v>4157</v>
      </c>
      <c r="P14" s="18">
        <v>5280</v>
      </c>
      <c r="Q14" s="18">
        <v>7374</v>
      </c>
      <c r="R14" s="18">
        <v>4263</v>
      </c>
    </row>
    <row r="15" spans="1:18">
      <c r="A15" s="121" t="s">
        <v>24</v>
      </c>
      <c r="B15" s="17">
        <f>ROUND((B8*B7),1)</f>
        <v>146104.79999999999</v>
      </c>
      <c r="C15" s="18">
        <v>52587.1</v>
      </c>
      <c r="D15" s="18">
        <v>30428.6</v>
      </c>
      <c r="E15" s="18">
        <v>13338.7</v>
      </c>
      <c r="F15" s="18">
        <v>10797.6</v>
      </c>
      <c r="G15" s="18">
        <v>5390.4</v>
      </c>
      <c r="H15" s="18">
        <v>2634.1</v>
      </c>
      <c r="I15" s="18">
        <v>6457.9</v>
      </c>
      <c r="J15" s="18">
        <v>11923.5</v>
      </c>
      <c r="K15" s="18">
        <v>5329.6</v>
      </c>
      <c r="L15" s="18">
        <v>20669.5</v>
      </c>
      <c r="M15" s="18">
        <v>6995.6</v>
      </c>
      <c r="N15" s="18">
        <v>9521.7999999999993</v>
      </c>
      <c r="O15" s="18">
        <v>3521.3</v>
      </c>
      <c r="P15" s="18">
        <v>5514.7</v>
      </c>
      <c r="Q15" s="18">
        <v>25660.7</v>
      </c>
      <c r="R15" s="18">
        <v>6184.5</v>
      </c>
    </row>
    <row r="16" spans="1:18">
      <c r="A16" s="120" t="s">
        <v>25</v>
      </c>
      <c r="B16" s="19">
        <f>J52</f>
        <v>0</v>
      </c>
      <c r="C16" s="20">
        <f>J80</f>
        <v>0</v>
      </c>
      <c r="D16" s="20">
        <f>J77</f>
        <v>0</v>
      </c>
      <c r="E16" s="20">
        <f>J78</f>
        <v>0</v>
      </c>
      <c r="F16" s="20">
        <f>J74</f>
        <v>0</v>
      </c>
      <c r="G16" s="20">
        <f>J75</f>
        <v>0</v>
      </c>
      <c r="H16" s="20">
        <f>J65</f>
        <v>0</v>
      </c>
      <c r="I16" s="20">
        <f>J72</f>
        <v>0</v>
      </c>
      <c r="J16" s="20">
        <f>J56</f>
        <v>0</v>
      </c>
      <c r="K16" s="20">
        <f>J57</f>
        <v>0</v>
      </c>
      <c r="L16" s="19">
        <f>J59</f>
        <v>0</v>
      </c>
      <c r="M16" s="20">
        <f>J58</f>
        <v>0</v>
      </c>
      <c r="N16" s="20">
        <f>J73</f>
        <v>0</v>
      </c>
      <c r="O16" s="20">
        <f>J60</f>
        <v>0</v>
      </c>
      <c r="P16" s="21">
        <f>J61</f>
        <v>0</v>
      </c>
      <c r="Q16" s="21">
        <f>J63</f>
        <v>0</v>
      </c>
      <c r="R16" s="21">
        <f>J67</f>
        <v>0</v>
      </c>
    </row>
    <row r="17" spans="1:19">
      <c r="A17" s="120" t="s">
        <v>26</v>
      </c>
      <c r="B17" s="19">
        <f t="shared" ref="B17:R17" si="0">ROUND(B16*$B$7,1)</f>
        <v>0</v>
      </c>
      <c r="C17" s="20">
        <f t="shared" si="0"/>
        <v>0</v>
      </c>
      <c r="D17" s="20">
        <f t="shared" si="0"/>
        <v>0</v>
      </c>
      <c r="E17" s="20">
        <f t="shared" si="0"/>
        <v>0</v>
      </c>
      <c r="F17" s="20">
        <f t="shared" si="0"/>
        <v>0</v>
      </c>
      <c r="G17" s="20">
        <f t="shared" si="0"/>
        <v>0</v>
      </c>
      <c r="H17" s="20">
        <f t="shared" si="0"/>
        <v>0</v>
      </c>
      <c r="I17" s="20">
        <f t="shared" si="0"/>
        <v>0</v>
      </c>
      <c r="J17" s="20">
        <f t="shared" si="0"/>
        <v>0</v>
      </c>
      <c r="K17" s="20">
        <f t="shared" si="0"/>
        <v>0</v>
      </c>
      <c r="L17" s="19">
        <f t="shared" si="0"/>
        <v>0</v>
      </c>
      <c r="M17" s="20">
        <f t="shared" si="0"/>
        <v>0</v>
      </c>
      <c r="N17" s="20">
        <f t="shared" si="0"/>
        <v>0</v>
      </c>
      <c r="O17" s="20">
        <f t="shared" si="0"/>
        <v>0</v>
      </c>
      <c r="P17" s="21">
        <f>ROUND(P16*$B$7,1)</f>
        <v>0</v>
      </c>
      <c r="Q17" s="21">
        <f t="shared" si="0"/>
        <v>0</v>
      </c>
      <c r="R17" s="21">
        <f t="shared" si="0"/>
        <v>0</v>
      </c>
      <c r="S17" s="105"/>
    </row>
    <row r="18" spans="1:19" ht="15.75">
      <c r="A18" s="122" t="s">
        <v>27</v>
      </c>
      <c r="B18" s="22">
        <f>B15-B17</f>
        <v>146104.79999999999</v>
      </c>
      <c r="C18" s="22">
        <f>C15-C17*C47</f>
        <v>52587.1</v>
      </c>
      <c r="D18" s="22">
        <f>D15-D17*D47</f>
        <v>30428.6</v>
      </c>
      <c r="E18" s="22">
        <f>E15-E17*E47</f>
        <v>13338.7</v>
      </c>
      <c r="F18" s="22">
        <f t="shared" ref="F18:L18" si="1">F15-F17</f>
        <v>10797.6</v>
      </c>
      <c r="G18" s="22">
        <f t="shared" si="1"/>
        <v>5390.4</v>
      </c>
      <c r="H18" s="22">
        <f>H15-H17*H47</f>
        <v>2634.1</v>
      </c>
      <c r="I18" s="22">
        <f t="shared" si="1"/>
        <v>6457.9</v>
      </c>
      <c r="J18" s="22">
        <f t="shared" si="1"/>
        <v>11923.5</v>
      </c>
      <c r="K18" s="22">
        <f t="shared" si="1"/>
        <v>5329.6</v>
      </c>
      <c r="L18" s="22">
        <f t="shared" si="1"/>
        <v>20669.5</v>
      </c>
      <c r="M18" s="22">
        <f>M15-M17*M47</f>
        <v>6995.6</v>
      </c>
      <c r="N18" s="22">
        <f>N15-N17</f>
        <v>9521.7999999999993</v>
      </c>
      <c r="O18" s="22">
        <f>O15-O17</f>
        <v>3521.3</v>
      </c>
      <c r="P18" s="22">
        <f>P15-P17*P47</f>
        <v>5514.7</v>
      </c>
      <c r="Q18" s="22">
        <f>Q15-Q17*Q47</f>
        <v>25660.7</v>
      </c>
      <c r="R18" s="22">
        <f>R15-R17*R47</f>
        <v>6184.5</v>
      </c>
    </row>
    <row r="19" spans="1:19">
      <c r="A19" s="123" t="s">
        <v>28</v>
      </c>
      <c r="B19" s="24">
        <f>'Net CONE'!E41</f>
        <v>505.73</v>
      </c>
      <c r="C19" s="24">
        <f>'Net CONE'!E28</f>
        <v>488.71</v>
      </c>
      <c r="D19" s="24">
        <f>'Net CONE'!E19</f>
        <v>477.7</v>
      </c>
      <c r="E19" s="24">
        <f>'Net CONE'!E23</f>
        <v>498.77</v>
      </c>
      <c r="F19" s="24">
        <f>'Net CONE'!E17</f>
        <v>477.7</v>
      </c>
      <c r="G19" s="24">
        <f>'Net CONE'!E17</f>
        <v>477.7</v>
      </c>
      <c r="H19" s="24">
        <f>'Net CONE'!E14</f>
        <v>477.7</v>
      </c>
      <c r="I19" s="24">
        <f>'Net CONE'!E22</f>
        <v>498.77</v>
      </c>
      <c r="J19" s="24">
        <f>'Net CONE'!E32</f>
        <v>518.44000000000005</v>
      </c>
      <c r="K19" s="24">
        <f>'Net CONE'!E32</f>
        <v>518.44000000000005</v>
      </c>
      <c r="L19" s="24">
        <f>'Net CONE'!E40</f>
        <v>529.67999999999995</v>
      </c>
      <c r="M19" s="24">
        <f>'Net CONE'!E21</f>
        <v>498.77</v>
      </c>
      <c r="N19" s="24">
        <f>'Net CONE'!E27</f>
        <v>504.04</v>
      </c>
      <c r="O19" s="24">
        <f>'Net CONE'!E33</f>
        <v>518.44000000000005</v>
      </c>
      <c r="P19" s="24">
        <f>'Net CONE'!E34</f>
        <v>518.44000000000005</v>
      </c>
      <c r="Q19" s="24">
        <f>'Net CONE'!E36</f>
        <v>518.44000000000005</v>
      </c>
      <c r="R19" s="24">
        <f>'Net CONE'!E15</f>
        <v>477.7</v>
      </c>
    </row>
    <row r="20" spans="1:19" ht="15.75">
      <c r="A20" s="124" t="s">
        <v>29</v>
      </c>
      <c r="B20" s="26">
        <f>'Net CONE'!H41</f>
        <v>212.14</v>
      </c>
      <c r="C20" s="26">
        <f>'Net CONE'!H28</f>
        <v>267.33</v>
      </c>
      <c r="D20" s="26">
        <f>'Net CONE'!H19</f>
        <v>323</v>
      </c>
      <c r="E20" s="26">
        <f>'Net CONE'!H23</f>
        <v>171.02</v>
      </c>
      <c r="F20" s="26">
        <f>'Net CONE'!H17</f>
        <v>369.29</v>
      </c>
      <c r="G20" s="26">
        <f>'Net CONE'!H17</f>
        <v>369.29</v>
      </c>
      <c r="H20" s="26">
        <f>'Net CONE'!H14</f>
        <v>216.17</v>
      </c>
      <c r="I20" s="26">
        <f>'Net CONE'!H22</f>
        <v>261.07</v>
      </c>
      <c r="J20" s="26">
        <f>'Net CONE'!H32</f>
        <v>204.03</v>
      </c>
      <c r="K20" s="26">
        <f>'Net CONE'!H32</f>
        <v>204.03</v>
      </c>
      <c r="L20" s="26">
        <f>'Net CONE'!H40</f>
        <v>352.25</v>
      </c>
      <c r="M20" s="26">
        <f>'Net CONE'!H21</f>
        <v>80.97</v>
      </c>
      <c r="N20" s="26">
        <f>'Net CONE'!H27</f>
        <v>317.14</v>
      </c>
      <c r="O20" s="26">
        <f>'Net CONE'!H33</f>
        <v>162.72999999999999</v>
      </c>
      <c r="P20" s="26">
        <f>'Net CONE'!H34</f>
        <v>194.21</v>
      </c>
      <c r="Q20" s="26">
        <f>'Net CONE'!H36</f>
        <v>146.43</v>
      </c>
      <c r="R20" s="26">
        <f>'Net CONE'!H15</f>
        <v>361.37</v>
      </c>
    </row>
    <row r="21" spans="1:19" ht="16.5" thickBot="1">
      <c r="A21" s="219" t="s">
        <v>30</v>
      </c>
      <c r="B21" s="220"/>
      <c r="C21" s="220"/>
      <c r="D21" s="220"/>
      <c r="E21" s="220"/>
      <c r="F21" s="220"/>
      <c r="G21" s="220"/>
      <c r="H21" s="220"/>
      <c r="I21" s="220"/>
      <c r="J21" s="220"/>
      <c r="K21" s="220"/>
      <c r="L21" s="220"/>
      <c r="M21" s="220"/>
      <c r="N21" s="220"/>
      <c r="O21" s="220"/>
      <c r="P21" s="220"/>
      <c r="Q21" s="220"/>
      <c r="R21" s="131"/>
    </row>
    <row r="22" spans="1:19">
      <c r="A22" s="144" t="s">
        <v>31</v>
      </c>
      <c r="B22" s="145">
        <f>ROUND($B$9/$B$6,2)</f>
        <v>329.17</v>
      </c>
      <c r="C22" s="145">
        <f t="shared" ref="C22:R22" si="2">ROUND($B$9/$B$6,2)</f>
        <v>329.17</v>
      </c>
      <c r="D22" s="145">
        <f t="shared" si="2"/>
        <v>329.17</v>
      </c>
      <c r="E22" s="145">
        <f t="shared" si="2"/>
        <v>329.17</v>
      </c>
      <c r="F22" s="145">
        <f t="shared" si="2"/>
        <v>329.17</v>
      </c>
      <c r="G22" s="145">
        <f t="shared" si="2"/>
        <v>329.17</v>
      </c>
      <c r="H22" s="145">
        <f t="shared" si="2"/>
        <v>329.17</v>
      </c>
      <c r="I22" s="145">
        <f t="shared" si="2"/>
        <v>329.17</v>
      </c>
      <c r="J22" s="145">
        <f t="shared" si="2"/>
        <v>329.17</v>
      </c>
      <c r="K22" s="145">
        <f t="shared" si="2"/>
        <v>329.17</v>
      </c>
      <c r="L22" s="145">
        <f t="shared" si="2"/>
        <v>329.17</v>
      </c>
      <c r="M22" s="145">
        <f t="shared" si="2"/>
        <v>329.17</v>
      </c>
      <c r="N22" s="145">
        <f t="shared" si="2"/>
        <v>329.17</v>
      </c>
      <c r="O22" s="145">
        <f t="shared" si="2"/>
        <v>329.17</v>
      </c>
      <c r="P22" s="145">
        <f t="shared" si="2"/>
        <v>329.17</v>
      </c>
      <c r="Q22" s="145">
        <f t="shared" si="2"/>
        <v>329.17</v>
      </c>
      <c r="R22" s="145">
        <f t="shared" si="2"/>
        <v>329.17</v>
      </c>
    </row>
    <row r="23" spans="1:19">
      <c r="A23" s="88" t="s">
        <v>32</v>
      </c>
      <c r="B23" s="89">
        <f>MAX(ROUND(B$20*0.75,2),ROUND($B$10/$B$6,2))</f>
        <v>177.24</v>
      </c>
      <c r="C23" s="89">
        <f t="shared" ref="C23:R23" si="3">MAX(ROUND(C$20*0.75,2),ROUND($B$10/$B$6,2))</f>
        <v>200.5</v>
      </c>
      <c r="D23" s="89">
        <f t="shared" si="3"/>
        <v>242.25</v>
      </c>
      <c r="E23" s="89">
        <f t="shared" si="3"/>
        <v>177.24</v>
      </c>
      <c r="F23" s="89">
        <f t="shared" si="3"/>
        <v>276.97000000000003</v>
      </c>
      <c r="G23" s="89">
        <f t="shared" si="3"/>
        <v>276.97000000000003</v>
      </c>
      <c r="H23" s="89">
        <f t="shared" si="3"/>
        <v>177.24</v>
      </c>
      <c r="I23" s="89">
        <f t="shared" si="3"/>
        <v>195.8</v>
      </c>
      <c r="J23" s="89">
        <f t="shared" si="3"/>
        <v>177.24</v>
      </c>
      <c r="K23" s="89">
        <f t="shared" si="3"/>
        <v>177.24</v>
      </c>
      <c r="L23" s="89">
        <f t="shared" si="3"/>
        <v>264.19</v>
      </c>
      <c r="M23" s="89">
        <f t="shared" si="3"/>
        <v>177.24</v>
      </c>
      <c r="N23" s="89">
        <f t="shared" si="3"/>
        <v>237.86</v>
      </c>
      <c r="O23" s="89">
        <f t="shared" si="3"/>
        <v>177.24</v>
      </c>
      <c r="P23" s="89">
        <f t="shared" si="3"/>
        <v>177.24</v>
      </c>
      <c r="Q23" s="89">
        <f t="shared" si="3"/>
        <v>177.24</v>
      </c>
      <c r="R23" s="89">
        <f t="shared" si="3"/>
        <v>271.02999999999997</v>
      </c>
    </row>
    <row r="24" spans="1:19">
      <c r="A24" s="88" t="s">
        <v>33</v>
      </c>
      <c r="B24" s="89">
        <f>ROUND($B$10/$B$6,2)</f>
        <v>177.24</v>
      </c>
      <c r="C24" s="89">
        <f t="shared" ref="C24:R24" si="4">ROUND($B$10/$B$6,2)</f>
        <v>177.24</v>
      </c>
      <c r="D24" s="89">
        <f t="shared" si="4"/>
        <v>177.24</v>
      </c>
      <c r="E24" s="89">
        <f t="shared" si="4"/>
        <v>177.24</v>
      </c>
      <c r="F24" s="89">
        <f t="shared" si="4"/>
        <v>177.24</v>
      </c>
      <c r="G24" s="89">
        <f t="shared" si="4"/>
        <v>177.24</v>
      </c>
      <c r="H24" s="89">
        <f t="shared" si="4"/>
        <v>177.24</v>
      </c>
      <c r="I24" s="89">
        <f t="shared" si="4"/>
        <v>177.24</v>
      </c>
      <c r="J24" s="89">
        <f t="shared" si="4"/>
        <v>177.24</v>
      </c>
      <c r="K24" s="89">
        <f t="shared" si="4"/>
        <v>177.24</v>
      </c>
      <c r="L24" s="89">
        <f t="shared" si="4"/>
        <v>177.24</v>
      </c>
      <c r="M24" s="89">
        <f t="shared" si="4"/>
        <v>177.24</v>
      </c>
      <c r="N24" s="89">
        <f t="shared" si="4"/>
        <v>177.24</v>
      </c>
      <c r="O24" s="89">
        <f t="shared" si="4"/>
        <v>177.24</v>
      </c>
      <c r="P24" s="89">
        <f t="shared" si="4"/>
        <v>177.24</v>
      </c>
      <c r="Q24" s="89">
        <f t="shared" si="4"/>
        <v>177.24</v>
      </c>
      <c r="R24" s="89">
        <f t="shared" si="4"/>
        <v>177.24</v>
      </c>
    </row>
    <row r="25" spans="1:19">
      <c r="A25" s="88" t="s">
        <v>172</v>
      </c>
      <c r="B25" s="89" t="str">
        <f>IF(B23=ROUND($B$10/$B$6,2),"",ROUND($B$10/$B$6,2))</f>
        <v/>
      </c>
      <c r="C25" s="89">
        <f t="shared" ref="C25:R25" si="5">IF(C23=ROUND($B$10/$B$6,2),"",ROUND($B$10/$B$6,2))</f>
        <v>177.24</v>
      </c>
      <c r="D25" s="89">
        <f t="shared" si="5"/>
        <v>177.24</v>
      </c>
      <c r="E25" s="89" t="str">
        <f t="shared" si="5"/>
        <v/>
      </c>
      <c r="F25" s="89">
        <f t="shared" si="5"/>
        <v>177.24</v>
      </c>
      <c r="G25" s="89">
        <f t="shared" si="5"/>
        <v>177.24</v>
      </c>
      <c r="H25" s="89" t="str">
        <f t="shared" si="5"/>
        <v/>
      </c>
      <c r="I25" s="89">
        <f t="shared" si="5"/>
        <v>177.24</v>
      </c>
      <c r="J25" s="89" t="str">
        <f t="shared" si="5"/>
        <v/>
      </c>
      <c r="K25" s="89" t="str">
        <f t="shared" si="5"/>
        <v/>
      </c>
      <c r="L25" s="89">
        <f t="shared" si="5"/>
        <v>177.24</v>
      </c>
      <c r="M25" s="89" t="str">
        <f t="shared" si="5"/>
        <v/>
      </c>
      <c r="N25" s="89">
        <f t="shared" si="5"/>
        <v>177.24</v>
      </c>
      <c r="O25" s="89" t="str">
        <f t="shared" si="5"/>
        <v/>
      </c>
      <c r="P25" s="89" t="str">
        <f t="shared" si="5"/>
        <v/>
      </c>
      <c r="Q25" s="89" t="str">
        <f t="shared" si="5"/>
        <v/>
      </c>
      <c r="R25" s="89">
        <f t="shared" si="5"/>
        <v>177.24</v>
      </c>
    </row>
    <row r="26" spans="1:19">
      <c r="A26" s="88" t="s">
        <v>34</v>
      </c>
      <c r="B26" s="90">
        <v>146504.29999999999</v>
      </c>
      <c r="C26" s="90">
        <v>52789</v>
      </c>
      <c r="D26" s="90">
        <v>30680.3</v>
      </c>
      <c r="E26" s="90">
        <v>13358</v>
      </c>
      <c r="F26" s="90">
        <v>10921.4</v>
      </c>
      <c r="G26" s="90">
        <v>5452.2</v>
      </c>
      <c r="H26" s="90">
        <v>2638.8</v>
      </c>
      <c r="I26" s="90">
        <v>6483.7</v>
      </c>
      <c r="J26" s="90">
        <v>11958.7</v>
      </c>
      <c r="K26" s="90">
        <v>5345.3</v>
      </c>
      <c r="L26" s="90">
        <v>20884.2</v>
      </c>
      <c r="M26" s="90">
        <v>6993.3</v>
      </c>
      <c r="N26" s="90">
        <v>9596.1</v>
      </c>
      <c r="O26" s="90">
        <v>3528.1</v>
      </c>
      <c r="P26" s="90">
        <v>5529.6</v>
      </c>
      <c r="Q26" s="90">
        <v>25701.200000000001</v>
      </c>
      <c r="R26" s="90">
        <v>6252.4</v>
      </c>
    </row>
    <row r="27" spans="1:19">
      <c r="A27" s="88" t="s">
        <v>35</v>
      </c>
      <c r="B27" s="90">
        <v>148105.4</v>
      </c>
      <c r="C27" s="90">
        <v>53375.9</v>
      </c>
      <c r="D27" s="90">
        <v>30885</v>
      </c>
      <c r="E27" s="90">
        <v>13494.7</v>
      </c>
      <c r="F27" s="90">
        <v>10959.6</v>
      </c>
      <c r="G27" s="90">
        <v>5471.3</v>
      </c>
      <c r="H27" s="90">
        <v>2670.4</v>
      </c>
      <c r="I27" s="90">
        <v>6554.8</v>
      </c>
      <c r="J27" s="90">
        <v>12082.6</v>
      </c>
      <c r="K27" s="90">
        <v>5400.7</v>
      </c>
      <c r="L27" s="90">
        <v>20979.5</v>
      </c>
      <c r="M27" s="90">
        <v>7054</v>
      </c>
      <c r="N27" s="90">
        <v>9664.6</v>
      </c>
      <c r="O27" s="90">
        <v>3561.8</v>
      </c>
      <c r="P27" s="90">
        <v>5585.7</v>
      </c>
      <c r="Q27" s="90">
        <v>25939.8</v>
      </c>
      <c r="R27" s="90">
        <v>6277.3</v>
      </c>
    </row>
    <row r="28" spans="1:19">
      <c r="A28" s="88" t="s">
        <v>36</v>
      </c>
      <c r="B28" s="90">
        <v>152679.5</v>
      </c>
      <c r="C28" s="90">
        <v>53558.9</v>
      </c>
      <c r="D28" s="90">
        <v>31130</v>
      </c>
      <c r="E28" s="90">
        <v>13938.9</v>
      </c>
      <c r="F28" s="90">
        <v>11076.2</v>
      </c>
      <c r="G28" s="90">
        <v>5529.5</v>
      </c>
      <c r="H28" s="90">
        <v>2752.6</v>
      </c>
      <c r="I28" s="90">
        <v>6573.2</v>
      </c>
      <c r="J28" s="90">
        <v>12460.1</v>
      </c>
      <c r="K28" s="90">
        <v>5569.4</v>
      </c>
      <c r="L28" s="90">
        <v>21183.599999999999</v>
      </c>
      <c r="M28" s="90">
        <v>7310.4</v>
      </c>
      <c r="N28" s="90">
        <v>9737.4</v>
      </c>
      <c r="O28" s="90">
        <v>3679.8</v>
      </c>
      <c r="P28" s="90">
        <v>5762.9</v>
      </c>
      <c r="Q28" s="90">
        <v>26815.4</v>
      </c>
      <c r="R28" s="90">
        <v>6341.5</v>
      </c>
    </row>
    <row r="29" spans="1:19" ht="15.75" thickBot="1">
      <c r="A29" s="191" t="s">
        <v>171</v>
      </c>
      <c r="B29" s="192" t="s">
        <v>179</v>
      </c>
      <c r="C29" s="192">
        <v>54953.5</v>
      </c>
      <c r="D29" s="192">
        <v>31797.9</v>
      </c>
      <c r="E29" s="192" t="s">
        <v>179</v>
      </c>
      <c r="F29" s="192">
        <v>11283.5</v>
      </c>
      <c r="G29" s="192">
        <v>5633</v>
      </c>
      <c r="H29" s="192" t="s">
        <v>179</v>
      </c>
      <c r="I29" s="192">
        <v>6748.5</v>
      </c>
      <c r="J29" s="192" t="s">
        <v>179</v>
      </c>
      <c r="K29" s="192" t="s">
        <v>179</v>
      </c>
      <c r="L29" s="192">
        <v>21599.599999999999</v>
      </c>
      <c r="M29" s="192" t="s">
        <v>179</v>
      </c>
      <c r="N29" s="192">
        <v>9950.2999999999993</v>
      </c>
      <c r="O29" s="192" t="s">
        <v>179</v>
      </c>
      <c r="P29" s="192" t="s">
        <v>179</v>
      </c>
      <c r="Q29" s="192" t="s">
        <v>179</v>
      </c>
      <c r="R29" s="192">
        <v>6462.8</v>
      </c>
    </row>
    <row r="30" spans="1:19" ht="16.5" thickBot="1">
      <c r="A30" s="193" t="s">
        <v>37</v>
      </c>
      <c r="B30" s="146">
        <f>C30+J30+L30+O30+P30</f>
        <v>115</v>
      </c>
      <c r="C30" s="146">
        <f>D30+E30+N30</f>
        <v>115</v>
      </c>
      <c r="D30" s="146">
        <f>0+H30+R30</f>
        <v>0</v>
      </c>
      <c r="E30" s="146">
        <f>I30+M30</f>
        <v>115</v>
      </c>
      <c r="F30" s="146">
        <v>0</v>
      </c>
      <c r="G30" s="146">
        <v>0</v>
      </c>
      <c r="H30" s="146">
        <v>0</v>
      </c>
      <c r="I30" s="146">
        <v>0</v>
      </c>
      <c r="J30" s="146">
        <v>0</v>
      </c>
      <c r="K30" s="146">
        <v>0</v>
      </c>
      <c r="L30" s="146">
        <v>0</v>
      </c>
      <c r="M30" s="146">
        <v>115</v>
      </c>
      <c r="N30" s="146">
        <v>0</v>
      </c>
      <c r="O30" s="146">
        <v>0</v>
      </c>
      <c r="P30" s="146">
        <v>0</v>
      </c>
      <c r="Q30" s="146">
        <v>0</v>
      </c>
      <c r="R30" s="146">
        <v>0</v>
      </c>
    </row>
    <row r="31" spans="1:19" ht="16.5" thickBot="1">
      <c r="A31" s="221" t="s">
        <v>38</v>
      </c>
      <c r="B31" s="222"/>
      <c r="C31" s="222"/>
      <c r="D31" s="222"/>
      <c r="E31" s="222"/>
      <c r="F31" s="222"/>
      <c r="G31" s="222"/>
      <c r="H31" s="222"/>
      <c r="I31" s="222"/>
      <c r="J31" s="222"/>
      <c r="K31" s="222"/>
      <c r="L31" s="222"/>
      <c r="M31" s="222"/>
      <c r="N31" s="222"/>
      <c r="O31" s="222"/>
      <c r="P31" s="223"/>
      <c r="Q31" s="147"/>
      <c r="R31" s="148"/>
    </row>
    <row r="32" spans="1:19">
      <c r="A32" s="27" t="s">
        <v>39</v>
      </c>
      <c r="B32" s="28">
        <f>B22</f>
        <v>329.17</v>
      </c>
      <c r="C32" s="28">
        <f>C22</f>
        <v>329.17</v>
      </c>
      <c r="D32" s="28"/>
      <c r="E32" s="28">
        <f>E22</f>
        <v>329.17</v>
      </c>
      <c r="F32" s="28" t="s">
        <v>0</v>
      </c>
      <c r="G32" s="28" t="s">
        <v>0</v>
      </c>
      <c r="H32" s="28"/>
      <c r="I32" s="28"/>
      <c r="J32" s="28" t="s">
        <v>0</v>
      </c>
      <c r="K32" s="28" t="s">
        <v>0</v>
      </c>
      <c r="L32" s="28" t="s">
        <v>0</v>
      </c>
      <c r="M32" s="28">
        <f>M22</f>
        <v>329.17</v>
      </c>
      <c r="N32" s="28" t="s">
        <v>0</v>
      </c>
      <c r="O32" s="28" t="s">
        <v>0</v>
      </c>
      <c r="P32" s="132" t="s">
        <v>0</v>
      </c>
      <c r="Q32" s="132"/>
      <c r="R32" s="29"/>
    </row>
    <row r="33" spans="1:18">
      <c r="A33" s="30" t="s">
        <v>40</v>
      </c>
      <c r="B33" s="31"/>
      <c r="C33" s="31">
        <f>C23</f>
        <v>200.5</v>
      </c>
      <c r="D33" s="31"/>
      <c r="E33" s="31"/>
      <c r="F33" s="31" t="s">
        <v>0</v>
      </c>
      <c r="G33" s="31" t="s">
        <v>0</v>
      </c>
      <c r="H33" s="31"/>
      <c r="I33" s="31"/>
      <c r="J33" s="31" t="s">
        <v>0</v>
      </c>
      <c r="K33" s="31" t="s">
        <v>0</v>
      </c>
      <c r="L33" s="31" t="s">
        <v>0</v>
      </c>
      <c r="M33" s="31"/>
      <c r="N33" s="31" t="s">
        <v>0</v>
      </c>
      <c r="O33" s="31" t="s">
        <v>0</v>
      </c>
      <c r="P33" s="133" t="s">
        <v>0</v>
      </c>
      <c r="Q33" s="133"/>
      <c r="R33" s="32"/>
    </row>
    <row r="34" spans="1:18">
      <c r="A34" s="30" t="s">
        <v>41</v>
      </c>
      <c r="B34" s="31">
        <f>B23</f>
        <v>177.24</v>
      </c>
      <c r="C34" s="31">
        <f>C25</f>
        <v>177.24</v>
      </c>
      <c r="D34" s="31"/>
      <c r="E34" s="31">
        <f>E23</f>
        <v>177.24</v>
      </c>
      <c r="F34" s="31" t="s">
        <v>0</v>
      </c>
      <c r="G34" s="31" t="s">
        <v>0</v>
      </c>
      <c r="H34" s="31"/>
      <c r="I34" s="31"/>
      <c r="J34" s="31" t="s">
        <v>0</v>
      </c>
      <c r="K34" s="31" t="s">
        <v>0</v>
      </c>
      <c r="L34" s="31" t="s">
        <v>0</v>
      </c>
      <c r="M34" s="31">
        <f>M23</f>
        <v>177.24</v>
      </c>
      <c r="N34" s="31" t="s">
        <v>0</v>
      </c>
      <c r="O34" s="31" t="s">
        <v>0</v>
      </c>
      <c r="P34" s="133" t="s">
        <v>0</v>
      </c>
      <c r="Q34" s="133"/>
      <c r="R34" s="32"/>
    </row>
    <row r="35" spans="1:18">
      <c r="A35" s="30" t="s">
        <v>174</v>
      </c>
      <c r="B35" s="31">
        <f>B23</f>
        <v>177.24</v>
      </c>
      <c r="C35" s="31"/>
      <c r="D35" s="31"/>
      <c r="E35" s="31">
        <f>E23</f>
        <v>177.24</v>
      </c>
      <c r="F35" s="31"/>
      <c r="G35" s="31"/>
      <c r="H35" s="31"/>
      <c r="I35" s="31"/>
      <c r="J35" s="31"/>
      <c r="K35" s="31"/>
      <c r="L35" s="31"/>
      <c r="M35" s="31">
        <f>M23</f>
        <v>177.24</v>
      </c>
      <c r="N35" s="31"/>
      <c r="O35" s="31"/>
      <c r="P35" s="133"/>
      <c r="Q35" s="133"/>
      <c r="R35" s="194"/>
    </row>
    <row r="36" spans="1:18">
      <c r="A36" s="30" t="s">
        <v>33</v>
      </c>
      <c r="B36" s="31">
        <f>B24</f>
        <v>177.24</v>
      </c>
      <c r="C36" s="31">
        <f>C24</f>
        <v>177.24</v>
      </c>
      <c r="D36" s="31"/>
      <c r="E36" s="31">
        <f>E24</f>
        <v>177.24</v>
      </c>
      <c r="F36" s="31" t="s">
        <v>0</v>
      </c>
      <c r="G36" s="31" t="s">
        <v>0</v>
      </c>
      <c r="H36" s="31"/>
      <c r="I36" s="31"/>
      <c r="J36" s="31" t="s">
        <v>0</v>
      </c>
      <c r="K36" s="31" t="s">
        <v>0</v>
      </c>
      <c r="L36" s="31" t="s">
        <v>0</v>
      </c>
      <c r="M36" s="31">
        <f>M24</f>
        <v>177.24</v>
      </c>
      <c r="N36" s="31" t="s">
        <v>0</v>
      </c>
      <c r="O36" s="31" t="s">
        <v>0</v>
      </c>
      <c r="P36" s="133" t="s">
        <v>0</v>
      </c>
      <c r="Q36" s="31"/>
      <c r="R36" s="194"/>
    </row>
    <row r="37" spans="1:18" ht="15.75" thickBot="1">
      <c r="A37" s="195" t="s">
        <v>172</v>
      </c>
      <c r="B37" s="31"/>
      <c r="C37" s="31">
        <f>C25</f>
        <v>177.24</v>
      </c>
      <c r="D37" s="31"/>
      <c r="E37" s="31"/>
      <c r="F37" s="31"/>
      <c r="G37" s="31"/>
      <c r="H37" s="31"/>
      <c r="I37" s="31"/>
      <c r="J37" s="31"/>
      <c r="K37" s="31"/>
      <c r="L37" s="31"/>
      <c r="M37" s="31"/>
      <c r="N37" s="31"/>
      <c r="O37" s="31"/>
      <c r="P37" s="133"/>
      <c r="Q37" s="31"/>
      <c r="R37" s="194"/>
    </row>
    <row r="38" spans="1:18">
      <c r="A38" s="91" t="s">
        <v>42</v>
      </c>
      <c r="B38" s="92">
        <f>ROUND(B26-B$30*$B$7,1)</f>
        <v>146398.79999999999</v>
      </c>
      <c r="C38" s="92">
        <f>ROUND(C26-C$30*$B$7,1)</f>
        <v>52683.5</v>
      </c>
      <c r="D38" s="92"/>
      <c r="E38" s="92">
        <f>ROUND(E26-E$30*$B$7,1)</f>
        <v>13252.5</v>
      </c>
      <c r="F38" s="92" t="s">
        <v>0</v>
      </c>
      <c r="G38" s="92" t="s">
        <v>0</v>
      </c>
      <c r="H38" s="92"/>
      <c r="I38" s="92"/>
      <c r="J38" s="92" t="s">
        <v>0</v>
      </c>
      <c r="K38" s="92" t="s">
        <v>0</v>
      </c>
      <c r="L38" s="92" t="s">
        <v>0</v>
      </c>
      <c r="M38" s="92">
        <f>ROUND(M26-M$30*$B$7,1)</f>
        <v>6887.8</v>
      </c>
      <c r="N38" s="92" t="s">
        <v>0</v>
      </c>
      <c r="O38" s="92" t="s">
        <v>0</v>
      </c>
      <c r="P38" s="134" t="s">
        <v>0</v>
      </c>
      <c r="Q38" s="134"/>
      <c r="R38" s="137"/>
    </row>
    <row r="39" spans="1:18">
      <c r="A39" s="93" t="s">
        <v>43</v>
      </c>
      <c r="B39" s="94"/>
      <c r="C39" s="94">
        <f>ROUND(C27-C$30*$B$7,1)</f>
        <v>53270.400000000001</v>
      </c>
      <c r="D39" s="94"/>
      <c r="E39" s="94"/>
      <c r="F39" s="94" t="s">
        <v>0</v>
      </c>
      <c r="G39" s="94" t="s">
        <v>0</v>
      </c>
      <c r="H39" s="94"/>
      <c r="I39" s="94"/>
      <c r="J39" s="94" t="s">
        <v>0</v>
      </c>
      <c r="K39" s="94" t="s">
        <v>0</v>
      </c>
      <c r="L39" s="94" t="s">
        <v>0</v>
      </c>
      <c r="M39" s="94"/>
      <c r="N39" s="94" t="s">
        <v>0</v>
      </c>
      <c r="O39" s="94" t="s">
        <v>0</v>
      </c>
      <c r="P39" s="135" t="s">
        <v>0</v>
      </c>
      <c r="Q39" s="135"/>
      <c r="R39" s="138"/>
    </row>
    <row r="40" spans="1:18">
      <c r="A40" s="93" t="s">
        <v>44</v>
      </c>
      <c r="B40" s="94">
        <f>ROUND(B$27-(B30*$B$7),1)</f>
        <v>147999.9</v>
      </c>
      <c r="C40" s="94">
        <f>ROUND(C28-(C30*B7),1)</f>
        <v>53453.4</v>
      </c>
      <c r="D40" s="94"/>
      <c r="E40" s="94">
        <f>ROUND(E$27-(E30*$B$7),1)</f>
        <v>13389.2</v>
      </c>
      <c r="F40" s="94" t="s">
        <v>0</v>
      </c>
      <c r="G40" s="94" t="s">
        <v>0</v>
      </c>
      <c r="H40" s="94"/>
      <c r="I40" s="94"/>
      <c r="J40" s="94" t="s">
        <v>0</v>
      </c>
      <c r="K40" s="94" t="s">
        <v>0</v>
      </c>
      <c r="L40" s="94" t="s">
        <v>0</v>
      </c>
      <c r="M40" s="94">
        <f>ROUND(M$27-(M30*$B$7),1)</f>
        <v>6948.5</v>
      </c>
      <c r="N40" s="94" t="s">
        <v>0</v>
      </c>
      <c r="O40" s="94" t="s">
        <v>0</v>
      </c>
      <c r="P40" s="135" t="s">
        <v>0</v>
      </c>
      <c r="Q40" s="135"/>
      <c r="R40" s="138"/>
    </row>
    <row r="41" spans="1:18">
      <c r="A41" s="93" t="s">
        <v>173</v>
      </c>
      <c r="B41" s="94">
        <f>B27</f>
        <v>148105.4</v>
      </c>
      <c r="C41" s="94"/>
      <c r="D41" s="94"/>
      <c r="E41" s="94">
        <f>E27</f>
        <v>13494.7</v>
      </c>
      <c r="F41" s="94"/>
      <c r="G41" s="94"/>
      <c r="H41" s="94"/>
      <c r="I41" s="94"/>
      <c r="J41" s="94"/>
      <c r="K41" s="94"/>
      <c r="L41" s="94"/>
      <c r="M41" s="94">
        <f>M27</f>
        <v>7054</v>
      </c>
      <c r="N41" s="94"/>
      <c r="O41" s="94"/>
      <c r="P41" s="135"/>
      <c r="Q41" s="135"/>
      <c r="R41" s="138"/>
    </row>
    <row r="42" spans="1:18">
      <c r="A42" s="93" t="s">
        <v>36</v>
      </c>
      <c r="B42" s="94">
        <f>B28</f>
        <v>152679.5</v>
      </c>
      <c r="C42" s="94">
        <f>C28</f>
        <v>53558.9</v>
      </c>
      <c r="D42" s="94"/>
      <c r="E42" s="94">
        <f>E28</f>
        <v>13938.9</v>
      </c>
      <c r="F42" s="94" t="s">
        <v>0</v>
      </c>
      <c r="G42" s="94" t="s">
        <v>0</v>
      </c>
      <c r="H42" s="94"/>
      <c r="I42" s="94"/>
      <c r="J42" s="94" t="s">
        <v>0</v>
      </c>
      <c r="K42" s="94" t="s">
        <v>0</v>
      </c>
      <c r="L42" s="94" t="s">
        <v>0</v>
      </c>
      <c r="M42" s="94">
        <f>M28</f>
        <v>7310.4</v>
      </c>
      <c r="N42" s="94" t="s">
        <v>0</v>
      </c>
      <c r="O42" s="94" t="s">
        <v>0</v>
      </c>
      <c r="P42" s="135" t="s">
        <v>0</v>
      </c>
      <c r="Q42" s="135"/>
      <c r="R42" s="138"/>
    </row>
    <row r="43" spans="1:18" ht="15.75" thickBot="1">
      <c r="A43" s="196" t="s">
        <v>171</v>
      </c>
      <c r="B43" s="94"/>
      <c r="C43" s="94">
        <f>C29</f>
        <v>54953.5</v>
      </c>
      <c r="D43" s="94"/>
      <c r="E43" s="94"/>
      <c r="F43" s="94"/>
      <c r="G43" s="94"/>
      <c r="H43" s="94"/>
      <c r="I43" s="94"/>
      <c r="J43" s="94"/>
      <c r="K43" s="94"/>
      <c r="L43" s="94"/>
      <c r="M43" s="94"/>
      <c r="N43" s="94"/>
      <c r="O43" s="94"/>
      <c r="P43" s="135"/>
      <c r="Q43" s="135"/>
      <c r="R43" s="138"/>
    </row>
    <row r="44" spans="1:18" ht="16.5" thickBot="1">
      <c r="A44" s="201" t="s">
        <v>45</v>
      </c>
      <c r="B44" s="202">
        <f t="shared" ref="B44:R44" si="6">ROUND(MAX(B$20*0.5, 20)*((DATE(LEFT($A$1,4)*1+1,5,31)-(DATE(LEFT($A$1,4)*1,6,1))+1)),2)</f>
        <v>38715.550000000003</v>
      </c>
      <c r="C44" s="202">
        <f t="shared" si="6"/>
        <v>48787.73</v>
      </c>
      <c r="D44" s="202">
        <f t="shared" si="6"/>
        <v>58947.5</v>
      </c>
      <c r="E44" s="202">
        <f t="shared" si="6"/>
        <v>31211.15</v>
      </c>
      <c r="F44" s="202">
        <f t="shared" si="6"/>
        <v>67395.429999999993</v>
      </c>
      <c r="G44" s="202">
        <f t="shared" si="6"/>
        <v>67395.429999999993</v>
      </c>
      <c r="H44" s="202">
        <f t="shared" si="6"/>
        <v>39451.03</v>
      </c>
      <c r="I44" s="202">
        <f t="shared" si="6"/>
        <v>47645.279999999999</v>
      </c>
      <c r="J44" s="202">
        <f t="shared" si="6"/>
        <v>37235.480000000003</v>
      </c>
      <c r="K44" s="202">
        <f t="shared" si="6"/>
        <v>37235.480000000003</v>
      </c>
      <c r="L44" s="202">
        <f t="shared" si="6"/>
        <v>64285.63</v>
      </c>
      <c r="M44" s="202">
        <f t="shared" si="6"/>
        <v>14777.03</v>
      </c>
      <c r="N44" s="202">
        <f t="shared" si="6"/>
        <v>57878.05</v>
      </c>
      <c r="O44" s="202">
        <f t="shared" si="6"/>
        <v>29698.23</v>
      </c>
      <c r="P44" s="203">
        <f t="shared" si="6"/>
        <v>35443.33</v>
      </c>
      <c r="Q44" s="203">
        <f t="shared" si="6"/>
        <v>26723.48</v>
      </c>
      <c r="R44" s="204">
        <f t="shared" si="6"/>
        <v>65950.03</v>
      </c>
    </row>
    <row r="45" spans="1:18">
      <c r="A45" s="197" t="s">
        <v>126</v>
      </c>
      <c r="B45" s="198"/>
      <c r="C45" s="199"/>
      <c r="D45" s="199"/>
      <c r="E45" s="199"/>
      <c r="F45" s="199"/>
      <c r="G45" s="199"/>
      <c r="H45" s="199"/>
      <c r="I45" s="199"/>
      <c r="J45" s="199"/>
      <c r="K45" s="199"/>
      <c r="L45" s="199"/>
      <c r="M45" s="199"/>
      <c r="N45" s="199"/>
      <c r="O45" s="199"/>
      <c r="P45" s="199"/>
      <c r="Q45" s="199"/>
      <c r="R45" s="200"/>
    </row>
    <row r="46" spans="1:18" ht="15.75">
      <c r="A46" s="210" t="s">
        <v>46</v>
      </c>
      <c r="B46" s="210"/>
      <c r="C46" s="210"/>
      <c r="D46" s="210"/>
      <c r="E46" s="210"/>
      <c r="F46" s="210"/>
      <c r="G46" s="210"/>
      <c r="H46" s="210"/>
      <c r="I46" s="210"/>
      <c r="J46" s="210"/>
      <c r="K46" s="210"/>
      <c r="L46" s="210"/>
      <c r="M46" s="210"/>
      <c r="N46" s="210"/>
      <c r="O46" s="210"/>
      <c r="P46" s="210"/>
      <c r="Q46" s="210"/>
      <c r="R46" s="210"/>
    </row>
    <row r="47" spans="1:18">
      <c r="A47" s="16" t="s">
        <v>47</v>
      </c>
      <c r="B47" s="33" t="s">
        <v>22</v>
      </c>
      <c r="C47" s="34">
        <f>MIN(ROUND((C15-C14)/(I80*$B$7),3),100%)</f>
        <v>0.97</v>
      </c>
      <c r="D47" s="35">
        <f>ROUND((D15-D14)/(I77*$B$7),3)</f>
        <v>0.80100000000000005</v>
      </c>
      <c r="E47" s="35">
        <f>ROUND((E15-E14)/(I78*$B$7),3)</f>
        <v>0.56699999999999995</v>
      </c>
      <c r="F47" s="35" t="s">
        <v>22</v>
      </c>
      <c r="G47" s="33" t="s">
        <v>22</v>
      </c>
      <c r="H47" s="35">
        <f>ROUND((H15-H14)/(I65*$B$7),3)</f>
        <v>0.32500000000000001</v>
      </c>
      <c r="I47" s="33" t="s">
        <v>22</v>
      </c>
      <c r="J47" s="35" t="s">
        <v>22</v>
      </c>
      <c r="K47" s="33" t="s">
        <v>22</v>
      </c>
      <c r="L47" s="35" t="s">
        <v>22</v>
      </c>
      <c r="M47" s="35">
        <f>ROUND((M15-M14)/(I58*$B$7),3)</f>
        <v>0.17199999999999999</v>
      </c>
      <c r="N47" s="33" t="s">
        <v>22</v>
      </c>
      <c r="O47" s="33" t="s">
        <v>22</v>
      </c>
      <c r="P47" s="136">
        <f>ROUND((P15-P14)/(I61*$B$7),3)</f>
        <v>0.05</v>
      </c>
      <c r="Q47" s="136">
        <f>ROUND((Q15-Q14)/(I63*$B$7),3)</f>
        <v>0.82399999999999995</v>
      </c>
      <c r="R47" s="35">
        <f>ROUND((R15-R14)/(I67*$B$7),3)</f>
        <v>0.36499999999999999</v>
      </c>
    </row>
    <row r="48" spans="1:18" ht="15.75">
      <c r="A48" s="153" t="s">
        <v>127</v>
      </c>
      <c r="B48" s="154"/>
      <c r="C48" s="155"/>
      <c r="D48" s="156"/>
      <c r="E48" s="156"/>
      <c r="F48" s="156"/>
      <c r="G48" s="154"/>
      <c r="H48" s="154"/>
      <c r="I48" s="154"/>
      <c r="J48" s="156"/>
      <c r="K48" s="154"/>
      <c r="L48" s="156"/>
      <c r="M48" s="156"/>
      <c r="N48" s="154"/>
      <c r="O48" s="154"/>
      <c r="P48" s="156"/>
      <c r="Q48" s="156"/>
      <c r="R48" s="157"/>
    </row>
    <row r="49" spans="1:18" ht="15.75">
      <c r="A49" s="151" t="s">
        <v>0</v>
      </c>
      <c r="B49" s="152"/>
      <c r="C49" s="152"/>
      <c r="D49" s="152"/>
      <c r="E49" s="152"/>
      <c r="F49" s="152"/>
      <c r="G49" s="188"/>
      <c r="H49" s="188"/>
      <c r="I49" s="188"/>
      <c r="J49" s="188"/>
      <c r="K49" s="188"/>
      <c r="L49" s="188"/>
      <c r="M49" s="188"/>
      <c r="N49" s="188"/>
    </row>
    <row r="50" spans="1:18" ht="15.75">
      <c r="A50" s="211" t="s">
        <v>48</v>
      </c>
      <c r="B50" s="211"/>
      <c r="C50" s="211"/>
      <c r="D50" s="211"/>
      <c r="E50" s="211"/>
      <c r="F50" s="211"/>
      <c r="G50" s="211"/>
      <c r="H50" s="211"/>
      <c r="I50" s="211"/>
      <c r="J50" s="36" t="s">
        <v>0</v>
      </c>
      <c r="K50" s="37" t="s">
        <v>0</v>
      </c>
      <c r="M50" s="38" t="s">
        <v>0</v>
      </c>
    </row>
    <row r="51" spans="1:18" ht="94.5">
      <c r="A51" s="39" t="s">
        <v>49</v>
      </c>
      <c r="B51" s="40" t="s">
        <v>109</v>
      </c>
      <c r="C51" s="187" t="s">
        <v>108</v>
      </c>
      <c r="D51" s="187" t="s">
        <v>50</v>
      </c>
      <c r="E51" s="187" t="s">
        <v>144</v>
      </c>
      <c r="F51" s="187" t="s">
        <v>141</v>
      </c>
      <c r="G51" s="187" t="s">
        <v>139</v>
      </c>
      <c r="H51" s="187" t="s">
        <v>52</v>
      </c>
      <c r="I51" s="187" t="s">
        <v>51</v>
      </c>
      <c r="J51" s="187" t="s">
        <v>53</v>
      </c>
      <c r="K51" s="187" t="s">
        <v>140</v>
      </c>
      <c r="L51" s="25" t="s">
        <v>49</v>
      </c>
      <c r="P51" s="41" t="s">
        <v>0</v>
      </c>
      <c r="Q51" s="41" t="s">
        <v>0</v>
      </c>
    </row>
    <row r="52" spans="1:18" ht="15.75">
      <c r="A52" s="42" t="s">
        <v>1</v>
      </c>
      <c r="B52" s="118" t="s">
        <v>22</v>
      </c>
      <c r="C52" s="116" t="s">
        <v>22</v>
      </c>
      <c r="D52" s="116" t="s">
        <v>22</v>
      </c>
      <c r="E52" s="113">
        <v>153194</v>
      </c>
      <c r="F52" s="113">
        <v>8452.7000000000007</v>
      </c>
      <c r="G52" s="113">
        <f>G53+G54+G55+G56+G58+G59+G60+G61+G62+G63+G64+G66+G67+G68+G69+G70+G71+G72+G73+G74+G76</f>
        <v>150876.4</v>
      </c>
      <c r="H52" s="166" t="s">
        <v>22</v>
      </c>
      <c r="I52" s="109">
        <v>159329.1</v>
      </c>
      <c r="J52" s="109">
        <v>0</v>
      </c>
      <c r="K52" s="113">
        <v>159329.1</v>
      </c>
      <c r="L52" s="23" t="s">
        <v>1</v>
      </c>
      <c r="M52" s="41" t="s">
        <v>0</v>
      </c>
      <c r="N52" s="41" t="s">
        <v>0</v>
      </c>
      <c r="O52" s="41" t="s">
        <v>0</v>
      </c>
      <c r="Q52" s="41" t="s">
        <v>0</v>
      </c>
    </row>
    <row r="53" spans="1:18">
      <c r="A53" s="43" t="s">
        <v>54</v>
      </c>
      <c r="B53" s="119">
        <v>2007</v>
      </c>
      <c r="C53" s="119" t="s">
        <v>180</v>
      </c>
      <c r="D53" s="171" t="s">
        <v>55</v>
      </c>
      <c r="E53" s="111">
        <v>2370</v>
      </c>
      <c r="F53" s="111">
        <v>0</v>
      </c>
      <c r="G53" s="111">
        <f>I53-F53</f>
        <v>2361</v>
      </c>
      <c r="H53" s="167">
        <f>G53/E53</f>
        <v>0.9962025316455696</v>
      </c>
      <c r="I53" s="115">
        <v>2361</v>
      </c>
      <c r="J53" s="115">
        <v>0</v>
      </c>
      <c r="K53" s="111">
        <f>I53-J53</f>
        <v>2361</v>
      </c>
      <c r="L53" s="189" t="s">
        <v>54</v>
      </c>
      <c r="M53" s="172"/>
      <c r="N53" s="140"/>
      <c r="O53" s="41" t="s">
        <v>0</v>
      </c>
      <c r="Q53" s="41" t="s">
        <v>0</v>
      </c>
    </row>
    <row r="54" spans="1:18">
      <c r="A54" s="44" t="s">
        <v>56</v>
      </c>
      <c r="B54" s="119">
        <v>1450</v>
      </c>
      <c r="C54" s="119" t="s">
        <v>181</v>
      </c>
      <c r="D54" s="171" t="s">
        <v>55</v>
      </c>
      <c r="E54" s="111">
        <v>22370</v>
      </c>
      <c r="F54" s="111">
        <v>3621</v>
      </c>
      <c r="G54" s="111">
        <f>I54-F54</f>
        <v>21590</v>
      </c>
      <c r="H54" s="167">
        <f>G54/E54</f>
        <v>0.96513187304425574</v>
      </c>
      <c r="I54" s="115">
        <v>25211</v>
      </c>
      <c r="J54" s="115">
        <v>0</v>
      </c>
      <c r="K54" s="111">
        <f>I54-J54</f>
        <v>25211</v>
      </c>
      <c r="L54" s="190" t="s">
        <v>56</v>
      </c>
      <c r="M54" s="172"/>
      <c r="N54" s="140"/>
      <c r="O54" s="158"/>
      <c r="P54" s="159"/>
      <c r="Q54" s="158"/>
      <c r="R54" s="159"/>
    </row>
    <row r="55" spans="1:18">
      <c r="A55" s="44" t="s">
        <v>58</v>
      </c>
      <c r="B55" s="119">
        <v>1658</v>
      </c>
      <c r="C55" s="119" t="s">
        <v>182</v>
      </c>
      <c r="D55" s="171" t="s">
        <v>55</v>
      </c>
      <c r="E55" s="114">
        <v>8790</v>
      </c>
      <c r="F55" s="111">
        <v>170</v>
      </c>
      <c r="G55" s="114">
        <f t="shared" ref="G55:G76" si="7">I55-F55</f>
        <v>8583</v>
      </c>
      <c r="H55" s="168">
        <f>G55/E55</f>
        <v>0.97645051194539245</v>
      </c>
      <c r="I55" s="115">
        <v>8753</v>
      </c>
      <c r="J55" s="116">
        <v>0</v>
      </c>
      <c r="K55" s="114">
        <f t="shared" ref="K55:K76" si="8">I55-J55</f>
        <v>8753</v>
      </c>
      <c r="L55" s="190" t="s">
        <v>58</v>
      </c>
      <c r="M55" s="172"/>
      <c r="N55" s="140"/>
      <c r="O55" s="41" t="s">
        <v>0</v>
      </c>
      <c r="P55" s="41" t="s">
        <v>0</v>
      </c>
      <c r="Q55" s="41" t="s">
        <v>0</v>
      </c>
    </row>
    <row r="56" spans="1:18">
      <c r="A56" s="44" t="s">
        <v>14</v>
      </c>
      <c r="B56" s="119">
        <v>3800</v>
      </c>
      <c r="C56" s="119">
        <v>10406</v>
      </c>
      <c r="D56" s="171">
        <v>2.7384210526315789</v>
      </c>
      <c r="E56" s="110">
        <v>12207.6</v>
      </c>
      <c r="F56" s="111">
        <v>158.6</v>
      </c>
      <c r="G56" s="110">
        <f t="shared" si="7"/>
        <v>12343.4</v>
      </c>
      <c r="H56" s="169">
        <f>G56/E56</f>
        <v>1.0111242177004489</v>
      </c>
      <c r="I56" s="115">
        <v>12502</v>
      </c>
      <c r="J56" s="116">
        <v>0</v>
      </c>
      <c r="K56" s="110">
        <f t="shared" si="8"/>
        <v>12502</v>
      </c>
      <c r="L56" s="190" t="s">
        <v>14</v>
      </c>
      <c r="M56" s="172"/>
      <c r="N56" s="140"/>
      <c r="O56" s="41" t="s">
        <v>0</v>
      </c>
      <c r="P56" s="41" t="s">
        <v>0</v>
      </c>
      <c r="Q56" s="41" t="s">
        <v>0</v>
      </c>
    </row>
    <row r="57" spans="1:18">
      <c r="A57" s="44" t="s">
        <v>59</v>
      </c>
      <c r="B57" s="119">
        <v>3720</v>
      </c>
      <c r="C57" s="119">
        <v>5199</v>
      </c>
      <c r="D57" s="171">
        <v>1.3975806451612902</v>
      </c>
      <c r="E57" s="110" t="s">
        <v>22</v>
      </c>
      <c r="F57" s="111">
        <v>0</v>
      </c>
      <c r="G57" s="110">
        <f t="shared" si="7"/>
        <v>4225.6760000000004</v>
      </c>
      <c r="H57" s="169" t="s">
        <v>22</v>
      </c>
      <c r="I57" s="116">
        <v>4225.6760000000004</v>
      </c>
      <c r="J57" s="116">
        <v>0</v>
      </c>
      <c r="K57" s="110">
        <f>I57-J57</f>
        <v>4225.6760000000004</v>
      </c>
      <c r="L57" s="190" t="s">
        <v>59</v>
      </c>
      <c r="M57" s="172"/>
      <c r="N57" s="41"/>
      <c r="O57" s="41" t="s">
        <v>0</v>
      </c>
      <c r="P57" s="41" t="s">
        <v>0</v>
      </c>
      <c r="Q57" s="41" t="s">
        <v>0</v>
      </c>
    </row>
    <row r="58" spans="1:18">
      <c r="A58" s="44" t="s">
        <v>17</v>
      </c>
      <c r="B58" s="119">
        <v>4775</v>
      </c>
      <c r="C58" s="119">
        <v>6000</v>
      </c>
      <c r="D58" s="171">
        <v>1.256544502617801</v>
      </c>
      <c r="E58" s="111">
        <v>6310</v>
      </c>
      <c r="F58" s="111">
        <v>20</v>
      </c>
      <c r="G58" s="111">
        <f t="shared" si="7"/>
        <v>6303</v>
      </c>
      <c r="H58" s="167">
        <f>G58/E58</f>
        <v>0.99889064976228215</v>
      </c>
      <c r="I58" s="116">
        <v>6323</v>
      </c>
      <c r="J58" s="116">
        <v>0</v>
      </c>
      <c r="K58" s="111">
        <f t="shared" si="8"/>
        <v>6323</v>
      </c>
      <c r="L58" s="189" t="s">
        <v>17</v>
      </c>
      <c r="M58" s="172"/>
      <c r="N58" s="41" t="s">
        <v>0</v>
      </c>
      <c r="O58" s="41" t="s">
        <v>0</v>
      </c>
      <c r="P58" s="41" t="s">
        <v>0</v>
      </c>
      <c r="Q58" s="41" t="s">
        <v>0</v>
      </c>
    </row>
    <row r="59" spans="1:18">
      <c r="A59" s="43" t="s">
        <v>16</v>
      </c>
      <c r="B59" s="119">
        <v>-1236</v>
      </c>
      <c r="C59" s="119">
        <v>6110</v>
      </c>
      <c r="D59" s="171" t="s">
        <v>57</v>
      </c>
      <c r="E59" s="111">
        <v>19040</v>
      </c>
      <c r="F59" s="111">
        <v>555</v>
      </c>
      <c r="G59" s="111">
        <f t="shared" si="7"/>
        <v>18686</v>
      </c>
      <c r="H59" s="167">
        <f t="shared" ref="H59:H76" si="9">G59/E59</f>
        <v>0.98140756302521004</v>
      </c>
      <c r="I59" s="116">
        <v>19241</v>
      </c>
      <c r="J59" s="116">
        <v>0</v>
      </c>
      <c r="K59" s="111">
        <f t="shared" si="8"/>
        <v>19241</v>
      </c>
      <c r="L59" s="189" t="s">
        <v>16</v>
      </c>
      <c r="M59" s="172"/>
      <c r="N59" s="41" t="s">
        <v>0</v>
      </c>
      <c r="O59" s="41" t="s">
        <v>0</v>
      </c>
      <c r="P59" s="41" t="s">
        <v>0</v>
      </c>
      <c r="Q59" s="41" t="s">
        <v>0</v>
      </c>
    </row>
    <row r="60" spans="1:18">
      <c r="A60" s="43" t="s">
        <v>19</v>
      </c>
      <c r="B60" s="119">
        <v>2626</v>
      </c>
      <c r="C60" s="119">
        <v>4157</v>
      </c>
      <c r="D60" s="171">
        <v>1.5830159939070829</v>
      </c>
      <c r="E60" s="110">
        <v>3190</v>
      </c>
      <c r="F60" s="111">
        <v>0</v>
      </c>
      <c r="G60" s="110">
        <f t="shared" si="7"/>
        <v>3157</v>
      </c>
      <c r="H60" s="169">
        <f t="shared" si="9"/>
        <v>0.98965517241379308</v>
      </c>
      <c r="I60" s="116">
        <v>3157</v>
      </c>
      <c r="J60" s="116">
        <v>0</v>
      </c>
      <c r="K60" s="110">
        <f t="shared" si="8"/>
        <v>3157</v>
      </c>
      <c r="L60" s="189" t="s">
        <v>19</v>
      </c>
      <c r="M60" s="172"/>
      <c r="N60" s="41" t="s">
        <v>0</v>
      </c>
      <c r="O60" s="41" t="s">
        <v>0</v>
      </c>
      <c r="P60" s="41" t="s">
        <v>0</v>
      </c>
      <c r="Q60" s="41" t="s">
        <v>0</v>
      </c>
    </row>
    <row r="61" spans="1:18">
      <c r="A61" s="43" t="s">
        <v>20</v>
      </c>
      <c r="B61" s="119">
        <v>2793</v>
      </c>
      <c r="C61" s="119">
        <v>5280</v>
      </c>
      <c r="D61" s="171">
        <v>1.8904403866809882</v>
      </c>
      <c r="E61" s="110">
        <v>5060</v>
      </c>
      <c r="F61" s="111">
        <v>0</v>
      </c>
      <c r="G61" s="110">
        <f t="shared" si="7"/>
        <v>5106</v>
      </c>
      <c r="H61" s="169">
        <f t="shared" si="9"/>
        <v>1.009090909090909</v>
      </c>
      <c r="I61" s="116">
        <v>5106</v>
      </c>
      <c r="J61" s="115">
        <v>0</v>
      </c>
      <c r="K61" s="110">
        <f t="shared" si="8"/>
        <v>5106</v>
      </c>
      <c r="L61" s="189" t="s">
        <v>20</v>
      </c>
      <c r="M61" s="172"/>
      <c r="O61" s="41" t="s">
        <v>0</v>
      </c>
      <c r="P61" s="41" t="s">
        <v>0</v>
      </c>
      <c r="Q61" s="41" t="s">
        <v>0</v>
      </c>
    </row>
    <row r="62" spans="1:18">
      <c r="A62" s="43" t="s">
        <v>60</v>
      </c>
      <c r="B62" s="119">
        <v>1899</v>
      </c>
      <c r="C62" s="119" t="s">
        <v>183</v>
      </c>
      <c r="D62" s="171" t="s">
        <v>55</v>
      </c>
      <c r="E62" s="110">
        <v>2640</v>
      </c>
      <c r="F62" s="111">
        <v>0</v>
      </c>
      <c r="G62" s="110">
        <f t="shared" si="7"/>
        <v>2623</v>
      </c>
      <c r="H62" s="169">
        <f t="shared" si="9"/>
        <v>0.99356060606060603</v>
      </c>
      <c r="I62" s="116">
        <v>2623</v>
      </c>
      <c r="J62" s="115">
        <v>0</v>
      </c>
      <c r="K62" s="110">
        <f t="shared" si="8"/>
        <v>2623</v>
      </c>
      <c r="L62" s="189" t="s">
        <v>60</v>
      </c>
      <c r="M62" s="172"/>
      <c r="O62" s="41" t="s">
        <v>0</v>
      </c>
      <c r="P62" s="41" t="s">
        <v>0</v>
      </c>
      <c r="Q62" s="41" t="s">
        <v>0</v>
      </c>
    </row>
    <row r="63" spans="1:18">
      <c r="A63" s="43" t="s">
        <v>61</v>
      </c>
      <c r="B63" s="119">
        <v>5511</v>
      </c>
      <c r="C63" s="119">
        <v>7374</v>
      </c>
      <c r="D63" s="171">
        <v>1.3380511703864997</v>
      </c>
      <c r="E63" s="110">
        <v>22356.1</v>
      </c>
      <c r="F63" s="111">
        <v>3111.1</v>
      </c>
      <c r="G63" s="110">
        <f t="shared" si="7"/>
        <v>21081.9</v>
      </c>
      <c r="H63" s="169">
        <f t="shared" si="9"/>
        <v>0.94300437017189953</v>
      </c>
      <c r="I63" s="116">
        <v>24193</v>
      </c>
      <c r="J63" s="115">
        <v>0</v>
      </c>
      <c r="K63" s="110">
        <f t="shared" si="8"/>
        <v>24193</v>
      </c>
      <c r="L63" s="189" t="s">
        <v>61</v>
      </c>
      <c r="M63" s="172"/>
      <c r="O63" s="41" t="s">
        <v>0</v>
      </c>
      <c r="P63" s="41" t="s">
        <v>0</v>
      </c>
      <c r="Q63" s="41" t="s">
        <v>0</v>
      </c>
    </row>
    <row r="64" spans="1:18">
      <c r="A64" s="43" t="s">
        <v>62</v>
      </c>
      <c r="B64" s="119">
        <v>1493</v>
      </c>
      <c r="C64" s="119" t="s">
        <v>184</v>
      </c>
      <c r="D64" s="171" t="s">
        <v>55</v>
      </c>
      <c r="E64" s="110">
        <v>3760</v>
      </c>
      <c r="F64" s="111">
        <v>0</v>
      </c>
      <c r="G64" s="110">
        <f t="shared" si="7"/>
        <v>3757</v>
      </c>
      <c r="H64" s="169">
        <f t="shared" si="9"/>
        <v>0.9992021276595745</v>
      </c>
      <c r="I64" s="116">
        <v>3757</v>
      </c>
      <c r="J64" s="115">
        <v>0</v>
      </c>
      <c r="K64" s="110">
        <f t="shared" si="8"/>
        <v>3757</v>
      </c>
      <c r="L64" s="189" t="s">
        <v>62</v>
      </c>
      <c r="M64" s="172"/>
      <c r="N64" s="41" t="s">
        <v>0</v>
      </c>
      <c r="Q64" s="41" t="s">
        <v>0</v>
      </c>
    </row>
    <row r="65" spans="1:17">
      <c r="A65" s="43" t="s">
        <v>12</v>
      </c>
      <c r="B65" s="119">
        <v>1615</v>
      </c>
      <c r="C65" s="119">
        <v>1948</v>
      </c>
      <c r="D65" s="171">
        <v>1.2061919504643963</v>
      </c>
      <c r="E65" s="110" t="s">
        <v>22</v>
      </c>
      <c r="F65" s="111">
        <v>0</v>
      </c>
      <c r="G65" s="110">
        <f t="shared" si="7"/>
        <v>2303.0410000000002</v>
      </c>
      <c r="H65" s="169" t="s">
        <v>22</v>
      </c>
      <c r="I65" s="115">
        <v>2303.0410000000002</v>
      </c>
      <c r="J65" s="115">
        <v>0</v>
      </c>
      <c r="K65" s="110">
        <f t="shared" si="8"/>
        <v>2303.0410000000002</v>
      </c>
      <c r="L65" s="189" t="s">
        <v>12</v>
      </c>
      <c r="M65" s="172"/>
      <c r="N65" s="41" t="s">
        <v>0</v>
      </c>
      <c r="Q65" s="41" t="s">
        <v>0</v>
      </c>
    </row>
    <row r="66" spans="1:17">
      <c r="A66" s="43" t="s">
        <v>63</v>
      </c>
      <c r="B66" s="119">
        <v>1002</v>
      </c>
      <c r="C66" s="119" t="s">
        <v>185</v>
      </c>
      <c r="D66" s="171" t="s">
        <v>55</v>
      </c>
      <c r="E66" s="110">
        <v>2390.2999999999997</v>
      </c>
      <c r="F66" s="111">
        <v>0</v>
      </c>
      <c r="G66" s="110">
        <f>I66-F66</f>
        <v>2402.1</v>
      </c>
      <c r="H66" s="169">
        <f t="shared" si="9"/>
        <v>1.004936618834456</v>
      </c>
      <c r="I66" s="115">
        <v>2402.1</v>
      </c>
      <c r="J66" s="115">
        <v>0</v>
      </c>
      <c r="K66" s="110">
        <f t="shared" si="8"/>
        <v>2402.1</v>
      </c>
      <c r="L66" s="189" t="s">
        <v>63</v>
      </c>
      <c r="M66" s="172"/>
      <c r="N66" s="41" t="s">
        <v>0</v>
      </c>
      <c r="Q66" s="41" t="s">
        <v>0</v>
      </c>
    </row>
    <row r="67" spans="1:17" ht="15.75">
      <c r="A67" s="43" t="s">
        <v>64</v>
      </c>
      <c r="B67" s="119">
        <v>3790</v>
      </c>
      <c r="C67" s="150">
        <v>4263</v>
      </c>
      <c r="D67" s="171">
        <v>1.124802110817942</v>
      </c>
      <c r="E67" s="110">
        <v>5810</v>
      </c>
      <c r="F67" s="111">
        <v>0</v>
      </c>
      <c r="G67" s="110">
        <f t="shared" si="7"/>
        <v>5747</v>
      </c>
      <c r="H67" s="169">
        <f t="shared" si="9"/>
        <v>0.98915662650602409</v>
      </c>
      <c r="I67" s="116">
        <v>5747</v>
      </c>
      <c r="J67" s="116">
        <v>0</v>
      </c>
      <c r="K67" s="110">
        <f t="shared" si="8"/>
        <v>5747</v>
      </c>
      <c r="L67" s="189" t="s">
        <v>64</v>
      </c>
      <c r="M67" s="172"/>
      <c r="N67" s="41" t="s">
        <v>0</v>
      </c>
      <c r="O67" s="41" t="s">
        <v>0</v>
      </c>
      <c r="Q67" s="41" t="s">
        <v>0</v>
      </c>
    </row>
    <row r="68" spans="1:17">
      <c r="A68" s="43" t="s">
        <v>65</v>
      </c>
      <c r="B68" s="119">
        <v>1489</v>
      </c>
      <c r="C68" s="119" t="s">
        <v>186</v>
      </c>
      <c r="D68" s="171" t="s">
        <v>55</v>
      </c>
      <c r="E68" s="110">
        <v>2960</v>
      </c>
      <c r="F68" s="111">
        <v>0</v>
      </c>
      <c r="G68" s="110">
        <f t="shared" si="7"/>
        <v>3009</v>
      </c>
      <c r="H68" s="169">
        <f t="shared" si="9"/>
        <v>1.0165540540540541</v>
      </c>
      <c r="I68" s="116">
        <v>3009</v>
      </c>
      <c r="J68" s="116">
        <v>0</v>
      </c>
      <c r="K68" s="110">
        <f t="shared" si="8"/>
        <v>3009</v>
      </c>
      <c r="L68" s="189" t="s">
        <v>65</v>
      </c>
      <c r="M68" s="172"/>
      <c r="N68" s="41" t="s">
        <v>0</v>
      </c>
      <c r="O68" s="41" t="s">
        <v>0</v>
      </c>
      <c r="Q68" s="41" t="s">
        <v>0</v>
      </c>
    </row>
    <row r="69" spans="1:17">
      <c r="A69" s="43" t="s">
        <v>66</v>
      </c>
      <c r="B69" s="119" t="s">
        <v>22</v>
      </c>
      <c r="C69" s="119" t="s">
        <v>22</v>
      </c>
      <c r="D69" s="171" t="s">
        <v>22</v>
      </c>
      <c r="E69" s="110">
        <v>60</v>
      </c>
      <c r="F69" s="111">
        <v>0</v>
      </c>
      <c r="G69" s="110">
        <f t="shared" si="7"/>
        <v>60</v>
      </c>
      <c r="H69" s="169">
        <f t="shared" si="9"/>
        <v>1</v>
      </c>
      <c r="I69" s="116">
        <v>60</v>
      </c>
      <c r="J69" s="116">
        <v>0</v>
      </c>
      <c r="K69" s="110">
        <f t="shared" si="8"/>
        <v>60</v>
      </c>
      <c r="L69" s="189" t="s">
        <v>66</v>
      </c>
      <c r="M69" s="172"/>
      <c r="N69" s="41" t="s">
        <v>0</v>
      </c>
      <c r="O69" s="41" t="s">
        <v>0</v>
      </c>
      <c r="Q69" s="41" t="s">
        <v>0</v>
      </c>
    </row>
    <row r="70" spans="1:17">
      <c r="A70" s="43" t="s">
        <v>67</v>
      </c>
      <c r="B70" s="119">
        <v>2915</v>
      </c>
      <c r="C70" s="119" t="s">
        <v>187</v>
      </c>
      <c r="D70" s="171" t="s">
        <v>55</v>
      </c>
      <c r="E70" s="110">
        <v>8120</v>
      </c>
      <c r="F70" s="111">
        <v>18</v>
      </c>
      <c r="G70" s="110">
        <f t="shared" si="7"/>
        <v>8161</v>
      </c>
      <c r="H70" s="169">
        <f t="shared" si="9"/>
        <v>1.0050492610837438</v>
      </c>
      <c r="I70" s="116">
        <v>8179</v>
      </c>
      <c r="J70" s="116">
        <v>0</v>
      </c>
      <c r="K70" s="110">
        <f t="shared" si="8"/>
        <v>8179</v>
      </c>
      <c r="L70" s="189" t="s">
        <v>67</v>
      </c>
      <c r="M70" s="172"/>
      <c r="N70" s="41" t="s">
        <v>0</v>
      </c>
      <c r="O70" s="41" t="s">
        <v>0</v>
      </c>
      <c r="Q70" s="41" t="s">
        <v>0</v>
      </c>
    </row>
    <row r="71" spans="1:17">
      <c r="A71" s="43" t="s">
        <v>68</v>
      </c>
      <c r="B71" s="119">
        <v>328</v>
      </c>
      <c r="C71" s="119" t="s">
        <v>188</v>
      </c>
      <c r="D71" s="171" t="s">
        <v>55</v>
      </c>
      <c r="E71" s="110">
        <v>2760</v>
      </c>
      <c r="F71" s="111">
        <v>0</v>
      </c>
      <c r="G71" s="110">
        <f t="shared" si="7"/>
        <v>2796</v>
      </c>
      <c r="H71" s="169">
        <f t="shared" si="9"/>
        <v>1.0130434782608695</v>
      </c>
      <c r="I71" s="116">
        <v>2796</v>
      </c>
      <c r="J71" s="116">
        <v>0</v>
      </c>
      <c r="K71" s="110">
        <f t="shared" si="8"/>
        <v>2796</v>
      </c>
      <c r="L71" s="189" t="s">
        <v>68</v>
      </c>
      <c r="M71" s="172"/>
      <c r="N71" s="41" t="s">
        <v>0</v>
      </c>
      <c r="O71" s="41" t="s">
        <v>0</v>
      </c>
      <c r="Q71" s="41" t="s">
        <v>0</v>
      </c>
    </row>
    <row r="72" spans="1:17">
      <c r="A72" s="43" t="s">
        <v>13</v>
      </c>
      <c r="B72" s="119">
        <v>4334</v>
      </c>
      <c r="C72" s="119">
        <v>5870</v>
      </c>
      <c r="D72" s="171">
        <v>1.3544070143054914</v>
      </c>
      <c r="E72" s="110">
        <v>5810</v>
      </c>
      <c r="F72" s="111">
        <v>0</v>
      </c>
      <c r="G72" s="110">
        <f t="shared" si="7"/>
        <v>5869</v>
      </c>
      <c r="H72" s="169">
        <f t="shared" si="9"/>
        <v>1.0101549053356282</v>
      </c>
      <c r="I72" s="116">
        <v>5869</v>
      </c>
      <c r="J72" s="116">
        <v>0</v>
      </c>
      <c r="K72" s="110">
        <f t="shared" si="8"/>
        <v>5869</v>
      </c>
      <c r="L72" s="189" t="s">
        <v>13</v>
      </c>
      <c r="M72" s="172"/>
      <c r="N72" s="41" t="s">
        <v>0</v>
      </c>
      <c r="O72" s="41" t="s">
        <v>0</v>
      </c>
      <c r="Q72" s="41" t="s">
        <v>0</v>
      </c>
    </row>
    <row r="73" spans="1:17">
      <c r="A73" s="43" t="s">
        <v>69</v>
      </c>
      <c r="B73" s="119">
        <v>1144</v>
      </c>
      <c r="C73" s="119">
        <v>3205</v>
      </c>
      <c r="D73" s="171">
        <v>2.8015734265734267</v>
      </c>
      <c r="E73" s="110">
        <v>7100</v>
      </c>
      <c r="F73" s="111">
        <v>484</v>
      </c>
      <c r="G73" s="110">
        <f t="shared" si="7"/>
        <v>7172</v>
      </c>
      <c r="H73" s="169">
        <f t="shared" si="9"/>
        <v>1.0101408450704226</v>
      </c>
      <c r="I73" s="116">
        <v>7656</v>
      </c>
      <c r="J73" s="116">
        <v>0</v>
      </c>
      <c r="K73" s="110">
        <f t="shared" si="8"/>
        <v>7656</v>
      </c>
      <c r="L73" s="189" t="s">
        <v>69</v>
      </c>
      <c r="M73" s="172"/>
      <c r="N73" s="41" t="s">
        <v>0</v>
      </c>
      <c r="O73" s="41" t="s">
        <v>0</v>
      </c>
      <c r="Q73" s="41" t="s">
        <v>0</v>
      </c>
    </row>
    <row r="74" spans="1:17">
      <c r="A74" s="43" t="s">
        <v>10</v>
      </c>
      <c r="B74" s="119">
        <v>6713</v>
      </c>
      <c r="C74" s="119">
        <v>8889</v>
      </c>
      <c r="D74" s="171">
        <v>1.3241471771190227</v>
      </c>
      <c r="E74" s="110">
        <v>9700</v>
      </c>
      <c r="F74" s="111">
        <v>315</v>
      </c>
      <c r="G74" s="110">
        <f t="shared" si="7"/>
        <v>9678</v>
      </c>
      <c r="H74" s="169">
        <f>G74/E74</f>
        <v>0.99773195876288656</v>
      </c>
      <c r="I74" s="116">
        <v>9993</v>
      </c>
      <c r="J74" s="116">
        <v>0</v>
      </c>
      <c r="K74" s="110">
        <f t="shared" si="8"/>
        <v>9993</v>
      </c>
      <c r="L74" s="189" t="s">
        <v>10</v>
      </c>
      <c r="M74" s="172"/>
      <c r="N74" s="41" t="s">
        <v>0</v>
      </c>
      <c r="O74" s="41" t="s">
        <v>0</v>
      </c>
      <c r="Q74" s="41" t="s">
        <v>0</v>
      </c>
    </row>
    <row r="75" spans="1:17">
      <c r="A75" s="43" t="s">
        <v>11</v>
      </c>
      <c r="B75" s="119">
        <v>3017</v>
      </c>
      <c r="C75" s="119">
        <v>4425</v>
      </c>
      <c r="D75" s="171">
        <v>1.4666887636725223</v>
      </c>
      <c r="E75" s="110" t="s">
        <v>22</v>
      </c>
      <c r="F75" s="111">
        <v>0</v>
      </c>
      <c r="G75" s="110">
        <f t="shared" si="7"/>
        <v>5006.4930000000004</v>
      </c>
      <c r="H75" s="169" t="s">
        <v>22</v>
      </c>
      <c r="I75" s="116">
        <v>5006.4930000000004</v>
      </c>
      <c r="J75" s="116">
        <v>0</v>
      </c>
      <c r="K75" s="110">
        <f t="shared" si="8"/>
        <v>5006.4930000000004</v>
      </c>
      <c r="L75" s="189" t="s">
        <v>11</v>
      </c>
      <c r="M75" s="172"/>
      <c r="N75" s="41" t="s">
        <v>0</v>
      </c>
      <c r="O75" s="41" t="s">
        <v>0</v>
      </c>
      <c r="Q75" s="41" t="s">
        <v>0</v>
      </c>
    </row>
    <row r="76" spans="1:17">
      <c r="A76" s="43" t="s">
        <v>70</v>
      </c>
      <c r="B76" s="119" t="s">
        <v>22</v>
      </c>
      <c r="C76" s="119" t="s">
        <v>22</v>
      </c>
      <c r="D76" s="171" t="s">
        <v>22</v>
      </c>
      <c r="E76" s="110">
        <v>390</v>
      </c>
      <c r="F76" s="111">
        <v>0</v>
      </c>
      <c r="G76" s="110">
        <f t="shared" si="7"/>
        <v>391</v>
      </c>
      <c r="H76" s="169">
        <f t="shared" si="9"/>
        <v>1.0025641025641026</v>
      </c>
      <c r="I76" s="116">
        <v>391</v>
      </c>
      <c r="J76" s="116">
        <v>0</v>
      </c>
      <c r="K76" s="110">
        <f t="shared" si="8"/>
        <v>391</v>
      </c>
      <c r="L76" s="189" t="s">
        <v>70</v>
      </c>
      <c r="M76" s="172"/>
      <c r="N76" s="41" t="s">
        <v>0</v>
      </c>
      <c r="O76" s="41" t="s">
        <v>0</v>
      </c>
      <c r="Q76" s="41" t="s">
        <v>0</v>
      </c>
    </row>
    <row r="77" spans="1:17">
      <c r="A77" s="43" t="s">
        <v>8</v>
      </c>
      <c r="B77" s="119">
        <v>6072</v>
      </c>
      <c r="C77" s="119">
        <v>8083</v>
      </c>
      <c r="D77" s="171">
        <v>1.3311923583662715</v>
      </c>
      <c r="E77" s="161"/>
      <c r="F77" s="161"/>
      <c r="G77" s="165" t="s">
        <v>0</v>
      </c>
      <c r="H77" s="165"/>
      <c r="I77" s="110">
        <v>30428</v>
      </c>
      <c r="J77" s="110">
        <v>0</v>
      </c>
      <c r="K77" s="165"/>
      <c r="L77" s="189" t="s">
        <v>8</v>
      </c>
      <c r="M77" s="41" t="s">
        <v>0</v>
      </c>
      <c r="N77" s="41" t="s">
        <v>0</v>
      </c>
      <c r="O77" s="41" t="s">
        <v>0</v>
      </c>
      <c r="Q77" s="41" t="s">
        <v>0</v>
      </c>
    </row>
    <row r="78" spans="1:17">
      <c r="A78" s="44" t="s">
        <v>9</v>
      </c>
      <c r="B78" s="119">
        <v>6877</v>
      </c>
      <c r="C78" s="119">
        <v>6999</v>
      </c>
      <c r="D78" s="171">
        <v>1.0177402937327322</v>
      </c>
      <c r="E78" s="162"/>
      <c r="F78" s="162"/>
      <c r="G78" s="162"/>
      <c r="H78" s="162"/>
      <c r="I78" s="110">
        <v>12192</v>
      </c>
      <c r="J78" s="110">
        <v>0</v>
      </c>
      <c r="K78" s="162"/>
      <c r="L78" s="189" t="s">
        <v>9</v>
      </c>
      <c r="M78" s="41" t="s">
        <v>0</v>
      </c>
      <c r="N78" s="41" t="s">
        <v>0</v>
      </c>
      <c r="O78" s="41" t="s">
        <v>0</v>
      </c>
      <c r="Q78" s="41" t="s">
        <v>0</v>
      </c>
    </row>
    <row r="79" spans="1:17" ht="15.75">
      <c r="A79" s="44" t="s">
        <v>71</v>
      </c>
      <c r="B79" s="119">
        <v>-6228</v>
      </c>
      <c r="C79" s="119" t="s">
        <v>57</v>
      </c>
      <c r="D79" s="116" t="s">
        <v>57</v>
      </c>
      <c r="E79" s="162"/>
      <c r="F79" s="162"/>
      <c r="G79" s="162"/>
      <c r="H79" s="162"/>
      <c r="I79" s="110">
        <v>13461</v>
      </c>
      <c r="J79" s="110">
        <v>0</v>
      </c>
      <c r="K79" s="162"/>
      <c r="L79" s="190" t="s">
        <v>71</v>
      </c>
      <c r="M79" s="41" t="s">
        <v>0</v>
      </c>
      <c r="N79" s="41" t="s">
        <v>0</v>
      </c>
      <c r="O79" s="41" t="s">
        <v>0</v>
      </c>
      <c r="Q79" s="45"/>
    </row>
    <row r="80" spans="1:17" ht="15.75">
      <c r="A80" s="44" t="s">
        <v>7</v>
      </c>
      <c r="B80" s="119">
        <v>590</v>
      </c>
      <c r="C80" s="119">
        <v>2715</v>
      </c>
      <c r="D80" s="116" t="s">
        <v>57</v>
      </c>
      <c r="E80" s="162"/>
      <c r="F80" s="162"/>
      <c r="G80" s="162"/>
      <c r="H80" s="162"/>
      <c r="I80" s="110">
        <v>56081</v>
      </c>
      <c r="J80" s="110">
        <v>0</v>
      </c>
      <c r="K80" s="162"/>
      <c r="L80" s="189" t="s">
        <v>7</v>
      </c>
      <c r="P80" s="45"/>
      <c r="Q80" s="45"/>
    </row>
    <row r="81" spans="1:17" ht="15.75">
      <c r="A81" s="44" t="s">
        <v>72</v>
      </c>
      <c r="B81" s="119">
        <v>990</v>
      </c>
      <c r="C81" s="119" t="s">
        <v>189</v>
      </c>
      <c r="D81" s="116" t="s">
        <v>57</v>
      </c>
      <c r="E81" s="163"/>
      <c r="F81" s="164"/>
      <c r="G81" s="164"/>
      <c r="H81" s="164"/>
      <c r="I81" s="110">
        <v>79055.100000000006</v>
      </c>
      <c r="J81" s="110">
        <v>0</v>
      </c>
      <c r="K81" s="164"/>
      <c r="L81" s="190" t="s">
        <v>72</v>
      </c>
      <c r="P81" s="45"/>
      <c r="Q81" s="45"/>
    </row>
    <row r="82" spans="1:17" ht="15.75">
      <c r="A82" s="224" t="s">
        <v>73</v>
      </c>
      <c r="B82" s="225"/>
      <c r="C82" s="225"/>
      <c r="D82" s="225"/>
      <c r="E82" s="226"/>
      <c r="F82" s="226"/>
      <c r="G82" s="225"/>
      <c r="H82" s="225"/>
      <c r="I82" s="225"/>
      <c r="J82" s="225"/>
      <c r="K82" t="s">
        <v>0</v>
      </c>
      <c r="O82" s="45"/>
      <c r="P82" s="45"/>
    </row>
    <row r="83" spans="1:17" ht="15.75">
      <c r="A83" s="160" t="s">
        <v>142</v>
      </c>
      <c r="B83" s="188"/>
      <c r="C83" s="188"/>
      <c r="D83" s="188"/>
      <c r="E83" s="188"/>
      <c r="F83" s="188"/>
      <c r="G83" s="188"/>
      <c r="H83" s="188"/>
      <c r="I83" s="188"/>
      <c r="J83" s="188"/>
      <c r="O83" s="45"/>
      <c r="P83" s="45"/>
    </row>
    <row r="84" spans="1:17" ht="15.75">
      <c r="A84" s="227" t="s">
        <v>0</v>
      </c>
      <c r="B84" s="228"/>
      <c r="C84" s="228"/>
      <c r="D84" s="228"/>
      <c r="E84" s="228"/>
      <c r="F84" s="228"/>
      <c r="G84" s="228"/>
      <c r="H84" s="228"/>
      <c r="I84" s="228"/>
      <c r="J84" s="228"/>
      <c r="K84" t="s">
        <v>0</v>
      </c>
      <c r="O84" s="45"/>
      <c r="P84" s="45"/>
    </row>
    <row r="85" spans="1:17" ht="15.75">
      <c r="A85" s="211" t="s">
        <v>74</v>
      </c>
      <c r="B85" s="211"/>
      <c r="C85" s="211"/>
      <c r="D85" s="211"/>
      <c r="E85" s="211"/>
      <c r="F85" s="211"/>
      <c r="G85" s="211"/>
      <c r="H85" s="211"/>
      <c r="I85" s="211"/>
      <c r="J85" s="211"/>
      <c r="K85" t="s">
        <v>0</v>
      </c>
    </row>
    <row r="86" spans="1:17" ht="15.75">
      <c r="A86" s="39" t="s">
        <v>75</v>
      </c>
      <c r="B86" s="229" t="s">
        <v>76</v>
      </c>
      <c r="C86" s="230"/>
      <c r="D86" s="229" t="s">
        <v>77</v>
      </c>
      <c r="E86" s="231"/>
      <c r="F86" s="231"/>
      <c r="G86" s="231"/>
      <c r="H86" s="231"/>
      <c r="I86" s="231"/>
      <c r="J86" s="230"/>
      <c r="K86" t="s">
        <v>0</v>
      </c>
    </row>
    <row r="87" spans="1:17" ht="39.950000000000003" customHeight="1">
      <c r="A87" s="43" t="s">
        <v>7</v>
      </c>
      <c r="B87" s="214" t="s">
        <v>118</v>
      </c>
      <c r="C87" s="215"/>
      <c r="D87" s="232" t="s">
        <v>157</v>
      </c>
      <c r="E87" s="233"/>
      <c r="F87" s="233"/>
      <c r="G87" s="233"/>
      <c r="H87" s="233"/>
      <c r="I87" s="233"/>
      <c r="J87" s="234"/>
      <c r="K87" t="s">
        <v>0</v>
      </c>
    </row>
    <row r="88" spans="1:17" ht="39.950000000000003" customHeight="1">
      <c r="A88" s="43" t="s">
        <v>8</v>
      </c>
      <c r="B88" s="214" t="s">
        <v>118</v>
      </c>
      <c r="C88" s="215"/>
      <c r="D88" s="216" t="s">
        <v>156</v>
      </c>
      <c r="E88" s="217"/>
      <c r="F88" s="217"/>
      <c r="G88" s="217"/>
      <c r="H88" s="217"/>
      <c r="I88" s="217"/>
      <c r="J88" s="218"/>
      <c r="K88" t="s">
        <v>0</v>
      </c>
    </row>
    <row r="89" spans="1:17" ht="39.950000000000003" customHeight="1">
      <c r="A89" s="43" t="s">
        <v>9</v>
      </c>
      <c r="B89" s="214" t="s">
        <v>118</v>
      </c>
      <c r="C89" s="215"/>
      <c r="D89" s="232" t="s">
        <v>162</v>
      </c>
      <c r="E89" s="233"/>
      <c r="F89" s="233"/>
      <c r="G89" s="233"/>
      <c r="H89" s="233"/>
      <c r="I89" s="233"/>
      <c r="J89" s="234"/>
      <c r="K89" t="s">
        <v>0</v>
      </c>
    </row>
    <row r="90" spans="1:17" ht="80.099999999999994" customHeight="1">
      <c r="A90" s="43" t="s">
        <v>10</v>
      </c>
      <c r="B90" s="214" t="s">
        <v>105</v>
      </c>
      <c r="C90" s="215"/>
      <c r="D90" s="232" t="s">
        <v>160</v>
      </c>
      <c r="E90" s="233"/>
      <c r="F90" s="233"/>
      <c r="G90" s="233"/>
      <c r="H90" s="233"/>
      <c r="I90" s="233"/>
      <c r="J90" s="234"/>
      <c r="K90" t="s">
        <v>0</v>
      </c>
    </row>
    <row r="91" spans="1:17" ht="51.75" customHeight="1">
      <c r="A91" s="43" t="s">
        <v>78</v>
      </c>
      <c r="B91" s="214" t="s">
        <v>106</v>
      </c>
      <c r="C91" s="215"/>
      <c r="D91" s="235" t="s">
        <v>161</v>
      </c>
      <c r="E91" s="233"/>
      <c r="F91" s="233"/>
      <c r="G91" s="233"/>
      <c r="H91" s="233"/>
      <c r="I91" s="233"/>
      <c r="J91" s="234"/>
      <c r="K91" t="s">
        <v>0</v>
      </c>
    </row>
    <row r="92" spans="1:17" ht="53.25" customHeight="1">
      <c r="A92" s="43" t="s">
        <v>79</v>
      </c>
      <c r="B92" s="214" t="s">
        <v>105</v>
      </c>
      <c r="C92" s="215"/>
      <c r="D92" s="232" t="s">
        <v>154</v>
      </c>
      <c r="E92" s="233"/>
      <c r="F92" s="233"/>
      <c r="G92" s="233"/>
      <c r="H92" s="233"/>
      <c r="I92" s="233"/>
      <c r="J92" s="234"/>
      <c r="K92" t="s">
        <v>0</v>
      </c>
    </row>
    <row r="93" spans="1:17" ht="39.950000000000003" customHeight="1">
      <c r="A93" s="43" t="s">
        <v>13</v>
      </c>
      <c r="B93" s="214" t="s">
        <v>110</v>
      </c>
      <c r="C93" s="215"/>
      <c r="D93" s="232" t="s">
        <v>158</v>
      </c>
      <c r="E93" s="233"/>
      <c r="F93" s="233"/>
      <c r="G93" s="233"/>
      <c r="H93" s="233"/>
      <c r="I93" s="233"/>
      <c r="J93" s="234"/>
      <c r="K93" t="s">
        <v>0</v>
      </c>
    </row>
    <row r="94" spans="1:17" ht="39.950000000000003" customHeight="1">
      <c r="A94" s="44" t="s">
        <v>14</v>
      </c>
      <c r="B94" s="214" t="s">
        <v>105</v>
      </c>
      <c r="C94" s="215"/>
      <c r="D94" s="232" t="s">
        <v>150</v>
      </c>
      <c r="E94" s="236"/>
      <c r="F94" s="236"/>
      <c r="G94" s="236"/>
      <c r="H94" s="236"/>
      <c r="I94" s="236"/>
      <c r="J94" s="215"/>
      <c r="K94" t="s">
        <v>0</v>
      </c>
    </row>
    <row r="95" spans="1:17" ht="39.950000000000003" customHeight="1">
      <c r="A95" s="44" t="s">
        <v>59</v>
      </c>
      <c r="B95" s="214" t="s">
        <v>123</v>
      </c>
      <c r="C95" s="215"/>
      <c r="D95" s="232" t="s">
        <v>152</v>
      </c>
      <c r="E95" s="236"/>
      <c r="F95" s="236"/>
      <c r="G95" s="236"/>
      <c r="H95" s="236"/>
      <c r="I95" s="236"/>
      <c r="J95" s="215"/>
      <c r="K95" t="s">
        <v>0</v>
      </c>
    </row>
    <row r="96" spans="1:17" ht="39.950000000000003" customHeight="1">
      <c r="A96" s="44" t="s">
        <v>16</v>
      </c>
      <c r="B96" s="214" t="s">
        <v>105</v>
      </c>
      <c r="C96" s="215"/>
      <c r="D96" s="232" t="s">
        <v>124</v>
      </c>
      <c r="E96" s="236"/>
      <c r="F96" s="236"/>
      <c r="G96" s="236"/>
      <c r="H96" s="236"/>
      <c r="I96" s="236"/>
      <c r="J96" s="215"/>
      <c r="K96" t="s">
        <v>0</v>
      </c>
    </row>
    <row r="97" spans="1:11" ht="39.950000000000003" customHeight="1">
      <c r="A97" s="44" t="s">
        <v>17</v>
      </c>
      <c r="B97" s="214" t="s">
        <v>110</v>
      </c>
      <c r="C97" s="215"/>
      <c r="D97" s="214" t="s">
        <v>151</v>
      </c>
      <c r="E97" s="236"/>
      <c r="F97" s="236"/>
      <c r="G97" s="236"/>
      <c r="H97" s="236"/>
      <c r="I97" s="236"/>
      <c r="J97" s="215"/>
      <c r="K97" t="s">
        <v>0</v>
      </c>
    </row>
    <row r="98" spans="1:11" ht="39.950000000000003" customHeight="1">
      <c r="A98" s="44" t="s">
        <v>18</v>
      </c>
      <c r="B98" s="214" t="s">
        <v>105</v>
      </c>
      <c r="C98" s="215"/>
      <c r="D98" s="232" t="s">
        <v>159</v>
      </c>
      <c r="E98" s="233"/>
      <c r="F98" s="233"/>
      <c r="G98" s="233"/>
      <c r="H98" s="233"/>
      <c r="I98" s="233"/>
      <c r="J98" s="234"/>
      <c r="K98" t="s">
        <v>0</v>
      </c>
    </row>
    <row r="99" spans="1:11" ht="39.950000000000003" customHeight="1">
      <c r="A99" s="44" t="s">
        <v>19</v>
      </c>
      <c r="B99" s="214" t="s">
        <v>110</v>
      </c>
      <c r="C99" s="215"/>
      <c r="D99" s="232" t="s">
        <v>153</v>
      </c>
      <c r="E99" s="233"/>
      <c r="F99" s="233"/>
      <c r="G99" s="233"/>
      <c r="H99" s="233"/>
      <c r="I99" s="233"/>
      <c r="J99" s="234"/>
      <c r="K99" t="s">
        <v>0</v>
      </c>
    </row>
    <row r="100" spans="1:11" ht="39.950000000000003" customHeight="1">
      <c r="A100" s="44" t="s">
        <v>20</v>
      </c>
      <c r="B100" s="214" t="s">
        <v>105</v>
      </c>
      <c r="C100" s="215"/>
      <c r="D100" s="232" t="s">
        <v>155</v>
      </c>
      <c r="E100" s="233"/>
      <c r="F100" s="233"/>
      <c r="G100" s="233"/>
      <c r="H100" s="233"/>
      <c r="I100" s="233"/>
      <c r="J100" s="234"/>
      <c r="K100" t="s">
        <v>0</v>
      </c>
    </row>
    <row r="101" spans="1:11" ht="39.950000000000003" customHeight="1">
      <c r="A101" s="44" t="s">
        <v>61</v>
      </c>
      <c r="B101" s="214" t="s">
        <v>107</v>
      </c>
      <c r="C101" s="215"/>
      <c r="D101" s="232" t="s">
        <v>163</v>
      </c>
      <c r="E101" s="233"/>
      <c r="F101" s="233"/>
      <c r="G101" s="233"/>
      <c r="H101" s="233"/>
      <c r="I101" s="233"/>
      <c r="J101" s="234"/>
    </row>
    <row r="102" spans="1:11" ht="37.5" customHeight="1">
      <c r="A102" s="44" t="s">
        <v>64</v>
      </c>
      <c r="B102" s="214" t="s">
        <v>106</v>
      </c>
      <c r="C102" s="215"/>
      <c r="D102" s="232" t="s">
        <v>125</v>
      </c>
      <c r="E102" s="233"/>
      <c r="F102" s="233"/>
      <c r="G102" s="233"/>
      <c r="H102" s="233"/>
      <c r="I102" s="233"/>
      <c r="J102" s="234"/>
    </row>
    <row r="103" spans="1:11">
      <c r="A103" s="237" t="s">
        <v>164</v>
      </c>
      <c r="B103" s="237"/>
      <c r="C103" s="237"/>
      <c r="D103" s="237"/>
      <c r="E103" s="237"/>
      <c r="F103" s="237"/>
      <c r="G103" s="237"/>
      <c r="H103" s="237"/>
      <c r="I103" s="237"/>
      <c r="J103" s="237"/>
    </row>
    <row r="104" spans="1:11">
      <c r="A104" s="205" t="s">
        <v>178</v>
      </c>
    </row>
  </sheetData>
  <mergeCells count="48">
    <mergeCell ref="B101:C101"/>
    <mergeCell ref="D101:J101"/>
    <mergeCell ref="B102:C102"/>
    <mergeCell ref="D102:J102"/>
    <mergeCell ref="A103:J103"/>
    <mergeCell ref="B98:C98"/>
    <mergeCell ref="D98:J98"/>
    <mergeCell ref="B99:C99"/>
    <mergeCell ref="D99:J99"/>
    <mergeCell ref="B100:C100"/>
    <mergeCell ref="D100:J100"/>
    <mergeCell ref="B95:C95"/>
    <mergeCell ref="D95:J95"/>
    <mergeCell ref="B96:C96"/>
    <mergeCell ref="D96:J96"/>
    <mergeCell ref="B97:C97"/>
    <mergeCell ref="D97:J97"/>
    <mergeCell ref="B92:C92"/>
    <mergeCell ref="D92:J92"/>
    <mergeCell ref="B93:C93"/>
    <mergeCell ref="D93:J93"/>
    <mergeCell ref="B94:C94"/>
    <mergeCell ref="D94:J94"/>
    <mergeCell ref="B89:C89"/>
    <mergeCell ref="D89:J89"/>
    <mergeCell ref="B90:C90"/>
    <mergeCell ref="D90:J90"/>
    <mergeCell ref="B91:C91"/>
    <mergeCell ref="D91:J91"/>
    <mergeCell ref="B88:C88"/>
    <mergeCell ref="D88:J88"/>
    <mergeCell ref="A21:Q21"/>
    <mergeCell ref="A31:P31"/>
    <mergeCell ref="A46:R46"/>
    <mergeCell ref="A50:I50"/>
    <mergeCell ref="A82:J82"/>
    <mergeCell ref="A84:J84"/>
    <mergeCell ref="A85:J85"/>
    <mergeCell ref="B86:C86"/>
    <mergeCell ref="D86:J86"/>
    <mergeCell ref="B87:C87"/>
    <mergeCell ref="D87:J87"/>
    <mergeCell ref="C11:R11"/>
    <mergeCell ref="C3:R3"/>
    <mergeCell ref="C4:R4"/>
    <mergeCell ref="C5:R5"/>
    <mergeCell ref="C7:R7"/>
    <mergeCell ref="C8:R8"/>
  </mergeCells>
  <conditionalFormatting sqref="C53:C81">
    <cfRule type="expression" dxfId="0" priority="1">
      <formula>COUNTIF($C$12:$P$12,"="&amp;A53)</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79" zoomScaleNormal="90" workbookViewId="0"/>
  </sheetViews>
  <sheetFormatPr defaultRowHeight="15"/>
  <cols>
    <col min="1" max="4" width="21.85546875" customWidth="1"/>
    <col min="5" max="8" width="18.85546875" customWidth="1"/>
    <col min="9" max="9" width="27.42578125" customWidth="1"/>
    <col min="10" max="10" width="18.85546875" customWidth="1"/>
    <col min="11" max="11" width="27.140625" customWidth="1"/>
    <col min="13" max="13" width="12" bestFit="1" customWidth="1"/>
  </cols>
  <sheetData>
    <row r="1" spans="1:15" ht="18">
      <c r="A1" s="117" t="s">
        <v>122</v>
      </c>
      <c r="B1" s="117"/>
      <c r="C1" s="117"/>
      <c r="D1" s="117"/>
      <c r="E1" s="46"/>
      <c r="F1" s="46"/>
      <c r="G1" s="46"/>
      <c r="H1" s="46"/>
      <c r="I1" s="46"/>
      <c r="J1" s="46"/>
      <c r="K1" s="46"/>
    </row>
    <row r="2" spans="1:15" ht="15.75">
      <c r="A2" s="239" t="s">
        <v>80</v>
      </c>
      <c r="B2" s="239"/>
      <c r="C2" s="239"/>
      <c r="D2" s="239"/>
      <c r="E2" s="239"/>
      <c r="F2" s="239"/>
      <c r="G2" s="239"/>
      <c r="H2" s="239"/>
      <c r="I2" s="47"/>
      <c r="J2" s="37" t="s">
        <v>0</v>
      </c>
      <c r="K2" s="37" t="s">
        <v>0</v>
      </c>
    </row>
    <row r="3" spans="1:15" ht="15.75">
      <c r="A3" s="239" t="s">
        <v>115</v>
      </c>
      <c r="B3" s="239"/>
      <c r="C3" s="239"/>
      <c r="D3" s="239"/>
      <c r="E3" s="239"/>
      <c r="F3" s="239"/>
      <c r="G3" s="239"/>
      <c r="H3" s="239"/>
      <c r="I3" s="104" t="s">
        <v>0</v>
      </c>
      <c r="J3" s="37" t="s">
        <v>0</v>
      </c>
      <c r="K3" s="37" t="s">
        <v>0</v>
      </c>
      <c r="L3" s="37" t="s">
        <v>0</v>
      </c>
      <c r="M3" s="37" t="s">
        <v>0</v>
      </c>
    </row>
    <row r="4" spans="1:15" ht="15.75">
      <c r="A4" s="239" t="s">
        <v>116</v>
      </c>
      <c r="B4" s="239"/>
      <c r="C4" s="239"/>
      <c r="D4" s="239"/>
      <c r="E4" s="239"/>
      <c r="F4" s="239"/>
      <c r="G4" s="239"/>
      <c r="H4" s="48">
        <v>0.78</v>
      </c>
      <c r="I4" s="205"/>
      <c r="J4" s="252"/>
      <c r="K4" s="252"/>
      <c r="L4" s="37" t="s">
        <v>0</v>
      </c>
      <c r="M4" s="37" t="s">
        <v>0</v>
      </c>
    </row>
    <row r="5" spans="1:15">
      <c r="A5" s="212" t="s">
        <v>81</v>
      </c>
      <c r="B5" s="212"/>
      <c r="C5" s="212"/>
      <c r="D5" s="212"/>
      <c r="E5" s="212"/>
      <c r="F5" s="212"/>
      <c r="G5" s="212"/>
      <c r="H5" s="212"/>
      <c r="J5" s="49"/>
      <c r="K5" s="50" t="s">
        <v>0</v>
      </c>
    </row>
    <row r="6" spans="1:15">
      <c r="A6" s="212" t="s">
        <v>82</v>
      </c>
      <c r="B6" s="212"/>
      <c r="C6" s="212"/>
      <c r="D6" s="212"/>
      <c r="E6" s="212"/>
      <c r="F6" s="212"/>
      <c r="G6" s="212"/>
      <c r="H6" s="212"/>
      <c r="I6" s="49"/>
      <c r="J6" s="49"/>
    </row>
    <row r="7" spans="1:15">
      <c r="A7" s="238" t="s">
        <v>112</v>
      </c>
      <c r="B7" s="238"/>
      <c r="C7" s="238"/>
      <c r="D7" s="238"/>
      <c r="E7" s="238"/>
      <c r="F7" s="238"/>
      <c r="G7" s="238"/>
      <c r="H7" s="238"/>
      <c r="I7" s="49"/>
      <c r="J7" s="49"/>
    </row>
    <row r="8" spans="1:15">
      <c r="A8" s="212" t="s">
        <v>83</v>
      </c>
      <c r="B8" s="212"/>
      <c r="C8" s="212"/>
      <c r="D8" s="212"/>
      <c r="E8" s="212"/>
      <c r="F8" s="212"/>
      <c r="G8" s="212"/>
      <c r="H8" s="212"/>
      <c r="I8" s="142"/>
      <c r="J8" s="142"/>
      <c r="K8" s="51" t="s">
        <v>0</v>
      </c>
    </row>
    <row r="9" spans="1:15">
      <c r="A9" s="212" t="s">
        <v>113</v>
      </c>
      <c r="B9" s="212"/>
      <c r="C9" s="212"/>
      <c r="D9" s="212"/>
      <c r="E9" s="212"/>
      <c r="F9" s="212"/>
      <c r="G9" s="212"/>
      <c r="H9" s="212"/>
      <c r="I9" s="49"/>
      <c r="J9" s="49"/>
      <c r="K9" s="51"/>
    </row>
    <row r="10" spans="1:15" ht="15.75" thickBot="1">
      <c r="E10" s="52" t="s">
        <v>0</v>
      </c>
      <c r="H10" s="53" t="s">
        <v>0</v>
      </c>
    </row>
    <row r="11" spans="1:15" ht="75.75" thickBot="1">
      <c r="A11" s="54" t="s">
        <v>84</v>
      </c>
      <c r="B11" s="55" t="s">
        <v>120</v>
      </c>
      <c r="C11" s="55" t="s">
        <v>85</v>
      </c>
      <c r="D11" s="55" t="s">
        <v>119</v>
      </c>
      <c r="E11" s="55" t="s">
        <v>86</v>
      </c>
      <c r="F11" s="55" t="s">
        <v>121</v>
      </c>
      <c r="G11" s="55" t="s">
        <v>87</v>
      </c>
      <c r="H11" s="55" t="s">
        <v>88</v>
      </c>
      <c r="I11" s="56" t="s">
        <v>89</v>
      </c>
    </row>
    <row r="12" spans="1:15" ht="15.75">
      <c r="A12" s="57" t="s">
        <v>90</v>
      </c>
      <c r="B12" s="58">
        <v>136000</v>
      </c>
      <c r="C12" s="59">
        <v>1</v>
      </c>
      <c r="D12" s="58">
        <f>B12*C12</f>
        <v>136000</v>
      </c>
      <c r="E12" s="60">
        <f>ROUND(D12/(((DATE(LEFT('Planning Parameters'!$A$1,4)*1+1,5,31)-(DATE(LEFT('Planning Parameters'!$A$1,4)*1,6,1))+1))*$H$4),2)</f>
        <v>477.7</v>
      </c>
      <c r="F12" s="61"/>
      <c r="G12" s="61"/>
      <c r="H12" s="62"/>
      <c r="I12" s="63"/>
    </row>
    <row r="13" spans="1:15" ht="15.75">
      <c r="A13" s="64" t="s">
        <v>54</v>
      </c>
      <c r="B13" s="65" t="s">
        <v>0</v>
      </c>
      <c r="C13" s="65"/>
      <c r="D13" s="65"/>
      <c r="E13" s="66">
        <f t="shared" ref="E13:E19" si="0">$E$12</f>
        <v>477.7</v>
      </c>
      <c r="F13" s="67">
        <v>34733.4</v>
      </c>
      <c r="G13" s="66">
        <f>MAX(($D$12-F13)/((DATE(LEFT('Planning Parameters'!$A$1,4)*1+1,5,31)-(DATE(LEFT('Planning Parameters'!$A$1,4)*1,6,1))+1)),0)</f>
        <v>277.44273972602741</v>
      </c>
      <c r="H13" s="66">
        <f>MAX(ROUND(G13/$H$4,2),0)</f>
        <v>355.7</v>
      </c>
      <c r="I13" s="68"/>
      <c r="K13" s="141"/>
      <c r="N13" s="141"/>
      <c r="O13" s="141"/>
    </row>
    <row r="14" spans="1:15" ht="15.75">
      <c r="A14" s="64" t="s">
        <v>62</v>
      </c>
      <c r="B14" s="65" t="s">
        <v>0</v>
      </c>
      <c r="C14" s="65"/>
      <c r="D14" s="65"/>
      <c r="E14" s="66">
        <f t="shared" si="0"/>
        <v>477.7</v>
      </c>
      <c r="F14" s="67">
        <v>74457.566666666666</v>
      </c>
      <c r="G14" s="66">
        <f>MAX(($D$12-F14)/((DATE(LEFT('Planning Parameters'!$A$1,4)*1+1,5,31)-(DATE(LEFT('Planning Parameters'!$A$1,4)*1,6,1))+1)),0)</f>
        <v>168.60940639269407</v>
      </c>
      <c r="H14" s="66">
        <f>MAX(ROUND(G14/$H$4,2),0)</f>
        <v>216.17</v>
      </c>
      <c r="I14" s="69" t="s">
        <v>12</v>
      </c>
      <c r="K14" s="141"/>
      <c r="N14" s="141"/>
      <c r="O14" s="141"/>
    </row>
    <row r="15" spans="1:15" ht="15.75">
      <c r="A15" s="64" t="s">
        <v>64</v>
      </c>
      <c r="B15" s="65" t="s">
        <v>0</v>
      </c>
      <c r="C15" s="65"/>
      <c r="D15" s="65"/>
      <c r="E15" s="66">
        <f t="shared" si="0"/>
        <v>477.7</v>
      </c>
      <c r="F15" s="67">
        <v>33117.666666666664</v>
      </c>
      <c r="G15" s="66">
        <f>MAX(($D$12-F15)/((DATE(LEFT('Planning Parameters'!$A$1,4)*1+1,5,31)-(DATE(LEFT('Planning Parameters'!$A$1,4)*1,6,1))+1)),0)</f>
        <v>281.86940639269409</v>
      </c>
      <c r="H15" s="66">
        <f t="shared" ref="H15:H18" si="1">MAX(ROUND(G15/$H$4,2),0)</f>
        <v>361.37</v>
      </c>
      <c r="I15" s="69" t="s">
        <v>64</v>
      </c>
      <c r="K15" s="141"/>
      <c r="N15" s="141"/>
      <c r="O15" s="141"/>
    </row>
    <row r="16" spans="1:15" ht="15.75">
      <c r="A16" s="64" t="s">
        <v>91</v>
      </c>
      <c r="B16" s="65" t="s">
        <v>0</v>
      </c>
      <c r="C16" s="65"/>
      <c r="D16" s="65"/>
      <c r="E16" s="66">
        <f t="shared" si="0"/>
        <v>477.7</v>
      </c>
      <c r="F16" s="67">
        <v>54793.8</v>
      </c>
      <c r="G16" s="66">
        <f>MAX(($D$12-F16)/((DATE(LEFT('Planning Parameters'!$A$1,4)*1+1,5,31)-(DATE(LEFT('Planning Parameters'!$A$1,4)*1,6,1))+1)),0)</f>
        <v>222.48273972602738</v>
      </c>
      <c r="H16" s="66">
        <f t="shared" si="1"/>
        <v>285.23</v>
      </c>
      <c r="I16" s="68"/>
      <c r="K16" s="141"/>
      <c r="N16" s="141"/>
      <c r="O16" s="141"/>
    </row>
    <row r="17" spans="1:15" ht="15.75">
      <c r="A17" s="64" t="s">
        <v>92</v>
      </c>
      <c r="B17" s="65" t="s">
        <v>0</v>
      </c>
      <c r="C17" s="65"/>
      <c r="D17" s="65"/>
      <c r="E17" s="66">
        <f t="shared" si="0"/>
        <v>477.7</v>
      </c>
      <c r="F17" s="67">
        <v>30863.183333333334</v>
      </c>
      <c r="G17" s="66">
        <f>MAX(($D$12-F17)/((DATE(LEFT('Planning Parameters'!$A$1,4)*1+1,5,31)-(DATE(LEFT('Planning Parameters'!$A$1,4)*1,6,1))+1)),0)</f>
        <v>288.04607305936071</v>
      </c>
      <c r="H17" s="66">
        <f>MAX(ROUND(G17/$H$4,2),0)</f>
        <v>369.29</v>
      </c>
      <c r="I17" s="70" t="s">
        <v>93</v>
      </c>
      <c r="K17" s="141"/>
      <c r="N17" s="141"/>
      <c r="O17" s="141"/>
    </row>
    <row r="18" spans="1:15" ht="15.75">
      <c r="A18" s="64" t="s">
        <v>70</v>
      </c>
      <c r="B18" s="65" t="s">
        <v>0</v>
      </c>
      <c r="C18" s="65"/>
      <c r="D18" s="65"/>
      <c r="E18" s="66">
        <f t="shared" si="0"/>
        <v>477.7</v>
      </c>
      <c r="F18" s="67">
        <v>36281</v>
      </c>
      <c r="G18" s="66">
        <f>MAX(($D$12-F18)/((DATE(LEFT('Planning Parameters'!$A$1,4)*1+1,5,31)-(DATE(LEFT('Planning Parameters'!$A$1,4)*1,6,1))+1)),0)</f>
        <v>273.2027397260274</v>
      </c>
      <c r="H18" s="66">
        <f t="shared" si="1"/>
        <v>350.26</v>
      </c>
      <c r="I18" s="68"/>
      <c r="K18" s="141"/>
      <c r="N18" s="141"/>
      <c r="O18" s="141"/>
    </row>
    <row r="19" spans="1:15" ht="16.5" thickBot="1">
      <c r="A19" s="71" t="s">
        <v>8</v>
      </c>
      <c r="B19" s="72" t="s">
        <v>0</v>
      </c>
      <c r="C19" s="72"/>
      <c r="D19" s="72"/>
      <c r="E19" s="73">
        <f t="shared" si="0"/>
        <v>477.7</v>
      </c>
      <c r="F19" s="74"/>
      <c r="G19" s="73">
        <f>ROUND(H19*$H$4,2)</f>
        <v>251.94</v>
      </c>
      <c r="H19" s="73">
        <f>ROUND(AVERAGE(H13:H18),2)</f>
        <v>323</v>
      </c>
      <c r="I19" s="75" t="s">
        <v>8</v>
      </c>
      <c r="K19" s="141"/>
      <c r="N19" s="141"/>
      <c r="O19" s="141"/>
    </row>
    <row r="20" spans="1:15" ht="15.75">
      <c r="A20" s="57" t="s">
        <v>94</v>
      </c>
      <c r="B20" s="58">
        <v>142000</v>
      </c>
      <c r="C20" s="59">
        <v>1</v>
      </c>
      <c r="D20" s="58">
        <f>B20*C20</f>
        <v>142000</v>
      </c>
      <c r="E20" s="60">
        <f>ROUND(D20/(((DATE(LEFT('Planning Parameters'!$A$1,4)*1+1,5,31)-(DATE(LEFT('Planning Parameters'!$A$1,4)*1,6,1))+1))*$H$4),2)</f>
        <v>498.77</v>
      </c>
      <c r="F20" s="76"/>
      <c r="G20" s="60"/>
      <c r="H20" s="77" t="s">
        <v>0</v>
      </c>
      <c r="I20" s="63"/>
      <c r="K20" s="141"/>
      <c r="N20" s="141"/>
      <c r="O20" s="141"/>
    </row>
    <row r="21" spans="1:15" ht="15.75">
      <c r="A21" s="64" t="s">
        <v>17</v>
      </c>
      <c r="B21" s="65" t="s">
        <v>0</v>
      </c>
      <c r="C21" s="65"/>
      <c r="D21" s="65"/>
      <c r="E21" s="66">
        <f>$E$20</f>
        <v>498.77</v>
      </c>
      <c r="F21" s="67">
        <v>118948.63333333333</v>
      </c>
      <c r="G21" s="66">
        <f>MAX(($D$20-F21)/((DATE(LEFT('Planning Parameters'!$A$1,4)*1+1,5,31)-(DATE(LEFT('Planning Parameters'!$A$1,4)*1,6,1))+1)),0)</f>
        <v>63.154429223744295</v>
      </c>
      <c r="H21" s="66">
        <f>MAX(ROUND(G21/$H$4,2),0)</f>
        <v>80.97</v>
      </c>
      <c r="I21" s="70" t="s">
        <v>17</v>
      </c>
      <c r="K21" s="141"/>
      <c r="N21" s="141"/>
      <c r="O21" s="141"/>
    </row>
    <row r="22" spans="1:15" ht="15.75">
      <c r="A22" s="64" t="s">
        <v>13</v>
      </c>
      <c r="B22" s="65"/>
      <c r="C22" s="65"/>
      <c r="D22" s="65"/>
      <c r="E22" s="66">
        <f>$E$20</f>
        <v>498.77</v>
      </c>
      <c r="F22" s="67">
        <v>67672.216666666674</v>
      </c>
      <c r="G22" s="66">
        <f>MAX(($D$20-F22)/((DATE(LEFT('Planning Parameters'!$A$1,4)*1+1,5,31)-(DATE(LEFT('Planning Parameters'!$A$1,4)*1,6,1))+1)),0)</f>
        <v>203.63776255707759</v>
      </c>
      <c r="H22" s="66">
        <f>MAX(ROUND(G22/$H$4,2),0)</f>
        <v>261.07</v>
      </c>
      <c r="I22" s="70" t="s">
        <v>13</v>
      </c>
      <c r="K22" s="141"/>
      <c r="N22" s="141"/>
      <c r="O22" s="141"/>
    </row>
    <row r="23" spans="1:15" ht="16.5" thickBot="1">
      <c r="A23" s="71" t="s">
        <v>9</v>
      </c>
      <c r="B23" s="72"/>
      <c r="C23" s="72"/>
      <c r="D23" s="72"/>
      <c r="E23" s="73">
        <f>$E$20</f>
        <v>498.77</v>
      </c>
      <c r="F23" s="74"/>
      <c r="G23" s="73">
        <f>ROUND(H23*$H$4,2)</f>
        <v>133.4</v>
      </c>
      <c r="H23" s="73">
        <f>ROUND(AVERAGE(H21:H22),2)</f>
        <v>171.02</v>
      </c>
      <c r="I23" s="75" t="s">
        <v>9</v>
      </c>
      <c r="K23" s="141"/>
      <c r="N23" s="141"/>
      <c r="O23" s="141"/>
    </row>
    <row r="24" spans="1:15" ht="15.75">
      <c r="A24" s="57" t="s">
        <v>95</v>
      </c>
      <c r="B24" s="58">
        <v>143500</v>
      </c>
      <c r="C24" s="59">
        <v>1</v>
      </c>
      <c r="D24" s="58">
        <f>B24*C24</f>
        <v>143500</v>
      </c>
      <c r="E24" s="60">
        <f>ROUND(D24/(((DATE(LEFT('Planning Parameters'!$A$1,4)*1+1,5,31)-(DATE(LEFT('Planning Parameters'!$A$1,4)*1,6,1))+1))*$H$4),2)</f>
        <v>504.04</v>
      </c>
      <c r="F24" s="76"/>
      <c r="G24" s="60"/>
      <c r="H24" s="77"/>
      <c r="I24" s="63"/>
      <c r="K24" s="141"/>
      <c r="N24" s="141"/>
      <c r="O24" s="141"/>
    </row>
    <row r="25" spans="1:15" ht="15.75">
      <c r="A25" s="64" t="s">
        <v>65</v>
      </c>
      <c r="B25" s="65" t="s">
        <v>0</v>
      </c>
      <c r="C25" s="65"/>
      <c r="D25" s="65"/>
      <c r="E25" s="66">
        <f>$E$24</f>
        <v>504.04</v>
      </c>
      <c r="F25" s="67">
        <v>70542.333333333343</v>
      </c>
      <c r="G25" s="66">
        <f>MAX(($D$24-F25)/((DATE(LEFT('Planning Parameters'!$A$1,4)*1+1,5,31)-(DATE(LEFT('Planning Parameters'!$A$1,4)*1,6,1))+1)),0)</f>
        <v>199.88401826484017</v>
      </c>
      <c r="H25" s="66">
        <f>MAX(ROUND(G25/$H$4,2),0)</f>
        <v>256.26</v>
      </c>
      <c r="I25" s="68"/>
      <c r="K25" s="141"/>
      <c r="N25" s="141"/>
      <c r="O25" s="141"/>
    </row>
    <row r="26" spans="1:15" ht="15.75">
      <c r="A26" s="64" t="s">
        <v>96</v>
      </c>
      <c r="B26" s="65"/>
      <c r="C26" s="65"/>
      <c r="D26" s="65"/>
      <c r="E26" s="66">
        <f>$E$24</f>
        <v>504.04</v>
      </c>
      <c r="F26" s="67">
        <v>118689.48333333334</v>
      </c>
      <c r="G26" s="66">
        <f>MAX(($D$24-F26)/((DATE(LEFT('Planning Parameters'!$A$1,4)*1+1,5,31)-(DATE(LEFT('Planning Parameters'!$A$1,4)*1,6,1))+1)),0)</f>
        <v>67.974018264840169</v>
      </c>
      <c r="H26" s="66">
        <f t="shared" ref="H26:H27" si="2">MAX(ROUND(G26/$H$4,2),0)</f>
        <v>87.15</v>
      </c>
      <c r="I26" s="68"/>
      <c r="K26" s="141"/>
      <c r="N26" s="141"/>
      <c r="O26" s="141"/>
    </row>
    <row r="27" spans="1:15" ht="15.75">
      <c r="A27" s="64" t="s">
        <v>97</v>
      </c>
      <c r="B27" s="65"/>
      <c r="C27" s="65"/>
      <c r="D27" s="65"/>
      <c r="E27" s="66">
        <f>$E$24</f>
        <v>504.04</v>
      </c>
      <c r="F27" s="67">
        <v>53209.7</v>
      </c>
      <c r="G27" s="66">
        <f>MAX(($D$24-F27)/((DATE(LEFT('Planning Parameters'!$A$1,4)*1+1,5,31)-(DATE(LEFT('Planning Parameters'!$A$1,4)*1,6,1))+1)),0)</f>
        <v>247.37068493150684</v>
      </c>
      <c r="H27" s="66">
        <f t="shared" si="2"/>
        <v>317.14</v>
      </c>
      <c r="I27" s="70" t="s">
        <v>97</v>
      </c>
      <c r="K27" s="141"/>
      <c r="N27" s="141"/>
      <c r="O27" s="141"/>
    </row>
    <row r="28" spans="1:15" ht="16.5" thickBot="1">
      <c r="A28" s="71" t="s">
        <v>7</v>
      </c>
      <c r="B28" s="72" t="s">
        <v>0</v>
      </c>
      <c r="C28" s="72"/>
      <c r="D28" s="72"/>
      <c r="E28" s="73">
        <f>ROUND(AVERAGE(E13,E14,E15,E16,E17,E18,E21,E22,E25,E26,E27),2)</f>
        <v>488.71</v>
      </c>
      <c r="F28" s="73"/>
      <c r="G28" s="73">
        <f>ROUND(H28*$H$4,2)</f>
        <v>208.52</v>
      </c>
      <c r="H28" s="73">
        <f>ROUND(AVERAGE(H13,H14,H15,H16,H17,H18,H21,H22,H25,H26,H27),2)</f>
        <v>267.33</v>
      </c>
      <c r="I28" s="75" t="s">
        <v>7</v>
      </c>
      <c r="K28" s="141"/>
      <c r="N28" s="141"/>
      <c r="O28" s="141"/>
    </row>
    <row r="29" spans="1:15" ht="15.75">
      <c r="A29" s="57" t="s">
        <v>98</v>
      </c>
      <c r="B29" s="58">
        <v>147600</v>
      </c>
      <c r="C29" s="59">
        <v>1</v>
      </c>
      <c r="D29" s="58">
        <f>B29*C29</f>
        <v>147600</v>
      </c>
      <c r="E29" s="60">
        <f>ROUND(D29/(((DATE(LEFT('Planning Parameters'!$A$1,4)*1+1,5,31)-(DATE(LEFT('Planning Parameters'!$A$1,4)*1,6,1))+1))*$H$4),2)</f>
        <v>518.44000000000005</v>
      </c>
      <c r="F29" s="76"/>
      <c r="G29" s="60"/>
      <c r="H29" s="77"/>
      <c r="I29" s="63"/>
      <c r="K29" s="141"/>
      <c r="N29" s="141"/>
      <c r="O29" s="141"/>
    </row>
    <row r="30" spans="1:15" ht="15.75">
      <c r="A30" s="78" t="s">
        <v>56</v>
      </c>
      <c r="B30" s="65"/>
      <c r="C30" s="65"/>
      <c r="D30" s="65"/>
      <c r="E30" s="66">
        <f t="shared" ref="E30:E38" si="3">$E$29</f>
        <v>518.44000000000005</v>
      </c>
      <c r="F30" s="67">
        <v>97569.366666666669</v>
      </c>
      <c r="G30" s="66">
        <f>MAX(($D$29-F30)/((DATE(LEFT('Planning Parameters'!$A$1,4)*1+1,5,31)-(DATE(LEFT('Planning Parameters'!$A$1,4)*1,6,1))+1)),0)</f>
        <v>137.07022831050227</v>
      </c>
      <c r="H30" s="66">
        <f>MAX(ROUND(G30/$H$4,2),0)</f>
        <v>175.73</v>
      </c>
      <c r="I30" s="68"/>
      <c r="K30" s="141"/>
      <c r="N30" s="141"/>
      <c r="O30" s="141"/>
    </row>
    <row r="31" spans="1:15" ht="15.75">
      <c r="A31" s="78" t="s">
        <v>58</v>
      </c>
      <c r="B31" s="65"/>
      <c r="C31" s="65"/>
      <c r="D31" s="65"/>
      <c r="E31" s="66">
        <f t="shared" si="3"/>
        <v>518.44000000000005</v>
      </c>
      <c r="F31" s="67">
        <v>125349.51666666668</v>
      </c>
      <c r="G31" s="66">
        <f>MAX(($D$29-F31)/((DATE(LEFT('Planning Parameters'!$A$1,4)*1+1,5,31)-(DATE(LEFT('Planning Parameters'!$A$1,4)*1,6,1))+1)),0)</f>
        <v>60.960228310502252</v>
      </c>
      <c r="H31" s="66">
        <f t="shared" ref="H31:H37" si="4">MAX(ROUND(G31/$H$4,2),0)</f>
        <v>78.150000000000006</v>
      </c>
      <c r="I31" s="68"/>
      <c r="K31" s="141"/>
      <c r="N31" s="141"/>
      <c r="O31" s="141"/>
    </row>
    <row r="32" spans="1:15" ht="15.75">
      <c r="A32" s="64" t="s">
        <v>14</v>
      </c>
      <c r="B32" s="65" t="s">
        <v>0</v>
      </c>
      <c r="C32" s="65"/>
      <c r="D32" s="65"/>
      <c r="E32" s="66">
        <f t="shared" si="3"/>
        <v>518.44000000000005</v>
      </c>
      <c r="F32" s="67">
        <v>89511.383333333331</v>
      </c>
      <c r="G32" s="66">
        <f>MAX(($D$29-F32)/((DATE(LEFT('Planning Parameters'!$A$1,4)*1+1,5,31)-(DATE(LEFT('Planning Parameters'!$A$1,4)*1,6,1))+1)),0)</f>
        <v>159.14689497716896</v>
      </c>
      <c r="H32" s="66">
        <f t="shared" si="4"/>
        <v>204.03</v>
      </c>
      <c r="I32" s="70" t="s">
        <v>99</v>
      </c>
      <c r="K32" s="141"/>
      <c r="N32" s="141"/>
      <c r="O32" s="141"/>
    </row>
    <row r="33" spans="1:15" ht="15.75">
      <c r="A33" s="64" t="s">
        <v>19</v>
      </c>
      <c r="B33" s="65"/>
      <c r="C33" s="65"/>
      <c r="D33" s="65"/>
      <c r="E33" s="66">
        <f t="shared" si="3"/>
        <v>518.44000000000005</v>
      </c>
      <c r="F33" s="67">
        <v>101270.46666666666</v>
      </c>
      <c r="G33" s="66">
        <f>MAX(($D$29-F33)/((DATE(LEFT('Planning Parameters'!$A$1,4)*1+1,5,31)-(DATE(LEFT('Planning Parameters'!$A$1,4)*1,6,1))+1)),0)</f>
        <v>126.9302283105023</v>
      </c>
      <c r="H33" s="66">
        <f t="shared" si="4"/>
        <v>162.72999999999999</v>
      </c>
      <c r="I33" s="69" t="s">
        <v>19</v>
      </c>
      <c r="K33" s="141"/>
      <c r="N33" s="141"/>
      <c r="O33" s="141"/>
    </row>
    <row r="34" spans="1:15" ht="15.75">
      <c r="A34" s="64" t="s">
        <v>20</v>
      </c>
      <c r="B34" s="65"/>
      <c r="C34" s="65"/>
      <c r="D34" s="65"/>
      <c r="E34" s="66">
        <f t="shared" si="3"/>
        <v>518.44000000000005</v>
      </c>
      <c r="F34" s="67">
        <v>92307.283333333326</v>
      </c>
      <c r="G34" s="66">
        <f>MAX(($D$29-F34)/((DATE(LEFT('Planning Parameters'!$A$1,4)*1+1,5,31)-(DATE(LEFT('Planning Parameters'!$A$1,4)*1,6,1))+1)),0)</f>
        <v>151.48689497716896</v>
      </c>
      <c r="H34" s="66">
        <f t="shared" si="4"/>
        <v>194.21</v>
      </c>
      <c r="I34" s="69" t="s">
        <v>20</v>
      </c>
      <c r="K34" s="141"/>
      <c r="N34" s="141"/>
      <c r="O34" s="141"/>
    </row>
    <row r="35" spans="1:15" ht="15.75">
      <c r="A35" s="64" t="s">
        <v>60</v>
      </c>
      <c r="B35" s="65"/>
      <c r="C35" s="65"/>
      <c r="D35" s="65"/>
      <c r="E35" s="66">
        <f t="shared" si="3"/>
        <v>518.44000000000005</v>
      </c>
      <c r="F35" s="67">
        <v>77730.400000000009</v>
      </c>
      <c r="G35" s="66">
        <f>MAX(($D$29-F35)/((DATE(LEFT('Planning Parameters'!$A$1,4)*1+1,5,31)-(DATE(LEFT('Planning Parameters'!$A$1,4)*1,6,1))+1)),0)</f>
        <v>191.4235616438356</v>
      </c>
      <c r="H35" s="66">
        <f t="shared" si="4"/>
        <v>245.41</v>
      </c>
      <c r="I35" s="68"/>
      <c r="K35" s="141"/>
      <c r="N35" s="141"/>
      <c r="O35" s="141"/>
    </row>
    <row r="36" spans="1:15" ht="15.75">
      <c r="A36" s="64" t="s">
        <v>61</v>
      </c>
      <c r="B36" s="65"/>
      <c r="C36" s="65"/>
      <c r="D36" s="65"/>
      <c r="E36" s="66">
        <f t="shared" si="3"/>
        <v>518.44000000000005</v>
      </c>
      <c r="F36" s="67">
        <v>105910.83333333334</v>
      </c>
      <c r="G36" s="66">
        <f>MAX(($D$29-F36)/((DATE(LEFT('Planning Parameters'!$A$1,4)*1+1,5,31)-(DATE(LEFT('Planning Parameters'!$A$1,4)*1,6,1))+1)),0)</f>
        <v>114.21689497716892</v>
      </c>
      <c r="H36" s="66">
        <f t="shared" si="4"/>
        <v>146.43</v>
      </c>
      <c r="I36" s="69" t="s">
        <v>61</v>
      </c>
      <c r="K36" s="141"/>
      <c r="N36" s="141"/>
      <c r="O36" s="141"/>
    </row>
    <row r="37" spans="1:15" ht="15.75">
      <c r="A37" s="64" t="s">
        <v>63</v>
      </c>
      <c r="B37" s="65"/>
      <c r="C37" s="65"/>
      <c r="D37" s="65"/>
      <c r="E37" s="66">
        <f t="shared" si="3"/>
        <v>518.44000000000005</v>
      </c>
      <c r="F37" s="67">
        <v>87613.383333333317</v>
      </c>
      <c r="G37" s="66">
        <f>MAX(($D$29-F37)/((DATE(LEFT('Planning Parameters'!$A$1,4)*1+1,5,31)-(DATE(LEFT('Planning Parameters'!$A$1,4)*1,6,1))+1)),0)</f>
        <v>164.346894977169</v>
      </c>
      <c r="H37" s="66">
        <f t="shared" si="4"/>
        <v>210.7</v>
      </c>
      <c r="I37" s="68"/>
      <c r="K37" s="141"/>
      <c r="N37" s="141"/>
      <c r="O37" s="141"/>
    </row>
    <row r="38" spans="1:15" ht="16.5" thickBot="1">
      <c r="A38" s="64" t="s">
        <v>66</v>
      </c>
      <c r="B38" s="65"/>
      <c r="C38" s="65"/>
      <c r="D38" s="65"/>
      <c r="E38" s="66">
        <f t="shared" si="3"/>
        <v>518.44000000000005</v>
      </c>
      <c r="F38" s="79">
        <v>87331.116666666669</v>
      </c>
      <c r="G38" s="66">
        <f>MAX(($D$29-F38)/((DATE(LEFT('Planning Parameters'!$A$1,4)*1+1,5,31)-(DATE(LEFT('Planning Parameters'!$A$1,4)*1,6,1))+1)),0)</f>
        <v>165.12022831050228</v>
      </c>
      <c r="H38" s="66">
        <f>MAX(ROUND(G38/$H$4,2),0)</f>
        <v>211.69</v>
      </c>
      <c r="I38" s="68"/>
      <c r="K38" s="141"/>
      <c r="N38" s="141"/>
      <c r="O38" s="141"/>
    </row>
    <row r="39" spans="1:15" ht="15.75">
      <c r="A39" s="57" t="s">
        <v>111</v>
      </c>
      <c r="B39" s="58">
        <v>150800</v>
      </c>
      <c r="C39" s="59" t="s">
        <v>22</v>
      </c>
      <c r="D39" s="58">
        <v>150800</v>
      </c>
      <c r="E39" s="60">
        <f>ROUND(D39/(((DATE(LEFT('Planning Parameters'!$A$1,4)*1+1,5,31)-(DATE(LEFT('Planning Parameters'!$A$1,4)*1,6,1))+1))*$H$4),2)</f>
        <v>529.67999999999995</v>
      </c>
      <c r="F39" s="76"/>
      <c r="G39" s="60"/>
      <c r="H39" s="77"/>
      <c r="I39" s="63"/>
      <c r="K39" s="141"/>
      <c r="N39" s="141"/>
      <c r="O39" s="141"/>
    </row>
    <row r="40" spans="1:15" ht="16.5" thickBot="1">
      <c r="A40" s="125" t="s">
        <v>16</v>
      </c>
      <c r="B40" s="126"/>
      <c r="C40" s="126"/>
      <c r="D40" s="126"/>
      <c r="E40" s="128">
        <f>E39</f>
        <v>529.67999999999995</v>
      </c>
      <c r="F40" s="127">
        <v>50514.78333333334</v>
      </c>
      <c r="G40" s="66">
        <f>MAX(($D$39-F40)/((DATE(LEFT('Planning Parameters'!$A$1,4)*1+1,5,31)-(DATE(LEFT('Planning Parameters'!$A$1,4)*1,6,1))+1)),0)</f>
        <v>274.75401826484017</v>
      </c>
      <c r="H40" s="66">
        <f>MAX(ROUND(G40/$H$4,2),0)</f>
        <v>352.25</v>
      </c>
      <c r="I40" s="69" t="s">
        <v>16</v>
      </c>
      <c r="K40" s="141"/>
      <c r="N40" s="141"/>
      <c r="O40" s="141"/>
    </row>
    <row r="41" spans="1:15" ht="16.5" thickBot="1">
      <c r="A41" s="80" t="s">
        <v>1</v>
      </c>
      <c r="B41" s="81">
        <f>AVERAGE(B12,B20,B24,B29,B39)</f>
        <v>143980</v>
      </c>
      <c r="C41" s="81"/>
      <c r="D41" s="81">
        <f>AVERAGE(D12,D20,D24,D29,D39)</f>
        <v>143980</v>
      </c>
      <c r="E41" s="82">
        <f>ROUND(D41/(((DATE(LEFT('Planning Parameters'!$A$1,4)*1+1,5,31)-(DATE(LEFT('Planning Parameters'!$A$1,4)*1,6,1))+1))*$H$4),2)</f>
        <v>505.73</v>
      </c>
      <c r="F41" s="83">
        <v>83583.78333333334</v>
      </c>
      <c r="G41" s="82">
        <f>MAX(($D$41-F41)/((DATE(LEFT('Planning Parameters'!$A$1,4)*1+1,5,31)-(DATE(LEFT('Planning Parameters'!$A$1,4)*1,6,1))+1)),0)</f>
        <v>165.46908675799085</v>
      </c>
      <c r="H41" s="82">
        <f>MAX(ROUND(G41/$H$4,2),0)</f>
        <v>212.14</v>
      </c>
      <c r="I41" s="84" t="s">
        <v>1</v>
      </c>
      <c r="K41" s="141"/>
      <c r="N41" s="141"/>
      <c r="O41" s="141"/>
    </row>
    <row r="42" spans="1:15">
      <c r="A42" s="85" t="s">
        <v>0</v>
      </c>
      <c r="B42" s="86"/>
      <c r="C42" s="86"/>
      <c r="D42" s="86"/>
      <c r="E42" s="86"/>
      <c r="F42" s="87"/>
      <c r="G42" s="86"/>
      <c r="H42" s="86"/>
      <c r="I42" s="86"/>
      <c r="J42" s="86"/>
      <c r="K42" s="86"/>
    </row>
    <row r="43" spans="1:15">
      <c r="E43" s="51"/>
      <c r="F43" s="51"/>
      <c r="H43" s="141"/>
    </row>
    <row r="44" spans="1:15" ht="15.75" thickBot="1">
      <c r="A44" t="s">
        <v>114</v>
      </c>
    </row>
    <row r="45" spans="1:15" ht="15.75" thickBot="1">
      <c r="A45" s="253" t="s">
        <v>146</v>
      </c>
      <c r="B45" s="254"/>
      <c r="C45" s="254"/>
      <c r="D45" s="254"/>
      <c r="E45" s="254"/>
      <c r="F45" s="254"/>
      <c r="G45" s="254"/>
      <c r="H45" s="254"/>
      <c r="I45" s="254"/>
      <c r="J45" s="255"/>
    </row>
  </sheetData>
  <mergeCells count="9">
    <mergeCell ref="A7:H7"/>
    <mergeCell ref="A8:H8"/>
    <mergeCell ref="A45:J45"/>
    <mergeCell ref="A2:H2"/>
    <mergeCell ref="A3:H3"/>
    <mergeCell ref="A4:G4"/>
    <mergeCell ref="A5:H5"/>
    <mergeCell ref="A6:H6"/>
    <mergeCell ref="A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sqref="A1:C1"/>
    </sheetView>
  </sheetViews>
  <sheetFormatPr defaultRowHeight="15"/>
  <cols>
    <col min="1" max="1" width="12.85546875" customWidth="1"/>
    <col min="2" max="2" width="100.85546875" customWidth="1"/>
    <col min="3" max="3" width="15.85546875" customWidth="1"/>
  </cols>
  <sheetData>
    <row r="1" spans="1:7" ht="18">
      <c r="A1" s="240" t="s">
        <v>128</v>
      </c>
      <c r="B1" s="241"/>
      <c r="C1" s="242"/>
    </row>
    <row r="2" spans="1:7" ht="30.75" thickBot="1">
      <c r="A2" s="102" t="s">
        <v>100</v>
      </c>
      <c r="B2" s="149" t="s">
        <v>101</v>
      </c>
      <c r="C2" s="103" t="s">
        <v>102</v>
      </c>
      <c r="E2" s="101"/>
      <c r="F2" s="101"/>
      <c r="G2" s="101"/>
    </row>
    <row r="3" spans="1:7" ht="45.75" thickBot="1">
      <c r="A3" s="176" t="s">
        <v>129</v>
      </c>
      <c r="B3" s="177" t="s">
        <v>130</v>
      </c>
      <c r="C3" s="174" t="s">
        <v>103</v>
      </c>
    </row>
    <row r="4" spans="1:7" ht="45.75" thickBot="1">
      <c r="A4" s="178" t="s">
        <v>131</v>
      </c>
      <c r="B4" s="179" t="s">
        <v>132</v>
      </c>
      <c r="C4" s="175" t="s">
        <v>103</v>
      </c>
    </row>
    <row r="5" spans="1:7" ht="30">
      <c r="A5" s="243" t="s">
        <v>133</v>
      </c>
      <c r="B5" s="180" t="s">
        <v>134</v>
      </c>
      <c r="C5" s="246" t="s">
        <v>103</v>
      </c>
    </row>
    <row r="6" spans="1:7" ht="60">
      <c r="A6" s="244"/>
      <c r="B6" s="181" t="s">
        <v>135</v>
      </c>
      <c r="C6" s="247"/>
    </row>
    <row r="7" spans="1:7" ht="60">
      <c r="A7" s="244"/>
      <c r="B7" s="181" t="s">
        <v>136</v>
      </c>
      <c r="C7" s="247"/>
    </row>
    <row r="8" spans="1:7" ht="30.75" thickBot="1">
      <c r="A8" s="245"/>
      <c r="B8" s="182" t="s">
        <v>137</v>
      </c>
      <c r="C8" s="248"/>
    </row>
    <row r="9" spans="1:7" ht="15.75" thickBot="1">
      <c r="A9" s="185" t="s">
        <v>169</v>
      </c>
      <c r="B9" s="186" t="s">
        <v>170</v>
      </c>
      <c r="C9" s="185" t="s">
        <v>103</v>
      </c>
    </row>
    <row r="10" spans="1:7" ht="30" customHeight="1" thickBot="1">
      <c r="A10" s="173" t="s">
        <v>165</v>
      </c>
      <c r="B10" s="183" t="s">
        <v>166</v>
      </c>
      <c r="C10" s="173" t="s">
        <v>103</v>
      </c>
    </row>
    <row r="11" spans="1:7" ht="15.75" thickBot="1">
      <c r="A11" s="173" t="s">
        <v>167</v>
      </c>
      <c r="B11" s="184" t="s">
        <v>168</v>
      </c>
      <c r="C11" s="173" t="s">
        <v>62</v>
      </c>
    </row>
    <row r="12" spans="1:7">
      <c r="C12" s="143"/>
    </row>
    <row r="13" spans="1:7" ht="15.75" thickBot="1">
      <c r="C13" s="143"/>
    </row>
    <row r="14" spans="1:7" ht="18.75" thickBot="1">
      <c r="A14" s="249" t="s">
        <v>138</v>
      </c>
      <c r="B14" s="250"/>
      <c r="C14" s="251"/>
    </row>
    <row r="15" spans="1:7" ht="30.75" thickBot="1">
      <c r="A15" s="95" t="s">
        <v>100</v>
      </c>
      <c r="B15" s="96" t="s">
        <v>101</v>
      </c>
      <c r="C15" s="97" t="s">
        <v>102</v>
      </c>
    </row>
    <row r="16" spans="1:7">
      <c r="A16" s="100" t="s">
        <v>104</v>
      </c>
      <c r="B16" s="98"/>
      <c r="C16" s="99"/>
    </row>
  </sheetData>
  <mergeCells count="4">
    <mergeCell ref="A1:C1"/>
    <mergeCell ref="A5:A8"/>
    <mergeCell ref="C5:C8"/>
    <mergeCell ref="A14:C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Planning Parameters</vt:lpstr>
      <vt:lpstr>Net CONE</vt:lpstr>
      <vt:lpstr>Key Transmission Upgrades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Marzewski, Skyler</dc:creator>
  <cp:lastModifiedBy>Hayik, Seth A.</cp:lastModifiedBy>
  <dcterms:created xsi:type="dcterms:W3CDTF">2021-08-09T11:52:54Z</dcterms:created>
  <dcterms:modified xsi:type="dcterms:W3CDTF">2025-04-28T17:22:29Z</dcterms:modified>
</cp:coreProperties>
</file>