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Hayiks\Downloads\"/>
    </mc:Choice>
  </mc:AlternateContent>
  <xr:revisionPtr revIDLastSave="0" documentId="13_ncr:1_{0509840B-3278-4DAF-AE15-D52802D0EFED}" xr6:coauthVersionLast="47" xr6:coauthVersionMax="47" xr10:uidLastSave="{00000000-0000-0000-0000-000000000000}"/>
  <bookViews>
    <workbookView xWindow="-120" yWindow="-120" windowWidth="29040" windowHeight="15720" tabRatio="848" xr2:uid="{00000000-000D-0000-FFFF-FFFF00000000}"/>
  </bookViews>
  <sheets>
    <sheet name="Summary" sheetId="7" r:id="rId1"/>
    <sheet name="Pricing Points" sheetId="39" r:id="rId2"/>
    <sheet name="BRA Resource Clearing Results" sheetId="25" r:id="rId3"/>
    <sheet name="BRA Load Pricing Results" sheetId="30" r:id="rId4"/>
    <sheet name="BRA CTRs" sheetId="2" r:id="rId5"/>
    <sheet name="BRA ICTRs" sheetId="3" r:id="rId6"/>
  </sheets>
  <definedNames>
    <definedName name="FPR">'BRA Load Pricing Results'!$B$7</definedName>
    <definedName name="OPL_ScalingFactor">'BRA Load Pricing Results'!$B$9</definedName>
    <definedName name="_xlnm.Print_Area" localSheetId="4">'BRA CTRs'!$A$1:$AJ$51</definedName>
    <definedName name="_xlnm.Print_Area" localSheetId="5">'BRA ICTRs'!$A$1:$AK$104</definedName>
    <definedName name="_xlnm.Print_Area" localSheetId="0">Summary!#REF!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K59" i="30"/>
  <c r="E29" i="25" l="1"/>
  <c r="D14" i="25"/>
  <c r="H12" i="2"/>
  <c r="H9" i="2"/>
  <c r="E64" i="30" l="1"/>
  <c r="F44" i="30" l="1"/>
  <c r="C48" i="3" l="1"/>
  <c r="H64" i="30" l="1"/>
  <c r="F45" i="30"/>
  <c r="F46" i="30"/>
  <c r="F47" i="30"/>
  <c r="F48" i="30"/>
  <c r="F49" i="30"/>
  <c r="F50" i="30"/>
  <c r="F51" i="30"/>
  <c r="F52" i="30"/>
  <c r="F53" i="30"/>
  <c r="F54" i="30"/>
  <c r="F55" i="30"/>
  <c r="F56" i="30"/>
  <c r="F57" i="30"/>
  <c r="F58" i="30"/>
  <c r="F59" i="30"/>
  <c r="F60" i="30"/>
  <c r="F61" i="30"/>
  <c r="F62" i="30"/>
  <c r="F63" i="30"/>
  <c r="F43" i="30"/>
  <c r="F23" i="2" l="1"/>
  <c r="B48" i="3" l="1"/>
  <c r="L48" i="3" l="1"/>
  <c r="K15" i="3"/>
  <c r="L34" i="3"/>
  <c r="L15" i="3"/>
  <c r="H15" i="3"/>
  <c r="J15" i="3"/>
  <c r="I15" i="3"/>
  <c r="G15" i="3"/>
  <c r="F15" i="3"/>
  <c r="E15" i="3"/>
  <c r="D15" i="3"/>
  <c r="C15" i="3"/>
  <c r="B15" i="3"/>
  <c r="L50" i="3" l="1"/>
  <c r="H17" i="2"/>
  <c r="J23" i="2" l="1"/>
  <c r="AE25" i="2" l="1"/>
  <c r="AE26" i="2"/>
  <c r="AE27" i="2"/>
  <c r="AE28" i="2"/>
  <c r="AE29" i="2"/>
  <c r="AE30" i="2"/>
  <c r="AE31" i="2"/>
  <c r="AE32" i="2"/>
  <c r="AE33" i="2"/>
  <c r="AE34" i="2"/>
  <c r="AE35" i="2"/>
  <c r="AE36" i="2"/>
  <c r="AE38" i="2"/>
  <c r="AE39" i="2"/>
  <c r="AE40" i="2"/>
  <c r="AE41" i="2"/>
  <c r="AE42" i="2"/>
  <c r="AE43" i="2"/>
  <c r="AE44" i="2"/>
  <c r="AE45" i="2"/>
  <c r="AC25" i="2" l="1"/>
  <c r="E18" i="2"/>
  <c r="F88" i="25"/>
  <c r="E88" i="25"/>
  <c r="D88" i="25"/>
  <c r="B86" i="25"/>
  <c r="B87" i="25"/>
  <c r="B65" i="25"/>
  <c r="D25" i="30"/>
  <c r="B49" i="25" l="1"/>
  <c r="B57" i="25"/>
  <c r="B53" i="25"/>
  <c r="B52" i="25"/>
  <c r="B51" i="25"/>
  <c r="AF23" i="2"/>
  <c r="AF27" i="2" s="1"/>
  <c r="C107" i="25"/>
  <c r="D107" i="25" s="1"/>
  <c r="E44" i="25"/>
  <c r="C65" i="25" s="1"/>
  <c r="D65" i="25" s="1"/>
  <c r="C18" i="2" s="1"/>
  <c r="B50" i="25"/>
  <c r="F44" i="25" l="1"/>
  <c r="AF25" i="2"/>
  <c r="AF41" i="2"/>
  <c r="AF32" i="2"/>
  <c r="AF29" i="2"/>
  <c r="AF35" i="2"/>
  <c r="AF31" i="2"/>
  <c r="AF26" i="2"/>
  <c r="AF42" i="2"/>
  <c r="AF38" i="2"/>
  <c r="AF40" i="2"/>
  <c r="AF30" i="2"/>
  <c r="AF28" i="2"/>
  <c r="AF43" i="2"/>
  <c r="AF39" i="2"/>
  <c r="AF44" i="2"/>
  <c r="AF33" i="2"/>
  <c r="AF45" i="2"/>
  <c r="AF34" i="2"/>
  <c r="AF36" i="2"/>
  <c r="B42" i="7" l="1"/>
  <c r="AC26" i="2"/>
  <c r="AC27" i="2"/>
  <c r="AC28" i="2"/>
  <c r="AC29" i="2"/>
  <c r="AC30" i="2"/>
  <c r="AC31" i="2"/>
  <c r="AC32" i="2"/>
  <c r="AC33" i="2"/>
  <c r="AC35" i="2"/>
  <c r="AC36" i="2"/>
  <c r="AC37" i="2"/>
  <c r="AC38" i="2"/>
  <c r="AC39" i="2"/>
  <c r="AC40" i="2"/>
  <c r="AC41" i="2"/>
  <c r="AC42" i="2"/>
  <c r="AC43" i="2"/>
  <c r="AC44" i="2"/>
  <c r="AC45" i="2"/>
  <c r="D24" i="30" l="1"/>
  <c r="L57" i="3" l="1"/>
  <c r="AD23" i="2"/>
  <c r="B103" i="3" l="1"/>
  <c r="L70" i="3"/>
  <c r="L62" i="3"/>
  <c r="L83" i="3"/>
  <c r="L65" i="3"/>
  <c r="L81" i="3"/>
  <c r="L68" i="3"/>
  <c r="L71" i="3"/>
  <c r="L74" i="3"/>
  <c r="L72" i="3"/>
  <c r="L80" i="3"/>
  <c r="L78" i="3"/>
  <c r="L73" i="3"/>
  <c r="L66" i="3"/>
  <c r="L63" i="3"/>
  <c r="L79" i="3"/>
  <c r="L67" i="3"/>
  <c r="L82" i="3"/>
  <c r="L77" i="3"/>
  <c r="L75" i="3"/>
  <c r="L60" i="3"/>
  <c r="L76" i="3"/>
  <c r="L61" i="3"/>
  <c r="L64" i="3"/>
  <c r="L59" i="3"/>
  <c r="L69" i="3"/>
  <c r="AD26" i="2"/>
  <c r="AD25" i="2"/>
  <c r="AD27" i="2"/>
  <c r="AD30" i="2"/>
  <c r="E17" i="2"/>
  <c r="L84" i="3" l="1"/>
  <c r="C103" i="3" s="1"/>
  <c r="AD31" i="2"/>
  <c r="AD28" i="2"/>
  <c r="AD33" i="2"/>
  <c r="AD29" i="2"/>
  <c r="C106" i="25"/>
  <c r="D106" i="25" s="1"/>
  <c r="B85" i="25"/>
  <c r="B71" i="25" l="1"/>
  <c r="B63" i="25"/>
  <c r="B64" i="25"/>
  <c r="AD36" i="2"/>
  <c r="AD32" i="2"/>
  <c r="AD37" i="2"/>
  <c r="E43" i="25"/>
  <c r="C64" i="25" s="1"/>
  <c r="F43" i="25" l="1"/>
  <c r="D64" i="25"/>
  <c r="C17" i="2" s="1"/>
  <c r="AD40" i="2"/>
  <c r="AD43" i="2"/>
  <c r="AD39" i="2"/>
  <c r="AD35" i="2"/>
  <c r="B41" i="7" l="1"/>
  <c r="AD42" i="2"/>
  <c r="AD45" i="2"/>
  <c r="AD38" i="2"/>
  <c r="AA45" i="2"/>
  <c r="Y45" i="2"/>
  <c r="W45" i="2"/>
  <c r="U45" i="2"/>
  <c r="S45" i="2"/>
  <c r="Q45" i="2"/>
  <c r="O45" i="2"/>
  <c r="M45" i="2"/>
  <c r="K45" i="2"/>
  <c r="I45" i="2"/>
  <c r="AA44" i="2"/>
  <c r="Y44" i="2"/>
  <c r="W44" i="2"/>
  <c r="U44" i="2"/>
  <c r="S44" i="2"/>
  <c r="Q44" i="2"/>
  <c r="O44" i="2"/>
  <c r="M44" i="2"/>
  <c r="I44" i="2"/>
  <c r="AA43" i="2"/>
  <c r="Y43" i="2"/>
  <c r="U43" i="2"/>
  <c r="S43" i="2"/>
  <c r="Q43" i="2"/>
  <c r="O43" i="2"/>
  <c r="M43" i="2"/>
  <c r="K43" i="2"/>
  <c r="I43" i="2"/>
  <c r="G43" i="2"/>
  <c r="AA42" i="2"/>
  <c r="Y42" i="2"/>
  <c r="W42" i="2"/>
  <c r="U42" i="2"/>
  <c r="S42" i="2"/>
  <c r="Q42" i="2"/>
  <c r="M42" i="2"/>
  <c r="K42" i="2"/>
  <c r="G42" i="2"/>
  <c r="AA41" i="2"/>
  <c r="Y41" i="2"/>
  <c r="W41" i="2"/>
  <c r="U41" i="2"/>
  <c r="S41" i="2"/>
  <c r="Q41" i="2"/>
  <c r="O41" i="2"/>
  <c r="M41" i="2"/>
  <c r="K41" i="2"/>
  <c r="I41" i="2"/>
  <c r="G41" i="2"/>
  <c r="AA40" i="2"/>
  <c r="Y40" i="2"/>
  <c r="W40" i="2"/>
  <c r="U40" i="2"/>
  <c r="S40" i="2"/>
  <c r="Q40" i="2"/>
  <c r="O40" i="2"/>
  <c r="M40" i="2"/>
  <c r="K40" i="2"/>
  <c r="I40" i="2"/>
  <c r="AA39" i="2"/>
  <c r="Y39" i="2"/>
  <c r="W39" i="2"/>
  <c r="U39" i="2"/>
  <c r="S39" i="2"/>
  <c r="Q39" i="2"/>
  <c r="O39" i="2"/>
  <c r="M39" i="2"/>
  <c r="K39" i="2"/>
  <c r="I39" i="2"/>
  <c r="G39" i="2"/>
  <c r="E39" i="2"/>
  <c r="AA38" i="2"/>
  <c r="Y38" i="2"/>
  <c r="W38" i="2"/>
  <c r="U38" i="2"/>
  <c r="S38" i="2"/>
  <c r="Q38" i="2"/>
  <c r="O38" i="2"/>
  <c r="M38" i="2"/>
  <c r="K38" i="2"/>
  <c r="I38" i="2"/>
  <c r="G38" i="2"/>
  <c r="AA37" i="2"/>
  <c r="Y37" i="2"/>
  <c r="W37" i="2"/>
  <c r="U37" i="2"/>
  <c r="S37" i="2"/>
  <c r="Q37" i="2"/>
  <c r="O37" i="2"/>
  <c r="M37" i="2"/>
  <c r="K37" i="2"/>
  <c r="I37" i="2"/>
  <c r="AA36" i="2"/>
  <c r="Y36" i="2"/>
  <c r="W36" i="2"/>
  <c r="U36" i="2"/>
  <c r="S36" i="2"/>
  <c r="Q36" i="2"/>
  <c r="O36" i="2"/>
  <c r="M36" i="2"/>
  <c r="K36" i="2"/>
  <c r="I36" i="2"/>
  <c r="G36" i="2"/>
  <c r="E36" i="2"/>
  <c r="AA35" i="2"/>
  <c r="Y35" i="2"/>
  <c r="W35" i="2"/>
  <c r="U35" i="2"/>
  <c r="S35" i="2"/>
  <c r="Q35" i="2"/>
  <c r="O35" i="2"/>
  <c r="K35" i="2"/>
  <c r="I35" i="2"/>
  <c r="AA34" i="2"/>
  <c r="Y34" i="2"/>
  <c r="W34" i="2"/>
  <c r="U34" i="2"/>
  <c r="S34" i="2"/>
  <c r="Q34" i="2"/>
  <c r="O34" i="2"/>
  <c r="M34" i="2"/>
  <c r="K34" i="2"/>
  <c r="I34" i="2"/>
  <c r="G34" i="2"/>
  <c r="E34" i="2"/>
  <c r="AA33" i="2"/>
  <c r="Y33" i="2"/>
  <c r="W33" i="2"/>
  <c r="U33" i="2"/>
  <c r="S33" i="2"/>
  <c r="Q33" i="2"/>
  <c r="O33" i="2"/>
  <c r="M33" i="2"/>
  <c r="K33" i="2"/>
  <c r="I33" i="2"/>
  <c r="G33" i="2"/>
  <c r="E33" i="2"/>
  <c r="Y32" i="2"/>
  <c r="W32" i="2"/>
  <c r="U32" i="2"/>
  <c r="S32" i="2"/>
  <c r="Q32" i="2"/>
  <c r="O32" i="2"/>
  <c r="M32" i="2"/>
  <c r="K32" i="2"/>
  <c r="I32" i="2"/>
  <c r="G32" i="2"/>
  <c r="E32" i="2"/>
  <c r="AA31" i="2"/>
  <c r="W31" i="2"/>
  <c r="U31" i="2"/>
  <c r="S31" i="2"/>
  <c r="Q31" i="2"/>
  <c r="O31" i="2"/>
  <c r="M31" i="2"/>
  <c r="K31" i="2"/>
  <c r="I31" i="2"/>
  <c r="G31" i="2"/>
  <c r="E31" i="2"/>
  <c r="AA30" i="2"/>
  <c r="Y30" i="2"/>
  <c r="W30" i="2"/>
  <c r="U30" i="2"/>
  <c r="Q30" i="2"/>
  <c r="O30" i="2"/>
  <c r="M30" i="2"/>
  <c r="K30" i="2"/>
  <c r="I30" i="2"/>
  <c r="G30" i="2"/>
  <c r="E30" i="2"/>
  <c r="AA29" i="2"/>
  <c r="Y29" i="2"/>
  <c r="W29" i="2"/>
  <c r="S29" i="2"/>
  <c r="Q29" i="2"/>
  <c r="O29" i="2"/>
  <c r="M29" i="2"/>
  <c r="K29" i="2"/>
  <c r="G29" i="2"/>
  <c r="AA28" i="2"/>
  <c r="Y28" i="2"/>
  <c r="W28" i="2"/>
  <c r="U28" i="2"/>
  <c r="S28" i="2"/>
  <c r="O28" i="2"/>
  <c r="M28" i="2"/>
  <c r="K28" i="2"/>
  <c r="I28" i="2"/>
  <c r="G28" i="2"/>
  <c r="E28" i="2"/>
  <c r="AA27" i="2"/>
  <c r="Y27" i="2"/>
  <c r="W27" i="2"/>
  <c r="U27" i="2"/>
  <c r="S27" i="2"/>
  <c r="Q27" i="2"/>
  <c r="O27" i="2"/>
  <c r="M27" i="2"/>
  <c r="K27" i="2"/>
  <c r="I27" i="2"/>
  <c r="G27" i="2"/>
  <c r="E27" i="2"/>
  <c r="AA26" i="2"/>
  <c r="Y26" i="2"/>
  <c r="W26" i="2"/>
  <c r="U26" i="2"/>
  <c r="S26" i="2"/>
  <c r="Q26" i="2"/>
  <c r="O26" i="2"/>
  <c r="M26" i="2"/>
  <c r="K26" i="2"/>
  <c r="I26" i="2"/>
  <c r="G26" i="2"/>
  <c r="E26" i="2"/>
  <c r="AA25" i="2"/>
  <c r="Y25" i="2"/>
  <c r="W25" i="2"/>
  <c r="U25" i="2"/>
  <c r="S25" i="2"/>
  <c r="Q25" i="2"/>
  <c r="O25" i="2"/>
  <c r="M25" i="2"/>
  <c r="K25" i="2"/>
  <c r="I25" i="2"/>
  <c r="AG27" i="2" l="1"/>
  <c r="AJ27" i="2" s="1"/>
  <c r="AG33" i="2"/>
  <c r="AJ33" i="2" s="1"/>
  <c r="AG36" i="2"/>
  <c r="AJ36" i="2" s="1"/>
  <c r="AG39" i="2"/>
  <c r="AJ39" i="2" s="1"/>
  <c r="AG26" i="2"/>
  <c r="AJ26" i="2" s="1"/>
  <c r="AD41" i="2"/>
  <c r="AD44" i="2"/>
  <c r="E16" i="2" l="1"/>
  <c r="E15" i="2"/>
  <c r="E14" i="2"/>
  <c r="E13" i="2"/>
  <c r="E12" i="2"/>
  <c r="E10" i="2"/>
  <c r="E7" i="2"/>
  <c r="E6" i="2"/>
  <c r="E5" i="2"/>
  <c r="G64" i="30"/>
  <c r="D14" i="30"/>
  <c r="B84" i="25"/>
  <c r="B62" i="25"/>
  <c r="B83" i="25"/>
  <c r="B61" i="25"/>
  <c r="B82" i="25"/>
  <c r="B60" i="25"/>
  <c r="B81" i="25"/>
  <c r="B59" i="25"/>
  <c r="B80" i="25"/>
  <c r="B58" i="25"/>
  <c r="B78" i="25"/>
  <c r="B77" i="25"/>
  <c r="B55" i="25"/>
  <c r="B76" i="25"/>
  <c r="B54" i="25"/>
  <c r="B74" i="25"/>
  <c r="AB23" i="2"/>
  <c r="Z23" i="2"/>
  <c r="X23" i="2"/>
  <c r="V23" i="2"/>
  <c r="T23" i="2"/>
  <c r="C100" i="25"/>
  <c r="D100" i="25" s="1"/>
  <c r="C99" i="25"/>
  <c r="D99" i="25" s="1"/>
  <c r="C98" i="25"/>
  <c r="D98" i="25" s="1"/>
  <c r="C97" i="25"/>
  <c r="D97" i="25" s="1"/>
  <c r="E9" i="2" s="1"/>
  <c r="C96" i="25"/>
  <c r="D96" i="25" s="1"/>
  <c r="C95" i="25"/>
  <c r="D95" i="25" s="1"/>
  <c r="C93" i="25"/>
  <c r="D93" i="25" s="1"/>
  <c r="D15" i="30"/>
  <c r="B21" i="25" l="1"/>
  <c r="D21" i="25" s="1"/>
  <c r="E65" i="25" s="1"/>
  <c r="D5" i="25"/>
  <c r="T34" i="2"/>
  <c r="B57" i="3"/>
  <c r="B93" i="3" s="1"/>
  <c r="B73" i="25"/>
  <c r="E31" i="25"/>
  <c r="F31" i="25" s="1"/>
  <c r="E39" i="25"/>
  <c r="C60" i="25" s="1"/>
  <c r="D60" i="25" s="1"/>
  <c r="B16" i="25"/>
  <c r="B20" i="25"/>
  <c r="E28" i="25"/>
  <c r="F28" i="25" s="1"/>
  <c r="E30" i="25"/>
  <c r="E32" i="25"/>
  <c r="F32" i="25" s="1"/>
  <c r="E34" i="25"/>
  <c r="F34" i="25" s="1"/>
  <c r="E36" i="25"/>
  <c r="F36" i="25" s="1"/>
  <c r="D19" i="30"/>
  <c r="B72" i="25"/>
  <c r="B17" i="25"/>
  <c r="D17" i="25" s="1"/>
  <c r="B75" i="25"/>
  <c r="B79" i="25"/>
  <c r="D16" i="30"/>
  <c r="C104" i="25"/>
  <c r="D104" i="25" s="1"/>
  <c r="H23" i="2"/>
  <c r="B13" i="25"/>
  <c r="D13" i="25" s="1"/>
  <c r="E33" i="25"/>
  <c r="E35" i="25"/>
  <c r="C56" i="25" s="1"/>
  <c r="C105" i="25"/>
  <c r="D105" i="25" s="1"/>
  <c r="D22" i="30"/>
  <c r="E11" i="2"/>
  <c r="E41" i="25"/>
  <c r="F41" i="25" s="1"/>
  <c r="D23" i="30"/>
  <c r="D18" i="30"/>
  <c r="B9" i="25"/>
  <c r="D9" i="25" s="1"/>
  <c r="E38" i="25"/>
  <c r="C92" i="25"/>
  <c r="D92" i="25" s="1"/>
  <c r="E8" i="2"/>
  <c r="E40" i="25"/>
  <c r="C61" i="25" s="1"/>
  <c r="D61" i="25" s="1"/>
  <c r="E42" i="25"/>
  <c r="F42" i="25" s="1"/>
  <c r="X44" i="2"/>
  <c r="X26" i="2"/>
  <c r="X32" i="2"/>
  <c r="X25" i="2"/>
  <c r="X41" i="2"/>
  <c r="X36" i="2"/>
  <c r="X30" i="2"/>
  <c r="X37" i="2"/>
  <c r="X31" i="2"/>
  <c r="X35" i="2"/>
  <c r="X33" i="2"/>
  <c r="X39" i="2"/>
  <c r="X34" i="2"/>
  <c r="X29" i="2"/>
  <c r="X27" i="2"/>
  <c r="X45" i="2"/>
  <c r="X28" i="2"/>
  <c r="X42" i="2"/>
  <c r="X40" i="2"/>
  <c r="X38" i="2"/>
  <c r="T35" i="2"/>
  <c r="T44" i="2"/>
  <c r="T28" i="2"/>
  <c r="T39" i="2"/>
  <c r="T38" i="2"/>
  <c r="T26" i="2"/>
  <c r="T32" i="2"/>
  <c r="T43" i="2"/>
  <c r="T41" i="2"/>
  <c r="T33" i="2"/>
  <c r="T42" i="2"/>
  <c r="T37" i="2"/>
  <c r="T36" i="2"/>
  <c r="T31" i="2"/>
  <c r="T45" i="2"/>
  <c r="T40" i="2"/>
  <c r="T27" i="2"/>
  <c r="T29" i="2"/>
  <c r="T25" i="2"/>
  <c r="V28" i="2"/>
  <c r="V38" i="2"/>
  <c r="V32" i="2"/>
  <c r="V45" i="2"/>
  <c r="V42" i="2"/>
  <c r="V40" i="2"/>
  <c r="V27" i="2"/>
  <c r="V36" i="2"/>
  <c r="V30" i="2"/>
  <c r="V34" i="2"/>
  <c r="V37" i="2"/>
  <c r="V43" i="2"/>
  <c r="V44" i="2"/>
  <c r="V33" i="2"/>
  <c r="V26" i="2"/>
  <c r="V41" i="2"/>
  <c r="V31" i="2"/>
  <c r="V35" i="2"/>
  <c r="V39" i="2"/>
  <c r="V25" i="2"/>
  <c r="B6" i="25"/>
  <c r="B14" i="25"/>
  <c r="B56" i="25"/>
  <c r="B66" i="25" s="1"/>
  <c r="C101" i="25"/>
  <c r="D101" i="25" s="1"/>
  <c r="D17" i="30"/>
  <c r="D21" i="30"/>
  <c r="P23" i="2"/>
  <c r="Z38" i="2"/>
  <c r="Z26" i="2"/>
  <c r="Z40" i="2"/>
  <c r="Z42" i="2"/>
  <c r="Z39" i="2"/>
  <c r="Z32" i="2"/>
  <c r="Z30" i="2"/>
  <c r="Z34" i="2"/>
  <c r="Z44" i="2"/>
  <c r="Z28" i="2"/>
  <c r="Z25" i="2"/>
  <c r="Z43" i="2"/>
  <c r="Z41" i="2"/>
  <c r="Z45" i="2"/>
  <c r="Z37" i="2"/>
  <c r="Z35" i="2"/>
  <c r="Z27" i="2"/>
  <c r="Z33" i="2"/>
  <c r="Z36" i="2"/>
  <c r="Z29" i="2"/>
  <c r="D20" i="30"/>
  <c r="B10" i="25"/>
  <c r="D10" i="25" s="1"/>
  <c r="B18" i="25"/>
  <c r="C94" i="25"/>
  <c r="D94" i="25" s="1"/>
  <c r="B11" i="25"/>
  <c r="D11" i="25" s="1"/>
  <c r="B19" i="25"/>
  <c r="D19" i="25" s="1"/>
  <c r="C102" i="25"/>
  <c r="D102" i="25" s="1"/>
  <c r="AB39" i="2"/>
  <c r="AB40" i="2"/>
  <c r="AB35" i="2"/>
  <c r="AB29" i="2"/>
  <c r="AB43" i="2"/>
  <c r="AB41" i="2"/>
  <c r="AB36" i="2"/>
  <c r="AB27" i="2"/>
  <c r="AB37" i="2"/>
  <c r="AB34" i="2"/>
  <c r="AB33" i="2"/>
  <c r="AB44" i="2"/>
  <c r="AB31" i="2"/>
  <c r="AB28" i="2"/>
  <c r="AB30" i="2"/>
  <c r="AB38" i="2"/>
  <c r="AB45" i="2"/>
  <c r="AB25" i="2"/>
  <c r="AB26" i="2"/>
  <c r="AB42" i="2"/>
  <c r="B7" i="25"/>
  <c r="B15" i="25"/>
  <c r="C14" i="30"/>
  <c r="B12" i="25"/>
  <c r="D12" i="25" s="1"/>
  <c r="E37" i="25"/>
  <c r="C103" i="25"/>
  <c r="D103" i="25" s="1"/>
  <c r="B8" i="25"/>
  <c r="B68" i="3" l="1"/>
  <c r="B76" i="3"/>
  <c r="B67" i="3"/>
  <c r="B74" i="3"/>
  <c r="B69" i="3"/>
  <c r="B77" i="3"/>
  <c r="B81" i="3"/>
  <c r="B75" i="3"/>
  <c r="B70" i="3"/>
  <c r="B78" i="3"/>
  <c r="B73" i="3"/>
  <c r="B82" i="3"/>
  <c r="B71" i="3"/>
  <c r="B79" i="3"/>
  <c r="B83" i="3"/>
  <c r="B72" i="3"/>
  <c r="B80" i="3"/>
  <c r="B65" i="3"/>
  <c r="B61" i="3"/>
  <c r="B59" i="3"/>
  <c r="B66" i="3"/>
  <c r="B60" i="3"/>
  <c r="B62" i="3"/>
  <c r="B63" i="3"/>
  <c r="B64" i="3"/>
  <c r="C87" i="25"/>
  <c r="C25" i="30"/>
  <c r="B21" i="7"/>
  <c r="B32" i="7"/>
  <c r="C59" i="25"/>
  <c r="D59" i="25" s="1"/>
  <c r="C20" i="30"/>
  <c r="D16" i="25"/>
  <c r="B34" i="7"/>
  <c r="B30" i="7"/>
  <c r="B39" i="7"/>
  <c r="K57" i="3"/>
  <c r="B102" i="3" s="1"/>
  <c r="J57" i="3"/>
  <c r="J65" i="3" s="1"/>
  <c r="D57" i="3"/>
  <c r="D64" i="3" s="1"/>
  <c r="B88" i="25"/>
  <c r="F30" i="25"/>
  <c r="C51" i="25"/>
  <c r="D51" i="25" s="1"/>
  <c r="H36" i="2"/>
  <c r="F32" i="2"/>
  <c r="B17" i="7"/>
  <c r="B10" i="7"/>
  <c r="B11" i="7"/>
  <c r="C85" i="25"/>
  <c r="B9" i="7"/>
  <c r="C49" i="25"/>
  <c r="D108" i="25"/>
  <c r="D20" i="25"/>
  <c r="C24" i="30"/>
  <c r="F39" i="25"/>
  <c r="C63" i="25"/>
  <c r="D63" i="25" s="1"/>
  <c r="E63" i="25" s="1"/>
  <c r="B40" i="7"/>
  <c r="D56" i="25"/>
  <c r="C53" i="25"/>
  <c r="D53" i="25" s="1"/>
  <c r="E53" i="25" s="1"/>
  <c r="C55" i="25"/>
  <c r="D55" i="25" s="1"/>
  <c r="E55" i="25" s="1"/>
  <c r="C21" i="30"/>
  <c r="C57" i="25"/>
  <c r="D57" i="25" s="1"/>
  <c r="E57" i="25" s="1"/>
  <c r="H39" i="2"/>
  <c r="H31" i="2"/>
  <c r="C83" i="25"/>
  <c r="H29" i="2"/>
  <c r="H41" i="2"/>
  <c r="H42" i="2"/>
  <c r="H26" i="2"/>
  <c r="H34" i="2"/>
  <c r="C79" i="25"/>
  <c r="F35" i="25"/>
  <c r="H27" i="2"/>
  <c r="H30" i="2"/>
  <c r="B13" i="7"/>
  <c r="H28" i="2"/>
  <c r="H43" i="2"/>
  <c r="F30" i="2"/>
  <c r="F38" i="25"/>
  <c r="F29" i="25"/>
  <c r="F40" i="25"/>
  <c r="C77" i="25"/>
  <c r="F36" i="2"/>
  <c r="F27" i="2"/>
  <c r="C57" i="3"/>
  <c r="F39" i="2"/>
  <c r="F31" i="2"/>
  <c r="F33" i="2"/>
  <c r="H38" i="2"/>
  <c r="H33" i="2"/>
  <c r="F26" i="2"/>
  <c r="F28" i="2"/>
  <c r="H32" i="2"/>
  <c r="F34" i="2"/>
  <c r="E61" i="25"/>
  <c r="C14" i="2"/>
  <c r="C75" i="25"/>
  <c r="C50" i="25"/>
  <c r="D50" i="25" s="1"/>
  <c r="F33" i="25"/>
  <c r="C54" i="25"/>
  <c r="D54" i="25" s="1"/>
  <c r="E54" i="25" s="1"/>
  <c r="C62" i="25"/>
  <c r="D62" i="25" s="1"/>
  <c r="C15" i="2" s="1"/>
  <c r="C76" i="25"/>
  <c r="C80" i="25"/>
  <c r="C52" i="25"/>
  <c r="D52" i="25" s="1"/>
  <c r="C18" i="30"/>
  <c r="D6" i="25"/>
  <c r="C15" i="30"/>
  <c r="D7" i="25"/>
  <c r="C16" i="30"/>
  <c r="C23" i="30"/>
  <c r="J28" i="2"/>
  <c r="J34" i="2"/>
  <c r="J44" i="2"/>
  <c r="J38" i="2"/>
  <c r="J32" i="2"/>
  <c r="J37" i="2"/>
  <c r="J39" i="2"/>
  <c r="J40" i="2"/>
  <c r="J30" i="2"/>
  <c r="J26" i="2"/>
  <c r="J43" i="2"/>
  <c r="J33" i="2"/>
  <c r="J41" i="2"/>
  <c r="J27" i="2"/>
  <c r="J45" i="2"/>
  <c r="J36" i="2"/>
  <c r="J35" i="2"/>
  <c r="J31" i="2"/>
  <c r="J25" i="2"/>
  <c r="D8" i="25"/>
  <c r="C17" i="30"/>
  <c r="P37" i="2"/>
  <c r="P31" i="2"/>
  <c r="P29" i="2"/>
  <c r="P45" i="2"/>
  <c r="P40" i="2"/>
  <c r="P25" i="2"/>
  <c r="P43" i="2"/>
  <c r="P27" i="2"/>
  <c r="P33" i="2"/>
  <c r="P38" i="2"/>
  <c r="P41" i="2"/>
  <c r="P39" i="2"/>
  <c r="P28" i="2"/>
  <c r="P36" i="2"/>
  <c r="P34" i="2"/>
  <c r="P35" i="2"/>
  <c r="P32" i="2"/>
  <c r="P30" i="2"/>
  <c r="P26" i="2"/>
  <c r="P44" i="2"/>
  <c r="D18" i="25"/>
  <c r="C22" i="30"/>
  <c r="C7" i="2"/>
  <c r="B29" i="7"/>
  <c r="D15" i="25"/>
  <c r="C19" i="30"/>
  <c r="F37" i="25"/>
  <c r="C58" i="25"/>
  <c r="D58" i="25" s="1"/>
  <c r="E58" i="25" s="1"/>
  <c r="B5" i="7"/>
  <c r="C71" i="25"/>
  <c r="I57" i="3"/>
  <c r="I66" i="3" s="1"/>
  <c r="H57" i="3"/>
  <c r="H66" i="3" s="1"/>
  <c r="K68" i="3" l="1"/>
  <c r="K76" i="3"/>
  <c r="K67" i="3"/>
  <c r="K59" i="3"/>
  <c r="K62" i="3"/>
  <c r="K80" i="3"/>
  <c r="K69" i="3"/>
  <c r="K77" i="3"/>
  <c r="K60" i="3"/>
  <c r="K79" i="3"/>
  <c r="K70" i="3"/>
  <c r="K78" i="3"/>
  <c r="K61" i="3"/>
  <c r="K71" i="3"/>
  <c r="K72" i="3"/>
  <c r="K63" i="3"/>
  <c r="K73" i="3"/>
  <c r="K81" i="3"/>
  <c r="K64" i="3"/>
  <c r="K74" i="3"/>
  <c r="K82" i="3"/>
  <c r="K65" i="3"/>
  <c r="K75" i="3"/>
  <c r="K83" i="3"/>
  <c r="K66" i="3"/>
  <c r="B14" i="7"/>
  <c r="B35" i="7"/>
  <c r="B31" i="7"/>
  <c r="B27" i="7"/>
  <c r="C66" i="25"/>
  <c r="C6" i="2"/>
  <c r="B36" i="7"/>
  <c r="C13" i="2"/>
  <c r="C10" i="2"/>
  <c r="B38" i="7"/>
  <c r="D67" i="3"/>
  <c r="C86" i="25"/>
  <c r="D66" i="3"/>
  <c r="J66" i="3"/>
  <c r="D65" i="3"/>
  <c r="C65" i="3"/>
  <c r="C66" i="3"/>
  <c r="H65" i="3"/>
  <c r="I70" i="3"/>
  <c r="I67" i="3"/>
  <c r="I65" i="3"/>
  <c r="B28" i="7"/>
  <c r="E51" i="25"/>
  <c r="B20" i="7"/>
  <c r="B26" i="7"/>
  <c r="B37" i="7"/>
  <c r="E60" i="25"/>
  <c r="C84" i="25"/>
  <c r="C82" i="25"/>
  <c r="B16" i="7"/>
  <c r="E64" i="25"/>
  <c r="D49" i="25"/>
  <c r="E49" i="25" s="1"/>
  <c r="C16" i="2"/>
  <c r="E50" i="25"/>
  <c r="E56" i="25"/>
  <c r="B33" i="7"/>
  <c r="C12" i="2"/>
  <c r="C5" i="2"/>
  <c r="E62" i="25"/>
  <c r="E52" i="25"/>
  <c r="B6" i="7"/>
  <c r="C72" i="25"/>
  <c r="B15" i="7"/>
  <c r="E59" i="25"/>
  <c r="C81" i="25"/>
  <c r="B18" i="7"/>
  <c r="B8" i="7"/>
  <c r="C74" i="25"/>
  <c r="B19" i="7"/>
  <c r="C78" i="25"/>
  <c r="B12" i="7"/>
  <c r="B7" i="7"/>
  <c r="C73" i="25"/>
  <c r="D66" i="25" l="1"/>
  <c r="E66" i="25"/>
  <c r="G88" i="25"/>
  <c r="C88" i="25"/>
  <c r="I43" i="30" l="1"/>
  <c r="J43" i="30" s="1"/>
  <c r="I44" i="30" l="1"/>
  <c r="J44" i="30" s="1"/>
  <c r="I52" i="30"/>
  <c r="J52" i="30" s="1"/>
  <c r="I60" i="30"/>
  <c r="J60" i="30" s="1"/>
  <c r="I56" i="30"/>
  <c r="J56" i="30" s="1"/>
  <c r="I50" i="30"/>
  <c r="J50" i="30" s="1"/>
  <c r="I45" i="30"/>
  <c r="J45" i="30" s="1"/>
  <c r="I53" i="30"/>
  <c r="I61" i="30"/>
  <c r="J61" i="30" s="1"/>
  <c r="I55" i="30"/>
  <c r="J55" i="30" s="1"/>
  <c r="I48" i="30"/>
  <c r="J48" i="30" s="1"/>
  <c r="I57" i="30"/>
  <c r="J57" i="30" s="1"/>
  <c r="I58" i="30"/>
  <c r="J58" i="30" s="1"/>
  <c r="I46" i="30"/>
  <c r="J46" i="30" s="1"/>
  <c r="I54" i="30"/>
  <c r="J54" i="30" s="1"/>
  <c r="I62" i="30"/>
  <c r="J62" i="30" s="1"/>
  <c r="I51" i="30"/>
  <c r="J51" i="30" s="1"/>
  <c r="I47" i="30"/>
  <c r="I63" i="30"/>
  <c r="J63" i="30" s="1"/>
  <c r="I49" i="30"/>
  <c r="J49" i="30" s="1"/>
  <c r="I59" i="30"/>
  <c r="J59" i="30" s="1"/>
  <c r="D37" i="30"/>
  <c r="C37" i="30"/>
  <c r="D36" i="30"/>
  <c r="C36" i="30"/>
  <c r="D34" i="30"/>
  <c r="G57" i="3" s="1"/>
  <c r="B98" i="3" s="1"/>
  <c r="C34" i="30"/>
  <c r="D31" i="30"/>
  <c r="C31" i="30"/>
  <c r="D30" i="30"/>
  <c r="E57" i="3" s="1"/>
  <c r="C30" i="30"/>
  <c r="J47" i="30" l="1"/>
  <c r="G75" i="3"/>
  <c r="G83" i="3"/>
  <c r="G66" i="3"/>
  <c r="G71" i="3"/>
  <c r="G68" i="3"/>
  <c r="G76" i="3"/>
  <c r="G67" i="3"/>
  <c r="G59" i="3"/>
  <c r="G78" i="3"/>
  <c r="G69" i="3"/>
  <c r="G77" i="3"/>
  <c r="G60" i="3"/>
  <c r="G70" i="3"/>
  <c r="G61" i="3"/>
  <c r="G79" i="3"/>
  <c r="G72" i="3"/>
  <c r="G80" i="3"/>
  <c r="G63" i="3"/>
  <c r="G73" i="3"/>
  <c r="G81" i="3"/>
  <c r="G64" i="3"/>
  <c r="G74" i="3"/>
  <c r="G82" i="3"/>
  <c r="G65" i="3"/>
  <c r="G62" i="3"/>
  <c r="J53" i="30"/>
  <c r="B59" i="7" s="1"/>
  <c r="B19" i="30"/>
  <c r="B24" i="30"/>
  <c r="E65" i="3"/>
  <c r="E66" i="3"/>
  <c r="B64" i="7"/>
  <c r="B68" i="7"/>
  <c r="B65" i="7"/>
  <c r="B21" i="30"/>
  <c r="B62" i="7"/>
  <c r="B69" i="7"/>
  <c r="B57" i="7"/>
  <c r="B63" i="7"/>
  <c r="B52" i="7"/>
  <c r="B51" i="7"/>
  <c r="F57" i="3"/>
  <c r="C38" i="30"/>
  <c r="C11" i="2" s="1"/>
  <c r="C32" i="30"/>
  <c r="C8" i="2" s="1"/>
  <c r="B50" i="7" l="1"/>
  <c r="B17" i="2"/>
  <c r="B15" i="30"/>
  <c r="B54" i="7"/>
  <c r="B58" i="7"/>
  <c r="D17" i="2"/>
  <c r="F17" i="2" s="1"/>
  <c r="F65" i="3"/>
  <c r="F66" i="3"/>
  <c r="B10" i="2"/>
  <c r="B18" i="30"/>
  <c r="B13" i="2"/>
  <c r="B17" i="30"/>
  <c r="B20" i="30"/>
  <c r="B55" i="7"/>
  <c r="B22" i="30"/>
  <c r="B56" i="7"/>
  <c r="B23" i="30"/>
  <c r="B16" i="30"/>
  <c r="B6" i="2" s="1"/>
  <c r="B25" i="30"/>
  <c r="B49" i="7"/>
  <c r="B14" i="2"/>
  <c r="B61" i="7"/>
  <c r="B18" i="2"/>
  <c r="B12" i="2"/>
  <c r="B9" i="2"/>
  <c r="B15" i="2"/>
  <c r="B53" i="7"/>
  <c r="B66" i="7"/>
  <c r="B8" i="2"/>
  <c r="B67" i="7"/>
  <c r="E32" i="30"/>
  <c r="B16" i="2"/>
  <c r="B11" i="2"/>
  <c r="E38" i="30"/>
  <c r="D38" i="30"/>
  <c r="D32" i="30"/>
  <c r="G17" i="2" l="1"/>
  <c r="F18" i="2"/>
  <c r="R23" i="2"/>
  <c r="R33" i="2" s="1"/>
  <c r="L23" i="2"/>
  <c r="L38" i="2" s="1"/>
  <c r="B7" i="2"/>
  <c r="B5" i="2"/>
  <c r="E35" i="30"/>
  <c r="I17" i="2" l="1"/>
  <c r="AC34" i="2" s="1"/>
  <c r="AG34" i="2" s="1"/>
  <c r="D7" i="2"/>
  <c r="F5" i="2"/>
  <c r="I18" i="2"/>
  <c r="AE37" i="2" s="1"/>
  <c r="AF37" i="2" s="1"/>
  <c r="AF46" i="2" s="1"/>
  <c r="R37" i="2"/>
  <c r="R42" i="2"/>
  <c r="R41" i="2"/>
  <c r="R36" i="2"/>
  <c r="R32" i="2"/>
  <c r="R43" i="2"/>
  <c r="R31" i="2"/>
  <c r="R34" i="2"/>
  <c r="R45" i="2"/>
  <c r="R27" i="2"/>
  <c r="R38" i="2"/>
  <c r="R35" i="2"/>
  <c r="R44" i="2"/>
  <c r="R40" i="2"/>
  <c r="R39" i="2"/>
  <c r="R25" i="2"/>
  <c r="R30" i="2"/>
  <c r="R29" i="2"/>
  <c r="R26" i="2"/>
  <c r="L29" i="2"/>
  <c r="L43" i="2"/>
  <c r="L35" i="2"/>
  <c r="L31" i="2"/>
  <c r="L37" i="2"/>
  <c r="L34" i="2"/>
  <c r="L32" i="2"/>
  <c r="L33" i="2"/>
  <c r="L40" i="2"/>
  <c r="L28" i="2"/>
  <c r="L25" i="2"/>
  <c r="L30" i="2"/>
  <c r="L36" i="2"/>
  <c r="L45" i="2"/>
  <c r="L27" i="2"/>
  <c r="L41" i="2"/>
  <c r="L26" i="2"/>
  <c r="L39" i="2"/>
  <c r="L42" i="2"/>
  <c r="AD34" i="2" l="1"/>
  <c r="AD46" i="2" s="1"/>
  <c r="AC46" i="2"/>
  <c r="G5" i="2"/>
  <c r="AE46" i="2"/>
  <c r="I31" i="30" l="1"/>
  <c r="F48" i="3" l="1"/>
  <c r="K48" i="3" l="1"/>
  <c r="I48" i="3"/>
  <c r="G48" i="3"/>
  <c r="E48" i="3"/>
  <c r="G8" i="2" s="1"/>
  <c r="C35" i="30" l="1"/>
  <c r="C9" i="2" s="1"/>
  <c r="D9" i="2" l="1"/>
  <c r="F9" i="2" s="1"/>
  <c r="D35" i="30"/>
  <c r="N23" i="2" s="1"/>
  <c r="B34" i="3"/>
  <c r="B50" i="3" s="1"/>
  <c r="C34" i="3"/>
  <c r="D34" i="3"/>
  <c r="F34" i="3"/>
  <c r="G34" i="3"/>
  <c r="H34" i="3"/>
  <c r="I34" i="3"/>
  <c r="J34" i="3"/>
  <c r="K34" i="3"/>
  <c r="E34" i="3"/>
  <c r="H8" i="2" l="1"/>
  <c r="I50" i="3"/>
  <c r="H13" i="2"/>
  <c r="H7" i="2"/>
  <c r="N34" i="2"/>
  <c r="AH34" i="2" s="1"/>
  <c r="N45" i="2"/>
  <c r="N41" i="2"/>
  <c r="N33" i="2"/>
  <c r="AH33" i="2" s="1"/>
  <c r="N40" i="2"/>
  <c r="N36" i="2"/>
  <c r="AH36" i="2" s="1"/>
  <c r="N37" i="2"/>
  <c r="N43" i="2"/>
  <c r="N30" i="2"/>
  <c r="N31" i="2"/>
  <c r="N25" i="2"/>
  <c r="N32" i="2"/>
  <c r="N44" i="2"/>
  <c r="N42" i="2"/>
  <c r="N26" i="2"/>
  <c r="AH26" i="2" s="1"/>
  <c r="N39" i="2"/>
  <c r="AH39" i="2" s="1"/>
  <c r="N38" i="2"/>
  <c r="N29" i="2"/>
  <c r="N27" i="2"/>
  <c r="AH27" i="2" s="1"/>
  <c r="N28" i="2"/>
  <c r="J48" i="3"/>
  <c r="H48" i="3"/>
  <c r="D48" i="3"/>
  <c r="D50" i="3" s="1"/>
  <c r="AI33" i="2" l="1"/>
  <c r="AJ34" i="2"/>
  <c r="AI26" i="2"/>
  <c r="AI27" i="2"/>
  <c r="AI39" i="2"/>
  <c r="AI34" i="2" l="1"/>
  <c r="K50" i="3"/>
  <c r="H6" i="2" l="1"/>
  <c r="C50" i="3"/>
  <c r="J50" i="3" l="1"/>
  <c r="H16" i="2"/>
  <c r="J68" i="3" l="1"/>
  <c r="J72" i="3"/>
  <c r="J76" i="3"/>
  <c r="J80" i="3"/>
  <c r="J67" i="3"/>
  <c r="J61" i="3"/>
  <c r="J74" i="3"/>
  <c r="J82" i="3"/>
  <c r="J59" i="3"/>
  <c r="B101" i="3"/>
  <c r="J71" i="3"/>
  <c r="J75" i="3"/>
  <c r="J83" i="3"/>
  <c r="J69" i="3"/>
  <c r="J73" i="3"/>
  <c r="J77" i="3"/>
  <c r="J81" i="3"/>
  <c r="J64" i="3"/>
  <c r="J60" i="3"/>
  <c r="J70" i="3"/>
  <c r="J78" i="3"/>
  <c r="J63" i="3"/>
  <c r="J79" i="3"/>
  <c r="J62" i="3"/>
  <c r="J84" i="3" l="1"/>
  <c r="C101" i="3" s="1"/>
  <c r="H10" i="2" l="1"/>
  <c r="C67" i="3" l="1"/>
  <c r="E75" i="3"/>
  <c r="B96" i="3"/>
  <c r="E79" i="3"/>
  <c r="E82" i="3"/>
  <c r="E76" i="3"/>
  <c r="E60" i="3"/>
  <c r="E64" i="3"/>
  <c r="E73" i="3"/>
  <c r="E59" i="3"/>
  <c r="E78" i="3"/>
  <c r="E77" i="3"/>
  <c r="E72" i="3"/>
  <c r="E80" i="3"/>
  <c r="E68" i="3"/>
  <c r="E61" i="3"/>
  <c r="E71" i="3"/>
  <c r="E67" i="3"/>
  <c r="E70" i="3"/>
  <c r="E62" i="3"/>
  <c r="E81" i="3"/>
  <c r="E83" i="3"/>
  <c r="E69" i="3"/>
  <c r="E63" i="3"/>
  <c r="E74" i="3"/>
  <c r="H50" i="3"/>
  <c r="E50" i="3"/>
  <c r="F50" i="3"/>
  <c r="G50" i="3"/>
  <c r="K84" i="3" l="1"/>
  <c r="C102" i="3" s="1"/>
  <c r="C71" i="3"/>
  <c r="C77" i="3"/>
  <c r="C63" i="3"/>
  <c r="C64" i="3"/>
  <c r="C75" i="3"/>
  <c r="C80" i="3"/>
  <c r="C59" i="3"/>
  <c r="C74" i="3"/>
  <c r="C61" i="3"/>
  <c r="C78" i="3"/>
  <c r="C70" i="3"/>
  <c r="C62" i="3"/>
  <c r="C81" i="3"/>
  <c r="C72" i="3"/>
  <c r="C60" i="3"/>
  <c r="C68" i="3"/>
  <c r="C79" i="3"/>
  <c r="B94" i="3"/>
  <c r="C73" i="3"/>
  <c r="C76" i="3"/>
  <c r="C83" i="3"/>
  <c r="C69" i="3"/>
  <c r="C82" i="3"/>
  <c r="H63" i="3"/>
  <c r="H59" i="3"/>
  <c r="H67" i="3"/>
  <c r="H83" i="3"/>
  <c r="H73" i="3"/>
  <c r="H77" i="3"/>
  <c r="H81" i="3"/>
  <c r="H61" i="3"/>
  <c r="B99" i="3"/>
  <c r="H68" i="3"/>
  <c r="H70" i="3"/>
  <c r="H72" i="3"/>
  <c r="H74" i="3"/>
  <c r="H76" i="3"/>
  <c r="H78" i="3"/>
  <c r="H80" i="3"/>
  <c r="H82" i="3"/>
  <c r="H62" i="3"/>
  <c r="H60" i="3"/>
  <c r="H69" i="3"/>
  <c r="H71" i="3"/>
  <c r="H75" i="3"/>
  <c r="H79" i="3"/>
  <c r="H64" i="3"/>
  <c r="E84" i="3"/>
  <c r="C96" i="3" s="1"/>
  <c r="D70" i="3"/>
  <c r="B95" i="3"/>
  <c r="D79" i="3"/>
  <c r="D82" i="3"/>
  <c r="D76" i="3"/>
  <c r="D63" i="3"/>
  <c r="D59" i="3"/>
  <c r="D60" i="3"/>
  <c r="D83" i="3"/>
  <c r="D81" i="3"/>
  <c r="D74" i="3"/>
  <c r="D69" i="3"/>
  <c r="D68" i="3"/>
  <c r="D71" i="3"/>
  <c r="D77" i="3"/>
  <c r="D80" i="3"/>
  <c r="D72" i="3"/>
  <c r="D61" i="3"/>
  <c r="D75" i="3"/>
  <c r="D73" i="3"/>
  <c r="D78" i="3"/>
  <c r="D62" i="3"/>
  <c r="B100" i="3"/>
  <c r="I63" i="3"/>
  <c r="I68" i="3"/>
  <c r="I72" i="3"/>
  <c r="I76" i="3"/>
  <c r="I80" i="3"/>
  <c r="I74" i="3"/>
  <c r="I82" i="3"/>
  <c r="I64" i="3"/>
  <c r="I71" i="3"/>
  <c r="I79" i="3"/>
  <c r="I62" i="3"/>
  <c r="I69" i="3"/>
  <c r="I73" i="3"/>
  <c r="I77" i="3"/>
  <c r="I81" i="3"/>
  <c r="I59" i="3"/>
  <c r="I61" i="3"/>
  <c r="I78" i="3"/>
  <c r="I60" i="3"/>
  <c r="I75" i="3"/>
  <c r="I83" i="3"/>
  <c r="F83" i="3"/>
  <c r="B97" i="3"/>
  <c r="F77" i="3"/>
  <c r="F72" i="3"/>
  <c r="F80" i="3"/>
  <c r="F62" i="3"/>
  <c r="F68" i="3"/>
  <c r="F79" i="3"/>
  <c r="F74" i="3"/>
  <c r="F60" i="3"/>
  <c r="F71" i="3"/>
  <c r="F63" i="3"/>
  <c r="F73" i="3"/>
  <c r="F82" i="3"/>
  <c r="F76" i="3"/>
  <c r="F64" i="3"/>
  <c r="F61" i="3"/>
  <c r="F75" i="3"/>
  <c r="F70" i="3"/>
  <c r="F69" i="3"/>
  <c r="F67" i="3"/>
  <c r="F59" i="3"/>
  <c r="F78" i="3"/>
  <c r="F81" i="3"/>
  <c r="G84" i="3" l="1"/>
  <c r="C98" i="3" s="1"/>
  <c r="C84" i="3"/>
  <c r="C94" i="3" s="1"/>
  <c r="I84" i="3"/>
  <c r="C100" i="3" s="1"/>
  <c r="H84" i="3"/>
  <c r="C99" i="3" s="1"/>
  <c r="F84" i="3"/>
  <c r="C97" i="3" s="1"/>
  <c r="D84" i="3"/>
  <c r="C95" i="3" s="1"/>
  <c r="D58" i="7" l="1"/>
  <c r="D63" i="7"/>
  <c r="D57" i="7"/>
  <c r="D51" i="7"/>
  <c r="D50" i="7"/>
  <c r="D13" i="2" l="1"/>
  <c r="F6" i="2"/>
  <c r="F14" i="2"/>
  <c r="D12" i="2"/>
  <c r="F12" i="2" s="1"/>
  <c r="F15" i="2"/>
  <c r="F11" i="2"/>
  <c r="D10" i="2"/>
  <c r="F10" i="2" s="1"/>
  <c r="F16" i="2"/>
  <c r="F8" i="2"/>
  <c r="F7" i="2"/>
  <c r="G7" i="2" s="1"/>
  <c r="G12" i="2" l="1"/>
  <c r="I12" i="2" s="1"/>
  <c r="S30" i="2" s="1"/>
  <c r="AG30" i="2" s="1"/>
  <c r="G16" i="2"/>
  <c r="G10" i="2"/>
  <c r="G6" i="2"/>
  <c r="I7" i="2"/>
  <c r="I29" i="2" s="1"/>
  <c r="F13" i="2"/>
  <c r="I14" i="2"/>
  <c r="W43" i="2" s="1"/>
  <c r="I11" i="2"/>
  <c r="Q28" i="2" s="1"/>
  <c r="AG28" i="2" s="1"/>
  <c r="I15" i="2"/>
  <c r="Y31" i="2" s="1"/>
  <c r="AG31" i="2" s="1"/>
  <c r="I10" i="2" l="1"/>
  <c r="O42" i="2" s="1"/>
  <c r="O46" i="2" s="1"/>
  <c r="I16" i="2"/>
  <c r="AA32" i="2" s="1"/>
  <c r="AG32" i="2" s="1"/>
  <c r="G13" i="2"/>
  <c r="I13" i="2" s="1"/>
  <c r="U29" i="2" s="1"/>
  <c r="I6" i="2"/>
  <c r="G35" i="2" s="1"/>
  <c r="H35" i="2" s="1"/>
  <c r="I8" i="2"/>
  <c r="K44" i="2" s="1"/>
  <c r="L44" i="2" s="1"/>
  <c r="L46" i="2" s="1"/>
  <c r="R28" i="2"/>
  <c r="AH28" i="2" s="1"/>
  <c r="Y46" i="2"/>
  <c r="X43" i="2"/>
  <c r="X46" i="2" s="1"/>
  <c r="S46" i="2"/>
  <c r="T30" i="2"/>
  <c r="AH30" i="2" s="1"/>
  <c r="I42" i="2"/>
  <c r="J42" i="2" s="1"/>
  <c r="Q46" i="2"/>
  <c r="Z31" i="2"/>
  <c r="AH31" i="2" s="1"/>
  <c r="W46" i="2"/>
  <c r="J29" i="2"/>
  <c r="B84" i="3"/>
  <c r="C93" i="3" s="1"/>
  <c r="C104" i="3" s="1"/>
  <c r="P42" i="2" l="1"/>
  <c r="P46" i="2" s="1"/>
  <c r="AB32" i="2"/>
  <c r="AB46" i="2" s="1"/>
  <c r="G37" i="2"/>
  <c r="H37" i="2" s="1"/>
  <c r="G44" i="2"/>
  <c r="H44" i="2" s="1"/>
  <c r="AA46" i="2"/>
  <c r="G45" i="2"/>
  <c r="H45" i="2" s="1"/>
  <c r="G25" i="2"/>
  <c r="H25" i="2" s="1"/>
  <c r="G40" i="2"/>
  <c r="H40" i="2" s="1"/>
  <c r="V29" i="2"/>
  <c r="V46" i="2" s="1"/>
  <c r="U46" i="2"/>
  <c r="K46" i="2"/>
  <c r="R46" i="2"/>
  <c r="AI31" i="2"/>
  <c r="T46" i="2"/>
  <c r="I46" i="2"/>
  <c r="J46" i="2"/>
  <c r="AJ28" i="2"/>
  <c r="Z46" i="2"/>
  <c r="AI28" i="2"/>
  <c r="AH32" i="2" l="1"/>
  <c r="AI32" i="2" s="1"/>
  <c r="D56" i="7" s="1"/>
  <c r="H46" i="2"/>
  <c r="G46" i="2"/>
  <c r="I5" i="2"/>
  <c r="E25" i="2" s="1"/>
  <c r="AG25" i="2" s="1"/>
  <c r="AJ31" i="2"/>
  <c r="AI30" i="2"/>
  <c r="D54" i="7" s="1"/>
  <c r="AJ30" i="2"/>
  <c r="D55" i="7"/>
  <c r="D52" i="7"/>
  <c r="AJ32" i="2" l="1"/>
  <c r="E45" i="2"/>
  <c r="AG45" i="2" s="1"/>
  <c r="E35" i="2"/>
  <c r="E37" i="2"/>
  <c r="AG37" i="2" s="1"/>
  <c r="E41" i="2"/>
  <c r="AG41" i="2" s="1"/>
  <c r="E43" i="2"/>
  <c r="AG43" i="2" s="1"/>
  <c r="E38" i="2"/>
  <c r="AG38" i="2" s="1"/>
  <c r="E40" i="2"/>
  <c r="AG40" i="2" s="1"/>
  <c r="E42" i="2"/>
  <c r="AG42" i="2" s="1"/>
  <c r="E29" i="2"/>
  <c r="AG29" i="2" s="1"/>
  <c r="E44" i="2"/>
  <c r="AG44" i="2" s="1"/>
  <c r="F25" i="2"/>
  <c r="AH25" i="2" s="1"/>
  <c r="F35" i="2" l="1"/>
  <c r="F37" i="2"/>
  <c r="AH37" i="2" s="1"/>
  <c r="AJ37" i="2" s="1"/>
  <c r="F45" i="2"/>
  <c r="AH45" i="2" s="1"/>
  <c r="AJ45" i="2" s="1"/>
  <c r="F40" i="2"/>
  <c r="AH40" i="2" s="1"/>
  <c r="AI40" i="2" s="1"/>
  <c r="D64" i="7" s="1"/>
  <c r="F42" i="2"/>
  <c r="AH42" i="2" s="1"/>
  <c r="AI42" i="2" s="1"/>
  <c r="D66" i="7" s="1"/>
  <c r="F41" i="2"/>
  <c r="AH41" i="2" s="1"/>
  <c r="F43" i="2"/>
  <c r="AH43" i="2" s="1"/>
  <c r="F38" i="2"/>
  <c r="AH38" i="2" s="1"/>
  <c r="F29" i="2"/>
  <c r="F44" i="2"/>
  <c r="AH44" i="2" s="1"/>
  <c r="AJ44" i="2" s="1"/>
  <c r="E46" i="2"/>
  <c r="AH29" i="2" l="1"/>
  <c r="AI29" i="2" s="1"/>
  <c r="D53" i="7" s="1"/>
  <c r="F46" i="2"/>
  <c r="AI41" i="2"/>
  <c r="D65" i="7" s="1"/>
  <c r="AJ41" i="2"/>
  <c r="AI38" i="2"/>
  <c r="D62" i="7" s="1"/>
  <c r="AJ38" i="2"/>
  <c r="AI43" i="2"/>
  <c r="D67" i="7" s="1"/>
  <c r="AJ43" i="2"/>
  <c r="AJ40" i="2"/>
  <c r="AJ42" i="2"/>
  <c r="AI37" i="2"/>
  <c r="D61" i="7" s="1"/>
  <c r="AI44" i="2"/>
  <c r="D68" i="7" s="1"/>
  <c r="AI45" i="2"/>
  <c r="D69" i="7" s="1"/>
  <c r="AI25" i="2"/>
  <c r="D49" i="7" s="1"/>
  <c r="AJ25" i="2"/>
  <c r="AJ29" i="2" l="1"/>
  <c r="J64" i="30" l="1"/>
  <c r="B60" i="7"/>
  <c r="AI36" i="2"/>
  <c r="D60" i="7" s="1"/>
  <c r="B70" i="7" l="1"/>
  <c r="B14" i="30"/>
  <c r="E14" i="30" s="1"/>
  <c r="E24" i="30" l="1"/>
  <c r="F24" i="30" s="1"/>
  <c r="K52" i="30" s="1"/>
  <c r="E23" i="30"/>
  <c r="F23" i="30" s="1"/>
  <c r="K50" i="30" s="1"/>
  <c r="E19" i="30"/>
  <c r="F19" i="30" s="1"/>
  <c r="K48" i="30" s="1"/>
  <c r="E15" i="30"/>
  <c r="E17" i="30" s="1"/>
  <c r="E18" i="30" s="1"/>
  <c r="E22" i="30"/>
  <c r="F22" i="30" s="1"/>
  <c r="K49" i="30" s="1"/>
  <c r="F14" i="30"/>
  <c r="K51" i="30" s="1"/>
  <c r="E21" i="30" l="1"/>
  <c r="F21" i="30" s="1"/>
  <c r="K61" i="30" s="1"/>
  <c r="B38" i="30"/>
  <c r="F38" i="30" s="1"/>
  <c r="F15" i="30"/>
  <c r="E16" i="30"/>
  <c r="K57" i="30"/>
  <c r="K45" i="30"/>
  <c r="K54" i="30"/>
  <c r="K44" i="30"/>
  <c r="F17" i="30"/>
  <c r="F18" i="30"/>
  <c r="K60" i="30" s="1"/>
  <c r="E20" i="30"/>
  <c r="F20" i="30" s="1"/>
  <c r="K47" i="30" s="1"/>
  <c r="K46" i="30" l="1"/>
  <c r="K56" i="30"/>
  <c r="F16" i="30"/>
  <c r="K43" i="30" s="1"/>
  <c r="E25" i="30"/>
  <c r="F25" i="30" s="1"/>
  <c r="B35" i="30" l="1"/>
  <c r="F35" i="30" s="1"/>
  <c r="K53" i="30" s="1"/>
  <c r="K63" i="30"/>
  <c r="K55" i="30"/>
  <c r="B32" i="30"/>
  <c r="F32" i="30" s="1"/>
  <c r="K58" i="30"/>
  <c r="K62" i="30" l="1"/>
  <c r="C56" i="7" l="1"/>
  <c r="C52" i="7"/>
  <c r="C50" i="7"/>
  <c r="C58" i="7"/>
  <c r="C51" i="7"/>
  <c r="E51" i="7" s="1"/>
  <c r="C57" i="7"/>
  <c r="E57" i="7" s="1"/>
  <c r="C63" i="7" l="1"/>
  <c r="E63" i="7" s="1"/>
  <c r="C55" i="7"/>
  <c r="C60" i="7"/>
  <c r="E60" i="7" s="1"/>
  <c r="E50" i="7"/>
  <c r="C54" i="7"/>
  <c r="C64" i="7"/>
  <c r="C65" i="7"/>
  <c r="C62" i="7"/>
  <c r="E58" i="7"/>
  <c r="E56" i="7"/>
  <c r="C67" i="7"/>
  <c r="E52" i="7"/>
  <c r="E55" i="7" l="1"/>
  <c r="E54" i="7"/>
  <c r="E65" i="7"/>
  <c r="C69" i="7"/>
  <c r="E69" i="7" s="1"/>
  <c r="C49" i="7"/>
  <c r="E62" i="7"/>
  <c r="C61" i="7"/>
  <c r="E61" i="7" s="1"/>
  <c r="E67" i="7"/>
  <c r="E64" i="7"/>
  <c r="C59" i="7"/>
  <c r="C68" i="7"/>
  <c r="E49" i="7" l="1"/>
  <c r="J30" i="30"/>
  <c r="J31" i="30" s="1"/>
  <c r="E68" i="7"/>
  <c r="C66" i="7" l="1"/>
  <c r="C53" i="7"/>
  <c r="E66" i="7" l="1"/>
  <c r="E53" i="7"/>
  <c r="G9" i="2" l="1"/>
  <c r="B104" i="3"/>
  <c r="I9" i="2" l="1"/>
  <c r="M35" i="2" s="1"/>
  <c r="M46" i="2" l="1"/>
  <c r="N35" i="2"/>
  <c r="AG35" i="2"/>
  <c r="N46" i="2" l="1"/>
  <c r="AH35" i="2"/>
  <c r="AJ35" i="2" l="1"/>
  <c r="AI35" i="2"/>
  <c r="D59" i="7" s="1"/>
  <c r="AH46" i="2"/>
  <c r="E59" i="7" l="1"/>
</calcChain>
</file>

<file path=xl/sharedStrings.xml><?xml version="1.0" encoding="utf-8"?>
<sst xmlns="http://schemas.openxmlformats.org/spreadsheetml/2006/main" count="959" uniqueCount="373">
  <si>
    <t>RPM Parameters</t>
  </si>
  <si>
    <t>IRM</t>
  </si>
  <si>
    <t>LDA</t>
  </si>
  <si>
    <t>FPR</t>
  </si>
  <si>
    <t>SWMAAC</t>
  </si>
  <si>
    <t>RTO</t>
  </si>
  <si>
    <t>Zone</t>
  </si>
  <si>
    <t>PS</t>
  </si>
  <si>
    <t>PECO</t>
  </si>
  <si>
    <t>PL</t>
  </si>
  <si>
    <t>BGE</t>
  </si>
  <si>
    <t>JCPL</t>
  </si>
  <si>
    <t>METED</t>
  </si>
  <si>
    <t>PENLC</t>
  </si>
  <si>
    <t>PEPCO</t>
  </si>
  <si>
    <t>AE</t>
  </si>
  <si>
    <t>DPL</t>
  </si>
  <si>
    <t>RECO</t>
  </si>
  <si>
    <t>APS</t>
  </si>
  <si>
    <t>COMED</t>
  </si>
  <si>
    <t>DAYTON</t>
  </si>
  <si>
    <t>Obligation Peak Load Scaling Factor</t>
  </si>
  <si>
    <t xml:space="preserve"> </t>
  </si>
  <si>
    <t>Base Zonal RPM Scaling Factor</t>
  </si>
  <si>
    <t>LDA2</t>
  </si>
  <si>
    <t>LDA1</t>
  </si>
  <si>
    <t>MAAC</t>
  </si>
  <si>
    <t>AEP</t>
  </si>
  <si>
    <t>DOM</t>
  </si>
  <si>
    <t>LDA3</t>
  </si>
  <si>
    <t>Preliminary Zonal Capacity Price           [$/MW-day]</t>
  </si>
  <si>
    <t>EMAAC</t>
  </si>
  <si>
    <t>PSNORTH</t>
  </si>
  <si>
    <t>DPLSOUTH</t>
  </si>
  <si>
    <t>Rest of DPL</t>
  </si>
  <si>
    <t>Rest of PS</t>
  </si>
  <si>
    <t>DPL Equivalent</t>
  </si>
  <si>
    <t>Preliminary Zonal Results</t>
  </si>
  <si>
    <t>PS Equivalent</t>
  </si>
  <si>
    <t>Locational Price Adder</t>
  </si>
  <si>
    <t>DLCO</t>
  </si>
  <si>
    <t>ATSI</t>
  </si>
  <si>
    <t>Rest of RTO</t>
  </si>
  <si>
    <t>Rest of SWMAAC</t>
  </si>
  <si>
    <t>Rest of EMAAC</t>
  </si>
  <si>
    <t>Rest of MAAC</t>
  </si>
  <si>
    <t>Total</t>
  </si>
  <si>
    <t>Base Zonal CTR Credit Rate [$/MW UCAP Obligation per Day]</t>
  </si>
  <si>
    <t>DEOK</t>
  </si>
  <si>
    <t>Resource Credits</t>
  </si>
  <si>
    <t>Resource Clearing Prices</t>
  </si>
  <si>
    <t>Cleared &amp; Make-Whole MWs</t>
  </si>
  <si>
    <t>Sub-Zone/Zone</t>
  </si>
  <si>
    <t>LDA Base UCAP Obligation [MW]</t>
  </si>
  <si>
    <t>Incremental Capacity Transfer Rights (ICTRs)</t>
  </si>
  <si>
    <t>ICTR Credits</t>
  </si>
  <si>
    <t>Sink LDA</t>
  </si>
  <si>
    <t>QTU Credits [$/day]</t>
  </si>
  <si>
    <t>LDA CTRs</t>
  </si>
  <si>
    <t>Base UCAP Obligation [MW]</t>
  </si>
  <si>
    <t>Internal  Resources Cleared in LDA</t>
  </si>
  <si>
    <t>QTU Equivalents [MW]</t>
  </si>
  <si>
    <t>Totals</t>
  </si>
  <si>
    <t>Notes:</t>
  </si>
  <si>
    <t>Locational Price Adder is respect to immediate higher level LDA.</t>
  </si>
  <si>
    <t>Economic Value of CTRs = CTRs Allocated * Locational Price Adder</t>
  </si>
  <si>
    <t>CTRs Allocated, Economic Value of CTRs, CTR Credit Rates, and CTR Settlement Rates are not final and may change to due Incremental Auction results.</t>
  </si>
  <si>
    <t>Customer-Funded Upgrades ICTRs [MW]</t>
  </si>
  <si>
    <t>Customer-Funded Upgrades</t>
  </si>
  <si>
    <t>Customer-Funded ICTR Credits [$/day]</t>
  </si>
  <si>
    <t>Cleared Capacity     [MW]</t>
  </si>
  <si>
    <t>Preliminary CTRs Allocated = Max of the LDA CTRs Allocated to LSEs [MW]</t>
  </si>
  <si>
    <t>ICTRs for Customer-Funded Upgrades [MW]</t>
  </si>
  <si>
    <t>Total ICTRs into Sink LDA [MW]</t>
  </si>
  <si>
    <t>Allocation of LSE CTRs, Economic Value of LSE CTRs, Zonal CTR Credit Rates, &amp; Zonal CTR Settlement Rates</t>
  </si>
  <si>
    <t>LDA Capacity Price [$/MW-day]</t>
  </si>
  <si>
    <t>Total CTRs * [MW]</t>
  </si>
  <si>
    <t>* CTRs are reduced to allow for certain grandfathered congestion credits.</t>
  </si>
  <si>
    <t>b0457: Dooms-Lexington circuit wave traps (effective 2012/2013)</t>
  </si>
  <si>
    <t>b0559: Capacitor at Meadow Brook substation (effective 2012/2013</t>
  </si>
  <si>
    <t>b1398: Build two new parallel underground circuits from Gloucester to Camden (effective 2015/2016)</t>
  </si>
  <si>
    <t>b1507: Rebuild Mt Storm - Doubs 500 kV (effective 2015/2016)</t>
  </si>
  <si>
    <t>b0487, b0489: Build new 500 kV transmission facilities from Susquehanna to Roseland (effective 2015/2016)</t>
  </si>
  <si>
    <t>Incremental Rights-Eligible Required Transmission Enhancements</t>
  </si>
  <si>
    <t>ICTRs [MW] for Lower Voltage Facilities</t>
  </si>
  <si>
    <t>Incremental Rights-Eligible Required Transmission Enhancements ICTR Credits [$/day]</t>
  </si>
  <si>
    <t>Certified ICTR * [MW]</t>
  </si>
  <si>
    <t>Remaining CTRs for Incremental Rights-Eligible Required Transmission Enhancements, Customer-Funded Upgrades, &amp; LSEs [MW]</t>
  </si>
  <si>
    <t>Incremental Rights-Eligible Required Transmission Enhancements ICTRs [MW]</t>
  </si>
  <si>
    <t>* Certified ICTRs are adjusted if the Remaining CTRs for Incremental Rights-Eligible Required Transmission Enhancements, Customer Funded-Upgrades, and LSEs into LDA are less than the Total Certified ICTRs into the LDA.</t>
  </si>
  <si>
    <t>Remaining CTRs for LSEs [MW]</t>
  </si>
  <si>
    <t>Base Residual Auction</t>
  </si>
  <si>
    <t>Zonal UCAP Obligations, Zonal Capacity Prices, &amp; Zonal CTR Credit Rates</t>
  </si>
  <si>
    <t>Base Zonal CTR Credit Rate ($/MW-UCAP Obligation-day)</t>
  </si>
  <si>
    <t>Preliminary Zonal Net Load Price         ($/MW-day)</t>
  </si>
  <si>
    <t>b1304.1, b1304.2, b1304.3, b1304.4: Various upgrades in PS (effective 2015/2016)</t>
  </si>
  <si>
    <t>ATSI-CLEVELAND</t>
  </si>
  <si>
    <t>Rest of ATSI</t>
  </si>
  <si>
    <t>ATSI Equivalent</t>
  </si>
  <si>
    <t>EKPC</t>
  </si>
  <si>
    <t>b1694: Rebuild Loudoun - Brambleton 500 kV (effective 2016/2017)</t>
  </si>
  <si>
    <t>Calculation of Zonal Capacity Prices for PS, DPL, and ATSI</t>
  </si>
  <si>
    <t>Additional Locational Price Adder with respect to Reference LDA [$/MW-day]</t>
  </si>
  <si>
    <t>Certified ICTR [MW]</t>
  </si>
  <si>
    <t>Make-Whole MW &amp; Credits</t>
  </si>
  <si>
    <t>Qualifying Transmission Upgrade (QTU) MWs &amp; Credits</t>
  </si>
  <si>
    <t>QTU Import Capability Cleared into Sink LDA  [MW]</t>
  </si>
  <si>
    <t>System Marginal Price*
 [$/MW-day]</t>
  </si>
  <si>
    <t>Additional Make-whole Adjustments due to NEPA [$/day)</t>
  </si>
  <si>
    <t>Preliminary Zonal Capacity Price
[$/MW-day]</t>
  </si>
  <si>
    <t>LDA Capacity Price</t>
  </si>
  <si>
    <t>A Weighted Locational Price Adder is used in the case of PS, DPL, or ATSI Equivalent.</t>
  </si>
  <si>
    <t>Additional Adjustment due to Make-whole with respect to Reference LDA
 [$/MW-day]</t>
  </si>
  <si>
    <t>Lower Voltage Facilities</t>
  </si>
  <si>
    <t>System Marginal Price               [$/MW-day]</t>
  </si>
  <si>
    <t>Adjustment due to Make-Whole         [$/MW-day]</t>
  </si>
  <si>
    <t>Regional Facilities (500 kV and above)</t>
  </si>
  <si>
    <t>b2373: Build 2nd Loudoun - Brambleton 500 kV line (effective 2018/2019)</t>
  </si>
  <si>
    <t>*System Marginal Price is the clearing price for Capacity Performance Resources in unconstrained area of RTO.</t>
  </si>
  <si>
    <t>CTRs Allocated to LSEs                   [MW]</t>
  </si>
  <si>
    <t>Economic Value of LSE CTRs        [$/day]</t>
  </si>
  <si>
    <t>CTRs Allocated to LSEs                           [MW]</t>
  </si>
  <si>
    <t>Economic Value of LSE CTRs         [$/day]</t>
  </si>
  <si>
    <t>Total Preliminary Economic Value of LSE CTRs         [$/day]</t>
  </si>
  <si>
    <t>Preliminary Zonal CTR Settlement Rate                [$/MW CTR per day]</t>
  </si>
  <si>
    <t>b0497: Install Second Conastone-Graceton 230 kV circuit; Replace Conastone 230 kV breaker 2323/2302 (effective 2017/2018)</t>
  </si>
  <si>
    <t>b1251.1, b1251: Re-build the existing and build a second Raphael-Bagley 230 kV (effective 2017/2018)</t>
  </si>
  <si>
    <t>** Locational Price Adder is with respect to the immediate higher level LDA.</t>
  </si>
  <si>
    <t>Locational Price Adder **
  [$/MW-day]</t>
  </si>
  <si>
    <t>Annual Resources  [MW]</t>
  </si>
  <si>
    <t>Annual Resources Make-whole [MW]</t>
  </si>
  <si>
    <t>Make-whole Credits for Annual Resources [$/day]</t>
  </si>
  <si>
    <t>Make-whole Credits for Summer Period Resources [$/day]</t>
  </si>
  <si>
    <t>Make-whole Credits for Winter Period Resources [$/day]</t>
  </si>
  <si>
    <t>Annual Resources Make-whole      [MW]</t>
  </si>
  <si>
    <t>Total Annual Equivalent Resources Cleared               [MW]</t>
  </si>
  <si>
    <t>Equivalent Annual Make-Whole Credits  [$/day]</t>
  </si>
  <si>
    <t>b2729: Optimal Capacitors Configuration: New 175 MVAR 230 kV capacitor bank at Brambleton substation, new 175 MVAR 230 kV capacitor bank at Ashburn substation, new 300 MVAR 230 kV capacitor bank at Shelhorn substation, new 150 MVAR 230 kV capacitor bank at Liber (effective 2020/2021)</t>
  </si>
  <si>
    <t>Resource Clearing Price                 [$/MW-day]</t>
  </si>
  <si>
    <t>Winter Period Resources           [MW]</t>
  </si>
  <si>
    <t>Seasonal Resources Matched to be Annual                 [MW]</t>
  </si>
  <si>
    <t>Resource Credits at Clearing Price [$/day]</t>
  </si>
  <si>
    <t>RTO Reliability Requirement [MW] *</t>
  </si>
  <si>
    <t>PRD Credit</t>
  </si>
  <si>
    <t>Nominated PRD Value [MW]</t>
  </si>
  <si>
    <t>PRD Credit           [$/day]</t>
  </si>
  <si>
    <t>RTO Total</t>
  </si>
  <si>
    <t>ICTRs [MW] for Regional Facilities</t>
  </si>
  <si>
    <t>Adjusted Preliminary Zonal Capacity Price          ($/MW-day)</t>
  </si>
  <si>
    <t>* RTO resources include resources from External Source Zones.</t>
  </si>
  <si>
    <t>QTU Clearing Price *      [$/MW-Day]</t>
  </si>
  <si>
    <t>* Locational Price Adder with respect to the immediate higher level LDA.</t>
  </si>
  <si>
    <t>Locational Price Adder *            [$/MW-day]</t>
  </si>
  <si>
    <t>*Locational Price Adder with respect to RTO</t>
  </si>
  <si>
    <t>Reference LDA* Capacity Price           [MW]</t>
  </si>
  <si>
    <t>* Reference LDA is EMAAC LDA for PS and DPL zones and RTO for ATSI zone.</t>
  </si>
  <si>
    <t>AEP *</t>
  </si>
  <si>
    <t>*Obligation affected by FRR quantities</t>
  </si>
  <si>
    <t>**Adjusted Preliminary Zonal Capacity Price includes adjustment to cover funding of PRD Credits.</t>
  </si>
  <si>
    <t>Base Zonal UCAP Obligation               [MW]</t>
  </si>
  <si>
    <t>Adjusted Preliminary Zonal Capacity Price**          [$/MW-day]</t>
  </si>
  <si>
    <t>Base Zonal UCAP Obligation (MW)</t>
  </si>
  <si>
    <t>Resource Clearing Prices [$/MW-day]</t>
  </si>
  <si>
    <t>Participant Buy Bids/Sell Offers Cleared [Equivalent Annual Resources in MW]</t>
  </si>
  <si>
    <t>Participant Sell Offers Cleared</t>
  </si>
  <si>
    <t>AEP ***</t>
  </si>
  <si>
    <t>DEOK ***</t>
  </si>
  <si>
    <t>EKPC ***</t>
  </si>
  <si>
    <t>*** Obligation affected by FRR quantities.</t>
  </si>
  <si>
    <t xml:space="preserve">Final Zonal Capacity Prices &amp; Adjusted Zonal CTR Credit Rates are determined based on the results of the Base Residual Auction, 1st, 2nd, and 3rd IncrementalAuctions for the DY. </t>
  </si>
  <si>
    <t>OVEC</t>
  </si>
  <si>
    <t>LDA Economic Value of ICTRs for Required Transmission Enhancements</t>
  </si>
  <si>
    <t>Weighted Locational Price Adder ($/MW-day)</t>
  </si>
  <si>
    <t>UPGRADE</t>
  </si>
  <si>
    <t>Economic Value of ICTRs ($/day)</t>
  </si>
  <si>
    <t>b0457</t>
  </si>
  <si>
    <t>b0559</t>
  </si>
  <si>
    <t>b1507</t>
  </si>
  <si>
    <t>b0487, b0489</t>
  </si>
  <si>
    <t>b1694</t>
  </si>
  <si>
    <t>b2373</t>
  </si>
  <si>
    <t>b0497</t>
  </si>
  <si>
    <t>b1304.1, b1304.2, b1304.3, b1304.4</t>
  </si>
  <si>
    <t>b1398</t>
  </si>
  <si>
    <t>b1251.1, b1251</t>
  </si>
  <si>
    <t>b2729</t>
  </si>
  <si>
    <t>LDA Total [$/day]</t>
  </si>
  <si>
    <t>Weighted Locational Price Adder is with respect to immediate higher level parent LDA.</t>
  </si>
  <si>
    <t>LDA Economic Value of ICTRs for upgrade = LDA ICTRs for upgrade * LDA Weighted Locational Price Adder.</t>
  </si>
  <si>
    <t>LDA Economic Value of ICTRs are not final until after Third Incremental Auction.</t>
  </si>
  <si>
    <t>LDA Economic Value of ICTRs for an upgrade are allocated to Responsible Customers in accordance with cost responsibility assigned to the Responsible Customers for such upgrade as set forth in Schedule
12 of the OATT.</t>
  </si>
  <si>
    <t>b2836.2</t>
  </si>
  <si>
    <t>b.2837.1</t>
  </si>
  <si>
    <t>b.2837.2</t>
  </si>
  <si>
    <t>b.2837.3</t>
  </si>
  <si>
    <t>b.2837.4</t>
  </si>
  <si>
    <t>b.2837.5</t>
  </si>
  <si>
    <t>b.2837.6</t>
  </si>
  <si>
    <t>b.2837.7</t>
  </si>
  <si>
    <t>b.2837.8</t>
  </si>
  <si>
    <t>b.2837.9</t>
  </si>
  <si>
    <t>b.2837.10</t>
  </si>
  <si>
    <t>b.2837.11</t>
  </si>
  <si>
    <t>b2836.2: Convert the N-1340 and T-1372/D-1330 (Brunswick – Trenton) 138 kV circuits to 230 kV circuits (Hunterglen - Trenton) (effective 2022/2023)</t>
  </si>
  <si>
    <t>b.2837.1: Convert the F-1358/Z-1326 and K-1363/Y-1325 (Trenton - Burlington) 138 kV circuits to 230 kV circuits (Trenton - Yardville K) (effective 2022/2023)</t>
  </si>
  <si>
    <t>b.2837.2: Convert the F-1358/Z-1326 and K-1363/Y-1325 (Trenton - Burlington) 138 kV circuits to 230 kV circuits (Yardville - Ward Ave K) (effective 2022/2023)</t>
  </si>
  <si>
    <t>b.2837.3: Convert the F-1358/Z-1326 and K-1363/Y-1325 (Trenton - Burlington) 138 kV circuits to 230 kV circuits (Ward Ave - Crosswicks Y) (effective 2022/2023)</t>
  </si>
  <si>
    <t>b.2837.4: Convert the F-1358/Z-1326 and K-1363/Y-1325 (Trenton - Burlington) 138 kV circuits to 230 kV circuits (Crosswicks - Bustleton Y) (effective 2022/2023)</t>
  </si>
  <si>
    <t>b.2837.5: Convert the F-1358/Z-1326 and K-1363/Y-1325 (Trenton - Burlington) 138 kV circuits to 230 kV circuits (Bustleton - Burlington Y) (effective 2022/2023)</t>
  </si>
  <si>
    <t>b.2837.6: Convert the F-1358/Z-1326 and K-1363/Y-1325 (Trenton - Burlington) 138 kV circuits to 230 kV circuits (Trenton - Yardville F) (effective 2022/2023)</t>
  </si>
  <si>
    <t>b.2837.7: Convert the F-1358/Z-1326 and K-1363/Y-1325 (Trenton - Burlington) 138 kV circuits to 230 kV circuits (Yardville - Ward Ave F) (effective 2022/2023)</t>
  </si>
  <si>
    <t>b.2837.8: Convert the F-1358/Z-1326 and K-1363/Y-1325 (Trenton - Burlington) 138 kV circuits to 230 kV circuits (Ward Ave - Crosswicks Z) (effective 2022/2023)</t>
  </si>
  <si>
    <t>b.2837.9: Convert the F-1358/Z-1326 and K-1363/Y-1325 (Trenton - Burlington) 138 kV circuits to 230 kV circuits (Crosswicks - Williams Z) (effective 2022/2023)</t>
  </si>
  <si>
    <t>b.2837.10: Convert the F-1358/Z-1326 and K-1363/Y-1325 (Trenton - Burlington) 138 kV circuits to 230 kV circuits (Williams - Bustleton Z) (effective 2022/2023)</t>
  </si>
  <si>
    <t>b.2837.11: Convert the F-1358/Z-1326 and K-1363/Y-1325 (Trenton - Burlington) 138 kV circuits to 230 kV circuits (Bustleton - Burlington Z) (effective 2022/2023)</t>
  </si>
  <si>
    <t>AC1-223: (Illinois Municipal Electric Agency) Upgrade on E. Frankfort - University Park 345 kV (effective 2021/2022)</t>
  </si>
  <si>
    <t>M05: (H-P Energy Resources) Replace Wave Traps at Bedington and Black Oak 500 KV (effective 2009/2010)</t>
  </si>
  <si>
    <t>Y1-082: (H-P Energy Resources) Uprate bus equipment at Wye Mills 69 kV substation (effective 2016/2017)</t>
  </si>
  <si>
    <t>Y3-082: (H-P Energy Resources) Upgrade Easton-Trappe Tap 69 kV circuit to 136/174 MVA SN/SE (effective 2017/2018)</t>
  </si>
  <si>
    <t>Y3-064: (H-P Energy Resources) Pierce 18 - Beckjord 138 kV circuit '1887' to an SE of 603 MVA (effective 2017/2018)</t>
  </si>
  <si>
    <t>Z2-017: (H-P Energy Resources) Bristers Ox 500 kV (effective 2018/2019)</t>
  </si>
  <si>
    <t>AA2-054: (Boston Energy Trading and Marketing) Pamphrey 230 kV Upgrade (effective 2019/2020)</t>
  </si>
  <si>
    <t>AB2-020: (Chesapeake Transmission) 40 MW Uprate to Roseland - Williams (effective 2020/2021)</t>
  </si>
  <si>
    <t>AB2-021: (H-P Energy Resources) 100 MW Uprate to Keeny - Rocksprings 500 kV (effective 2020/2021)</t>
  </si>
  <si>
    <t>W4-005: (Radford's Run Wind Farm) Radford's Run Wind Farm (effective 2019/2020)</t>
  </si>
  <si>
    <t>AD2-018: (Calpine Mid-Atlantic Development) Roseland-Cedar Grove 230 kV Line (effective 2022/2023)</t>
  </si>
  <si>
    <t>AD2-019: (Calpine Mid-Atlantic Development) Williams-Cedar Grove 230 kV Line (effective 2022/2023)</t>
  </si>
  <si>
    <t>Summer Period Resources           [MW]</t>
  </si>
  <si>
    <t>LDA*</t>
  </si>
  <si>
    <t>b3726: Install 2 new 500kV breakers, upgrade relay Black Oak (effective 2025/2026)</t>
  </si>
  <si>
    <t>Pricing Point Definitions may be found on the PJM.com website under Markets/ Reliability Pricing Model/ Auction User Info.</t>
  </si>
  <si>
    <t>Pricing Point</t>
  </si>
  <si>
    <t>AECO_LDA_CP</t>
  </si>
  <si>
    <t>AEP_LDA_CP</t>
  </si>
  <si>
    <t>APS_LDA_CP</t>
  </si>
  <si>
    <t>ATSI_LDA_CP</t>
  </si>
  <si>
    <t>ATSI_CLEV_LDA_CP</t>
  </si>
  <si>
    <t>BGE_LDA_CP</t>
  </si>
  <si>
    <t>COMED_LDA_CP</t>
  </si>
  <si>
    <t>DAY_LDA_CP</t>
  </si>
  <si>
    <t>DEOK_LDA_CP</t>
  </si>
  <si>
    <t>DOM_LDA_CP</t>
  </si>
  <si>
    <t>DPL_LDA_CP</t>
  </si>
  <si>
    <t>DPLS_LDA_CP</t>
  </si>
  <si>
    <t>DUQ_LDA_CP</t>
  </si>
  <si>
    <t>EKPC_LDA_CP</t>
  </si>
  <si>
    <t>EMAAC_LDA_CP</t>
  </si>
  <si>
    <t>JCPL_LDA_CP</t>
  </si>
  <si>
    <t>MAAC_LDA_CP</t>
  </si>
  <si>
    <t>METED_LDA_CP</t>
  </si>
  <si>
    <t>PECO_LDA_CP</t>
  </si>
  <si>
    <t>PENELEC_LDA_CP</t>
  </si>
  <si>
    <t>PEPCO_LDA_CP</t>
  </si>
  <si>
    <t>PPL_LDA_CP</t>
  </si>
  <si>
    <t>PSEG_LDA_CP</t>
  </si>
  <si>
    <t>PSEGN_LDA_CP</t>
  </si>
  <si>
    <t>SWMAAC_LDA_CP</t>
  </si>
  <si>
    <t>WMAAC_LDA_CP</t>
  </si>
  <si>
    <t>WPJM_LDA_CP</t>
  </si>
  <si>
    <t>AE_Net Load</t>
  </si>
  <si>
    <t>AEP_Net Load</t>
  </si>
  <si>
    <t>APS_Net Load</t>
  </si>
  <si>
    <t>ATSI_Net Load</t>
  </si>
  <si>
    <t>BGE_Net Load</t>
  </si>
  <si>
    <t>COMED_Net Load</t>
  </si>
  <si>
    <t>DAY_Net Load</t>
  </si>
  <si>
    <t>DEOK_Net Load</t>
  </si>
  <si>
    <t>DOM_Net Load</t>
  </si>
  <si>
    <t>DPL_Net Load</t>
  </si>
  <si>
    <t>DUQ_Net Load</t>
  </si>
  <si>
    <t>EKPC_Net Load</t>
  </si>
  <si>
    <t>EMAAC_Net Load</t>
  </si>
  <si>
    <t>JCPL_Net Load</t>
  </si>
  <si>
    <t>METED_Net Load</t>
  </si>
  <si>
    <t>OVEC_Net Load</t>
  </si>
  <si>
    <t>PECO_Net Load</t>
  </si>
  <si>
    <t>PENELEC_Net Load</t>
  </si>
  <si>
    <t>PEPCO_Net Load</t>
  </si>
  <si>
    <t>PPL_Net Load</t>
  </si>
  <si>
    <t>PSEG_Net Load</t>
  </si>
  <si>
    <t>RECO_Net Load</t>
  </si>
  <si>
    <t>SWMAAC_Net Load</t>
  </si>
  <si>
    <t>AECO_PZonal</t>
  </si>
  <si>
    <t>AEP_PZonal</t>
  </si>
  <si>
    <t>APS_PZonal</t>
  </si>
  <si>
    <t>ATSI_Pzonal</t>
  </si>
  <si>
    <t>BGE_PZonal</t>
  </si>
  <si>
    <t>COMED_PZonal</t>
  </si>
  <si>
    <t>DAY_PZonal</t>
  </si>
  <si>
    <t>DEOK_PZonal</t>
  </si>
  <si>
    <t>DOM_PZonal</t>
  </si>
  <si>
    <t>DPL_PZonal</t>
  </si>
  <si>
    <t>DUQ_PZonal</t>
  </si>
  <si>
    <t>EKPC_Pzonal</t>
  </si>
  <si>
    <t>JCPL_PZonal</t>
  </si>
  <si>
    <t>METED_PZonal</t>
  </si>
  <si>
    <t>OVEC_Pzonal</t>
  </si>
  <si>
    <t>PECO_PZonal</t>
  </si>
  <si>
    <t>PENELEC_PZonal</t>
  </si>
  <si>
    <t>PEPCO_PZonal</t>
  </si>
  <si>
    <t>PPL_PZonal</t>
  </si>
  <si>
    <t>PSEG_PZonal</t>
  </si>
  <si>
    <t>RECO_PZonal</t>
  </si>
  <si>
    <t>AECO_FZonal</t>
  </si>
  <si>
    <t>AEP_FZonal</t>
  </si>
  <si>
    <t>APS_FZonal</t>
  </si>
  <si>
    <t>ATSI_FZonal</t>
  </si>
  <si>
    <t>BGE_FZonal</t>
  </si>
  <si>
    <t>COMED_FZonal</t>
  </si>
  <si>
    <t>DAY_FZonal</t>
  </si>
  <si>
    <t>DEOK_FZonal</t>
  </si>
  <si>
    <t>DOM_FZonal</t>
  </si>
  <si>
    <t>DPL_FZonal</t>
  </si>
  <si>
    <t>DUQ_FZonal</t>
  </si>
  <si>
    <t>EKPZ_Fzonal</t>
  </si>
  <si>
    <t>JCPL_FZonal</t>
  </si>
  <si>
    <t>METED_FZonal</t>
  </si>
  <si>
    <t>OVEC_FZonal</t>
  </si>
  <si>
    <t>PECO_FZonal</t>
  </si>
  <si>
    <t>PENELEC_FZonal</t>
  </si>
  <si>
    <t>PEPCO_FZonal</t>
  </si>
  <si>
    <t>PPL_FZonal</t>
  </si>
  <si>
    <t>PSEG_FZonal</t>
  </si>
  <si>
    <t>RECO_FZonal</t>
  </si>
  <si>
    <t>AECO_3IA_LDA_CP</t>
  </si>
  <si>
    <t>AEP_3IA_LDA_CP</t>
  </si>
  <si>
    <t>APS_3IA_LDA_CP</t>
  </si>
  <si>
    <t>ATSI_3IA_LDA_CP</t>
  </si>
  <si>
    <t>ATSI_CLEV_3IA_LDA_CP</t>
  </si>
  <si>
    <t>BGE_3IA_LDA_CP</t>
  </si>
  <si>
    <t>COMED_3IA_LDA_CP</t>
  </si>
  <si>
    <t>DAY_3IA_LDA_CP</t>
  </si>
  <si>
    <t>DEOK_3IA_LDA_CP</t>
  </si>
  <si>
    <t>DOM_3IA_LDA_CP</t>
  </si>
  <si>
    <t>DPL_3IA_LDA_CP</t>
  </si>
  <si>
    <t>DPLS_3IA_LDA_CP</t>
  </si>
  <si>
    <t>DUQ_3IA_LDA_CP</t>
  </si>
  <si>
    <t>EKPC_3IA_LDA_CP</t>
  </si>
  <si>
    <t>EMAAC_3IA_LDA_CP</t>
  </si>
  <si>
    <t>JCPL_3IA_LDA_CP</t>
  </si>
  <si>
    <t>MAAC_3IA_LDA_CP</t>
  </si>
  <si>
    <t>METED_3IA_LDA_CP</t>
  </si>
  <si>
    <t>PECO_3IA_LDA_CP</t>
  </si>
  <si>
    <t>PENELEC_3IA_LDA_CP</t>
  </si>
  <si>
    <t>PEPCO_3IA_LDA_CP</t>
  </si>
  <si>
    <t>PPL_3IA_LDA_CP</t>
  </si>
  <si>
    <t>PSEG_3IA_LDA_CP</t>
  </si>
  <si>
    <t>PSEGN_3IA_LDA_CP</t>
  </si>
  <si>
    <t>SWMAAC_3IA_LDA_CP</t>
  </si>
  <si>
    <t>WMAAC_3IA_LDA_CP</t>
  </si>
  <si>
    <t>WPJM_3IA_LDA_CP</t>
  </si>
  <si>
    <t>TBD</t>
  </si>
  <si>
    <t>Pool-Wide Accredited UCAP Factor</t>
  </si>
  <si>
    <t>b3726</t>
  </si>
  <si>
    <t>b3718.3: Construct new 500 kV transmission line along with substation upgrades at Wishing Star and Mars.</t>
  </si>
  <si>
    <t>b3718.3</t>
  </si>
  <si>
    <t>*PRD reduction.</t>
  </si>
  <si>
    <t>2024 W/N Coincident Peak Load                     [MW]</t>
  </si>
  <si>
    <t>Reference Resource AUCAP Factor</t>
  </si>
  <si>
    <t>Cleared MW Times Clearing Price</t>
  </si>
  <si>
    <t>***Scaling Factors based on RPM specific load</t>
  </si>
  <si>
    <t>Zonal Forecast Peak Load Scaling Factor***</t>
  </si>
  <si>
    <t>2027/2028 BRA Summary of Auction Results</t>
  </si>
  <si>
    <t>The pricing point values are effective from June 1, 2027 thru May 31, 2028.</t>
  </si>
  <si>
    <t>2027/2028 Value ($/MW-day)</t>
  </si>
  <si>
    <t>2027/2028 BRA Resource Clearing Results</t>
  </si>
  <si>
    <t>2027/2028 BRA Load Pricing Results</t>
  </si>
  <si>
    <t>2027/2028 DY BRA CTRs</t>
  </si>
  <si>
    <t xml:space="preserve">2027/2028 BRA ICTRs </t>
  </si>
  <si>
    <t>2027/2028 Prelim. Zonal Peak Load Forecast                     [MW]</t>
  </si>
  <si>
    <t xml:space="preserve">DEOK </t>
  </si>
  <si>
    <t xml:space="preserve">EKPC </t>
  </si>
  <si>
    <t>2027 RPM Load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</si>
</sst>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7" formatCode="&quot;$&quot;#,##0.00_);\(&quot;$&quot;#,##0.00\)"/>
    <numFmt numFmtId="44" formatCode="_(&quot;$&quot;* #,##0.00_);_(&quot;$&quot;* \(#,##0.00\);_(&quot;$&quot;* &quot;-&quot;??_);_(@_)"/>
    <numFmt numFmtId="43" formatCode="_(* #,##0.00_);_(* \(#,##0.00\);_(* &quot;-&quot;??_);_(@_)"/>
    <numFmt numFmtId="164" formatCode="0.0"/>
    <numFmt numFmtId="165" formatCode="&quot;$&quot;#,##0.00"/>
    <numFmt numFmtId="166" formatCode="0.0%"/>
    <numFmt numFmtId="167" formatCode="0.00000"/>
    <numFmt numFmtId="168" formatCode="0.0000"/>
    <numFmt numFmtId="169" formatCode="#,##0.0"/>
    <numFmt numFmtId="170" formatCode="&quot;$&quot;#,##0.00000"/>
    <numFmt numFmtId="171" formatCode="0.000000"/>
    <numFmt numFmtId="172" formatCode="_(* #,##0.0_);_(* \(#,##0.0\);_(* &quot;-&quot;??_);_(@_)"/>
    <numFmt numFmtId="173" formatCode="_(* #,##0.00000_);_(* \(#,##0.00000\);_(* &quot;-&quot;?????_);_(@_)"/>
    <numFmt numFmtId="174" formatCode="&quot;$&quot;#,##0.000000"/>
    <numFmt numFmtId="175" formatCode="&quot;$&quot;#,##0.0000"/>
    <numFmt numFmtId="176" formatCode="&quot;$&quot;#,##0.00000000"/>
    <numFmt numFmtId="177" formatCode="_(* #,##0.0000000_);_(* \(#,##0.0000000\);_(* &quot;-&quot;??_);_(@_)"/>
    <numFmt numFmtId="178" formatCode="&quot;$&quot;#,##0.0000000"/>
    <numFmt numFmtId="179" formatCode="&quot;$&quot;#,##0.0"/>
    <numFmt numFmtId="180" formatCode="&quot;$&quot;#,##0.000"/>
  </numFmts>
  <fonts count="33" x14ac:knownFonts="1">
    <font>
      <sz val="10"/>
      <name val="Arial"/>
    </font>
    <font>
      <sz val="11"/>
      <color theme="1"/>
      <name val="Calibri"/>
      <family val="2"/>
      <scheme val="minor"/>
    </font>
    <font>
      <sz val="10"/>
      <name val="Arial"/>
      <family val="2"/>
    </font>
    <font>
      <b/>
      <i/>
      <sz val="14"/>
      <name val="Arial"/>
      <family val="2"/>
    </font>
    <font>
      <sz val="14"/>
      <name val="Arial"/>
      <family val="2"/>
    </font>
    <font>
      <sz val="10"/>
      <name val="Arial"/>
      <family val="2"/>
    </font>
    <font>
      <b/>
      <sz val="10"/>
      <name val="Arial"/>
      <family val="2"/>
    </font>
    <font>
      <sz val="11"/>
      <name val="Arial"/>
      <family val="2"/>
    </font>
    <font>
      <i/>
      <sz val="10"/>
      <name val="Arial"/>
      <family val="2"/>
    </font>
    <font>
      <sz val="10"/>
      <color rgb="FFFF0000"/>
      <name val="Arial"/>
      <family val="2"/>
    </font>
    <font>
      <b/>
      <sz val="10"/>
      <color rgb="FFFF0000"/>
      <name val="Arial"/>
      <family val="2"/>
    </font>
    <font>
      <b/>
      <sz val="11"/>
      <color rgb="FFFF0000"/>
      <name val="Arial"/>
      <family val="2"/>
    </font>
    <font>
      <b/>
      <sz val="10"/>
      <name val="Calibri"/>
      <family val="2"/>
      <scheme val="minor"/>
    </font>
    <font>
      <sz val="10"/>
      <name val="Calibri"/>
      <family val="2"/>
      <scheme val="minor"/>
    </font>
    <font>
      <b/>
      <i/>
      <sz val="14"/>
      <name val="Calibri"/>
      <family val="2"/>
      <scheme val="minor"/>
    </font>
    <font>
      <b/>
      <sz val="14"/>
      <name val="Calibri"/>
      <family val="2"/>
      <scheme val="minor"/>
    </font>
    <font>
      <b/>
      <sz val="10"/>
      <color rgb="FFFF0000"/>
      <name val="Calibri"/>
      <family val="2"/>
      <scheme val="minor"/>
    </font>
    <font>
      <b/>
      <i/>
      <sz val="12"/>
      <name val="Calibri"/>
      <family val="2"/>
      <scheme val="minor"/>
    </font>
    <font>
      <sz val="10"/>
      <color rgb="FFFF0000"/>
      <name val="Calibri"/>
      <family val="2"/>
      <scheme val="minor"/>
    </font>
    <font>
      <i/>
      <sz val="10"/>
      <name val="Calibri"/>
      <family val="2"/>
      <scheme val="minor"/>
    </font>
    <font>
      <b/>
      <sz val="10"/>
      <color indexed="10"/>
      <name val="Calibri"/>
      <family val="2"/>
      <scheme val="minor"/>
    </font>
    <font>
      <b/>
      <i/>
      <sz val="10"/>
      <name val="Calibri"/>
      <family val="2"/>
      <scheme val="minor"/>
    </font>
    <font>
      <b/>
      <sz val="12"/>
      <name val="Calibri"/>
      <family val="2"/>
      <scheme val="minor"/>
    </font>
    <font>
      <i/>
      <sz val="10"/>
      <color rgb="FFFF0000"/>
      <name val="Calibri"/>
      <family val="2"/>
      <scheme val="minor"/>
    </font>
    <font>
      <i/>
      <sz val="12"/>
      <name val="Calibri"/>
      <family val="2"/>
      <scheme val="minor"/>
    </font>
    <font>
      <b/>
      <i/>
      <sz val="12"/>
      <color rgb="FFFF0000"/>
      <name val="Calibri"/>
      <family val="2"/>
      <scheme val="minor"/>
    </font>
    <font>
      <b/>
      <sz val="12"/>
      <color rgb="FFFF0000"/>
      <name val="Calibri"/>
      <family val="2"/>
      <scheme val="minor"/>
    </font>
    <font>
      <sz val="8"/>
      <name val="Arial"/>
      <family val="2"/>
    </font>
    <font>
      <sz val="8"/>
      <color rgb="FFFF0000"/>
      <name val="Arial"/>
      <family val="2"/>
    </font>
    <font>
      <b/>
      <i/>
      <sz val="10"/>
      <name val="Arial"/>
      <family val="2"/>
    </font>
    <font>
      <b/>
      <sz val="12"/>
      <name val="Arial"/>
      <family val="2"/>
    </font>
    <font>
      <sz val="11"/>
      <color rgb="FF000000"/>
      <name val="Arial"/>
      <family val="2"/>
    </font>
    <font>
      <sz val="12"/>
      <name val="Arial"/>
      <family val="2"/>
    </font>
  </fonts>
  <fills count="13">
    <fill>
      <patternFill patternType="none"/>
    </fill>
    <fill>
      <patternFill patternType="gray125"/>
    </fill>
    <fill>
      <patternFill patternType="solid">
        <fgColor theme="8"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0.249977111117893"/>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thin">
        <color indexed="64"/>
      </bottom>
      <diagonal/>
    </border>
  </borders>
  <cellStyleXfs count="15">
    <xf numFmtId="0" fontId="0" fillId="0" borderId="0"/>
    <xf numFmtId="43" fontId="2"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0" fontId="5" fillId="0" borderId="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cellStyleXfs>
  <cellXfs count="382">
    <xf numFmtId="0" fontId="0" fillId="0" borderId="0" xfId="0"/>
    <xf numFmtId="0" fontId="3" fillId="0" borderId="0" xfId="0" applyFont="1"/>
    <xf numFmtId="0" fontId="4" fillId="0" borderId="0" xfId="0" applyFont="1"/>
    <xf numFmtId="0" fontId="5" fillId="0" borderId="0" xfId="0" applyFont="1"/>
    <xf numFmtId="164" fontId="5" fillId="0" borderId="0" xfId="0" applyNumberFormat="1" applyFont="1"/>
    <xf numFmtId="0" fontId="6" fillId="0" borderId="0" xfId="0" applyFont="1" applyAlignment="1">
      <alignment horizontal="center" wrapText="1"/>
    </xf>
    <xf numFmtId="0" fontId="10" fillId="0" borderId="0" xfId="0" applyFont="1"/>
    <xf numFmtId="44" fontId="6" fillId="0" borderId="0" xfId="3" applyFont="1" applyBorder="1" applyAlignment="1">
      <alignment horizontal="center"/>
    </xf>
    <xf numFmtId="0" fontId="11" fillId="0" borderId="0" xfId="0" applyFont="1" applyAlignment="1">
      <alignment horizontal="left"/>
    </xf>
    <xf numFmtId="0" fontId="9" fillId="0" borderId="0" xfId="0" applyFont="1"/>
    <xf numFmtId="0" fontId="6" fillId="0" borderId="0" xfId="0" applyFont="1" applyAlignment="1">
      <alignment horizontal="center"/>
    </xf>
    <xf numFmtId="0" fontId="13" fillId="0" borderId="0" xfId="0" applyFont="1"/>
    <xf numFmtId="0" fontId="13" fillId="0" borderId="1" xfId="0" applyFont="1" applyBorder="1"/>
    <xf numFmtId="0" fontId="13" fillId="0" borderId="0" xfId="0" applyFont="1" applyAlignment="1">
      <alignment vertical="center"/>
    </xf>
    <xf numFmtId="0" fontId="12" fillId="0" borderId="1" xfId="0" applyFont="1" applyBorder="1" applyAlignment="1">
      <alignment horizontal="center" wrapText="1"/>
    </xf>
    <xf numFmtId="0" fontId="13" fillId="0" borderId="0" xfId="0" applyFont="1" applyAlignment="1">
      <alignment wrapText="1"/>
    </xf>
    <xf numFmtId="0" fontId="12" fillId="0" borderId="0" xfId="0" applyFont="1" applyAlignment="1">
      <alignment horizontal="center" wrapText="1"/>
    </xf>
    <xf numFmtId="165" fontId="13" fillId="0" borderId="1" xfId="0" applyNumberFormat="1" applyFont="1" applyBorder="1" applyAlignment="1">
      <alignment horizontal="right"/>
    </xf>
    <xf numFmtId="165" fontId="13" fillId="0" borderId="0" xfId="0" applyNumberFormat="1" applyFont="1" applyAlignment="1">
      <alignment horizontal="right"/>
    </xf>
    <xf numFmtId="165" fontId="13" fillId="0" borderId="0" xfId="0" applyNumberFormat="1" applyFont="1"/>
    <xf numFmtId="165" fontId="16" fillId="0" borderId="0" xfId="0" applyNumberFormat="1" applyFont="1" applyAlignment="1">
      <alignment horizontal="left"/>
    </xf>
    <xf numFmtId="0" fontId="13" fillId="0" borderId="0" xfId="0" applyFont="1" applyAlignment="1">
      <alignment horizontal="right"/>
    </xf>
    <xf numFmtId="164" fontId="13" fillId="0" borderId="0" xfId="0" applyNumberFormat="1" applyFont="1" applyAlignment="1">
      <alignment horizontal="right"/>
    </xf>
    <xf numFmtId="165" fontId="12" fillId="0" borderId="0" xfId="0" applyNumberFormat="1" applyFont="1" applyAlignment="1">
      <alignment horizontal="right"/>
    </xf>
    <xf numFmtId="165" fontId="12" fillId="0" borderId="0" xfId="0" applyNumberFormat="1" applyFont="1" applyAlignment="1">
      <alignment horizontal="center"/>
    </xf>
    <xf numFmtId="165" fontId="12" fillId="0" borderId="1" xfId="0" applyNumberFormat="1" applyFont="1" applyBorder="1" applyAlignment="1">
      <alignment horizontal="right"/>
    </xf>
    <xf numFmtId="169" fontId="13" fillId="0" borderId="1" xfId="0" applyNumberFormat="1" applyFont="1" applyBorder="1" applyAlignment="1">
      <alignment horizontal="right"/>
    </xf>
    <xf numFmtId="172" fontId="13" fillId="0" borderId="1" xfId="1" applyNumberFormat="1" applyFont="1" applyFill="1" applyBorder="1" applyAlignment="1">
      <alignment horizontal="right"/>
    </xf>
    <xf numFmtId="172" fontId="13" fillId="0" borderId="0" xfId="0" applyNumberFormat="1" applyFont="1"/>
    <xf numFmtId="0" fontId="13" fillId="0" borderId="2" xfId="0" applyFont="1" applyBorder="1"/>
    <xf numFmtId="169" fontId="13" fillId="0" borderId="1" xfId="0" applyNumberFormat="1" applyFont="1" applyBorder="1"/>
    <xf numFmtId="165" fontId="13" fillId="0" borderId="1" xfId="0" applyNumberFormat="1" applyFont="1" applyBorder="1"/>
    <xf numFmtId="165" fontId="13" fillId="0" borderId="3" xfId="0" applyNumberFormat="1" applyFont="1" applyBorder="1"/>
    <xf numFmtId="169" fontId="12" fillId="0" borderId="1" xfId="0" applyNumberFormat="1" applyFont="1" applyBorder="1" applyAlignment="1">
      <alignment horizontal="right"/>
    </xf>
    <xf numFmtId="169" fontId="13" fillId="0" borderId="0" xfId="0" applyNumberFormat="1" applyFont="1" applyAlignment="1">
      <alignment horizontal="right"/>
    </xf>
    <xf numFmtId="169" fontId="13" fillId="0" borderId="0" xfId="0" applyNumberFormat="1" applyFont="1" applyAlignment="1">
      <alignment horizontal="left"/>
    </xf>
    <xf numFmtId="169" fontId="13" fillId="0" borderId="0" xfId="0" applyNumberFormat="1" applyFont="1"/>
    <xf numFmtId="0" fontId="14" fillId="0" borderId="0" xfId="0" applyFont="1"/>
    <xf numFmtId="0" fontId="12" fillId="0" borderId="0" xfId="0" applyFont="1"/>
    <xf numFmtId="0" fontId="15" fillId="0" borderId="0" xfId="0" applyFont="1"/>
    <xf numFmtId="0" fontId="17" fillId="0" borderId="0" xfId="0" applyFont="1" applyAlignment="1">
      <alignment horizontal="left" vertical="center"/>
    </xf>
    <xf numFmtId="165" fontId="13" fillId="0" borderId="0" xfId="0" applyNumberFormat="1" applyFont="1" applyAlignment="1">
      <alignment horizontal="center"/>
    </xf>
    <xf numFmtId="0" fontId="12" fillId="0" borderId="1" xfId="0" applyFont="1" applyBorder="1"/>
    <xf numFmtId="165" fontId="12" fillId="0" borderId="1" xfId="0" applyNumberFormat="1" applyFont="1" applyBorder="1"/>
    <xf numFmtId="169" fontId="13" fillId="0" borderId="0" xfId="0" applyNumberFormat="1" applyFont="1" applyAlignment="1">
      <alignment horizontal="center"/>
    </xf>
    <xf numFmtId="165" fontId="13" fillId="0" borderId="0" xfId="0" applyNumberFormat="1" applyFont="1" applyAlignment="1">
      <alignment horizontal="center" wrapText="1"/>
    </xf>
    <xf numFmtId="164" fontId="18" fillId="0" borderId="0" xfId="0" applyNumberFormat="1" applyFont="1" applyAlignment="1">
      <alignment horizontal="center"/>
    </xf>
    <xf numFmtId="165" fontId="13" fillId="0" borderId="0" xfId="1" applyNumberFormat="1" applyFont="1" applyBorder="1" applyAlignment="1">
      <alignment horizontal="center"/>
    </xf>
    <xf numFmtId="172" fontId="13" fillId="0" borderId="0" xfId="1" applyNumberFormat="1" applyFont="1" applyBorder="1" applyAlignment="1">
      <alignment horizontal="center"/>
    </xf>
    <xf numFmtId="172" fontId="16" fillId="0" borderId="0" xfId="1" applyNumberFormat="1" applyFont="1" applyBorder="1" applyAlignment="1">
      <alignment horizontal="left"/>
    </xf>
    <xf numFmtId="164" fontId="13" fillId="0" borderId="0" xfId="0" applyNumberFormat="1" applyFont="1" applyAlignment="1">
      <alignment horizontal="center"/>
    </xf>
    <xf numFmtId="165" fontId="13" fillId="0" borderId="0" xfId="3" applyNumberFormat="1" applyFont="1" applyBorder="1" applyAlignment="1">
      <alignment horizontal="center"/>
    </xf>
    <xf numFmtId="164" fontId="13" fillId="0" borderId="0" xfId="0" applyNumberFormat="1" applyFont="1"/>
    <xf numFmtId="4" fontId="13" fillId="0" borderId="0" xfId="0" applyNumberFormat="1" applyFont="1" applyAlignment="1">
      <alignment horizontal="right"/>
    </xf>
    <xf numFmtId="173" fontId="13" fillId="0" borderId="0" xfId="0" applyNumberFormat="1" applyFont="1"/>
    <xf numFmtId="165" fontId="13" fillId="0" borderId="1" xfId="0" applyNumberFormat="1" applyFont="1" applyBorder="1" applyAlignment="1">
      <alignment horizontal="right" wrapText="1"/>
    </xf>
    <xf numFmtId="0" fontId="13" fillId="0" borderId="0" xfId="0" applyFont="1" applyAlignment="1">
      <alignment horizontal="left" wrapText="1"/>
    </xf>
    <xf numFmtId="171" fontId="19" fillId="0" borderId="0" xfId="0" applyNumberFormat="1" applyFont="1"/>
    <xf numFmtId="165" fontId="20" fillId="0" borderId="0" xfId="0" applyNumberFormat="1" applyFont="1"/>
    <xf numFmtId="0" fontId="18" fillId="0" borderId="0" xfId="0" applyFont="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7" xfId="0" applyFont="1" applyBorder="1" applyAlignment="1">
      <alignment horizontal="center" wrapText="1"/>
    </xf>
    <xf numFmtId="0" fontId="13" fillId="0" borderId="1" xfId="0" applyFont="1" applyBorder="1" applyAlignment="1">
      <alignment horizontal="center"/>
    </xf>
    <xf numFmtId="0" fontId="13" fillId="0" borderId="3" xfId="0" applyFont="1" applyBorder="1" applyAlignment="1">
      <alignment horizontal="center"/>
    </xf>
    <xf numFmtId="0" fontId="13" fillId="0" borderId="8" xfId="0" applyFont="1" applyBorder="1" applyAlignment="1">
      <alignment horizontal="center"/>
    </xf>
    <xf numFmtId="0" fontId="13" fillId="0" borderId="4" xfId="0" applyFont="1" applyBorder="1" applyAlignment="1">
      <alignment horizontal="center"/>
    </xf>
    <xf numFmtId="0" fontId="19" fillId="0" borderId="0" xfId="0" applyFont="1"/>
    <xf numFmtId="0" fontId="21" fillId="0" borderId="0" xfId="0" applyFont="1"/>
    <xf numFmtId="7" fontId="13" fillId="0" borderId="0" xfId="0" applyNumberFormat="1" applyFont="1"/>
    <xf numFmtId="7" fontId="13" fillId="0" borderId="0" xfId="0" applyNumberFormat="1" applyFont="1" applyAlignment="1">
      <alignment horizontal="left" wrapText="1"/>
    </xf>
    <xf numFmtId="43" fontId="13" fillId="0" borderId="0" xfId="0" applyNumberFormat="1" applyFont="1"/>
    <xf numFmtId="0" fontId="16" fillId="0" borderId="0" xfId="0" applyFont="1"/>
    <xf numFmtId="0" fontId="16" fillId="0" borderId="0" xfId="0" applyFont="1" applyAlignment="1">
      <alignment horizontal="right"/>
    </xf>
    <xf numFmtId="0" fontId="12" fillId="0" borderId="6" xfId="0" applyFont="1" applyBorder="1" applyAlignment="1">
      <alignment horizontal="center" vertical="center" wrapText="1"/>
    </xf>
    <xf numFmtId="0" fontId="13" fillId="0" borderId="2" xfId="0" applyFont="1" applyBorder="1" applyAlignment="1">
      <alignment horizontal="left"/>
    </xf>
    <xf numFmtId="3" fontId="13" fillId="0" borderId="1" xfId="0" applyNumberFormat="1" applyFont="1" applyBorder="1" applyAlignment="1">
      <alignment horizontal="right"/>
    </xf>
    <xf numFmtId="164" fontId="13" fillId="0" borderId="1" xfId="1" applyNumberFormat="1" applyFont="1" applyBorder="1"/>
    <xf numFmtId="0" fontId="13" fillId="0" borderId="0" xfId="0" applyFont="1" applyAlignment="1">
      <alignment horizontal="left"/>
    </xf>
    <xf numFmtId="165" fontId="12" fillId="0" borderId="0" xfId="0" applyNumberFormat="1" applyFont="1"/>
    <xf numFmtId="0" fontId="18" fillId="0" borderId="0" xfId="0" applyFont="1"/>
    <xf numFmtId="164" fontId="13" fillId="0" borderId="0" xfId="0" applyNumberFormat="1" applyFont="1" applyAlignment="1">
      <alignment horizontal="left"/>
    </xf>
    <xf numFmtId="165" fontId="13" fillId="0" borderId="4" xfId="0" applyNumberFormat="1" applyFont="1" applyBorder="1" applyAlignment="1">
      <alignment horizontal="center" vertical="center"/>
    </xf>
    <xf numFmtId="164" fontId="13" fillId="0" borderId="2" xfId="0" applyNumberFormat="1" applyFont="1" applyBorder="1" applyAlignment="1">
      <alignment horizontal="right"/>
    </xf>
    <xf numFmtId="165" fontId="13" fillId="0" borderId="3" xfId="3" applyNumberFormat="1" applyFont="1" applyBorder="1" applyAlignment="1">
      <alignment horizontal="right"/>
    </xf>
    <xf numFmtId="169" fontId="13" fillId="0" borderId="2" xfId="0" applyNumberFormat="1" applyFont="1" applyBorder="1" applyAlignment="1">
      <alignment horizontal="right"/>
    </xf>
    <xf numFmtId="172" fontId="13" fillId="0" borderId="2" xfId="1" applyNumberFormat="1" applyFont="1" applyBorder="1" applyAlignment="1">
      <alignment horizontal="right"/>
    </xf>
    <xf numFmtId="0" fontId="13" fillId="0" borderId="9" xfId="0" applyFont="1" applyBorder="1"/>
    <xf numFmtId="164" fontId="13" fillId="0" borderId="10" xfId="0" applyNumberFormat="1" applyFont="1" applyBorder="1" applyAlignment="1">
      <alignment horizontal="right"/>
    </xf>
    <xf numFmtId="165" fontId="13" fillId="0" borderId="11" xfId="3" applyNumberFormat="1" applyFont="1" applyBorder="1" applyAlignment="1">
      <alignment horizontal="right"/>
    </xf>
    <xf numFmtId="164" fontId="12" fillId="0" borderId="12" xfId="0" applyNumberFormat="1" applyFont="1" applyBorder="1" applyAlignment="1">
      <alignment horizontal="right"/>
    </xf>
    <xf numFmtId="165" fontId="12" fillId="0" borderId="13" xfId="3" applyNumberFormat="1" applyFont="1" applyBorder="1" applyAlignment="1">
      <alignment horizontal="right"/>
    </xf>
    <xf numFmtId="169" fontId="13" fillId="0" borderId="12" xfId="0" applyNumberFormat="1" applyFont="1" applyBorder="1" applyAlignment="1">
      <alignment horizontal="right"/>
    </xf>
    <xf numFmtId="165" fontId="12" fillId="0" borderId="14" xfId="3" applyNumberFormat="1" applyFont="1" applyBorder="1" applyAlignment="1">
      <alignment horizontal="right"/>
    </xf>
    <xf numFmtId="44" fontId="12" fillId="0" borderId="14" xfId="3" applyFont="1" applyBorder="1" applyAlignment="1">
      <alignment horizontal="right"/>
    </xf>
    <xf numFmtId="44" fontId="12" fillId="0" borderId="13" xfId="3" applyFont="1" applyBorder="1" applyAlignment="1">
      <alignment horizontal="right"/>
    </xf>
    <xf numFmtId="165" fontId="13" fillId="0" borderId="9" xfId="0" applyNumberFormat="1" applyFont="1" applyBorder="1" applyAlignment="1">
      <alignment horizontal="center" wrapText="1"/>
    </xf>
    <xf numFmtId="165" fontId="13" fillId="0" borderId="4" xfId="3" applyNumberFormat="1" applyFont="1" applyBorder="1" applyAlignment="1">
      <alignment horizontal="center" vertical="center"/>
    </xf>
    <xf numFmtId="10" fontId="13" fillId="0" borderId="1" xfId="6" applyNumberFormat="1" applyFont="1" applyFill="1" applyBorder="1" applyAlignment="1">
      <alignment horizontal="right"/>
    </xf>
    <xf numFmtId="0" fontId="13" fillId="0" borderId="10" xfId="0" applyFont="1" applyBorder="1"/>
    <xf numFmtId="165" fontId="13" fillId="0" borderId="11" xfId="0" applyNumberFormat="1" applyFont="1" applyBorder="1"/>
    <xf numFmtId="0" fontId="12" fillId="0" borderId="0" xfId="0" applyFont="1" applyAlignment="1">
      <alignment horizontal="center"/>
    </xf>
    <xf numFmtId="164" fontId="12" fillId="0" borderId="0" xfId="0" applyNumberFormat="1" applyFont="1" applyAlignment="1">
      <alignment horizontal="right"/>
    </xf>
    <xf numFmtId="164" fontId="13" fillId="0" borderId="0" xfId="0" applyNumberFormat="1" applyFont="1" applyAlignment="1">
      <alignment horizontal="right" wrapText="1"/>
    </xf>
    <xf numFmtId="165" fontId="13" fillId="0" borderId="0" xfId="0" applyNumberFormat="1" applyFont="1" applyAlignment="1">
      <alignment horizontal="right" wrapText="1"/>
    </xf>
    <xf numFmtId="165" fontId="13" fillId="2" borderId="1" xfId="0" applyNumberFormat="1" applyFont="1" applyFill="1" applyBorder="1"/>
    <xf numFmtId="165" fontId="13" fillId="2" borderId="1" xfId="0" applyNumberFormat="1" applyFont="1" applyFill="1" applyBorder="1" applyAlignment="1">
      <alignment horizontal="right"/>
    </xf>
    <xf numFmtId="165" fontId="12" fillId="2" borderId="1" xfId="0" applyNumberFormat="1" applyFont="1" applyFill="1" applyBorder="1" applyAlignment="1">
      <alignment horizontal="right"/>
    </xf>
    <xf numFmtId="165" fontId="13" fillId="2" borderId="1" xfId="3" applyNumberFormat="1" applyFont="1" applyFill="1" applyBorder="1" applyAlignment="1">
      <alignment horizontal="right"/>
    </xf>
    <xf numFmtId="165" fontId="13" fillId="2" borderId="1" xfId="1" applyNumberFormat="1" applyFont="1" applyFill="1" applyBorder="1" applyAlignment="1">
      <alignment horizontal="right"/>
    </xf>
    <xf numFmtId="165" fontId="12" fillId="2" borderId="1" xfId="3" applyNumberFormat="1" applyFont="1" applyFill="1" applyBorder="1"/>
    <xf numFmtId="0" fontId="17" fillId="3" borderId="15" xfId="0" applyFont="1" applyFill="1" applyBorder="1" applyAlignment="1">
      <alignment horizontal="center"/>
    </xf>
    <xf numFmtId="0" fontId="17" fillId="4" borderId="19" xfId="0" applyFont="1" applyFill="1" applyBorder="1" applyAlignment="1">
      <alignment horizontal="center"/>
    </xf>
    <xf numFmtId="0" fontId="17" fillId="5" borderId="20" xfId="0" applyFont="1" applyFill="1" applyBorder="1" applyAlignment="1">
      <alignment horizontal="center"/>
    </xf>
    <xf numFmtId="0" fontId="22" fillId="0" borderId="0" xfId="0" applyFont="1"/>
    <xf numFmtId="0" fontId="12" fillId="0" borderId="1" xfId="0" applyFont="1" applyBorder="1" applyAlignment="1">
      <alignment horizontal="center" vertical="center" wrapText="1"/>
    </xf>
    <xf numFmtId="164" fontId="13" fillId="0" borderId="1" xfId="0" applyNumberFormat="1" applyFont="1" applyBorder="1"/>
    <xf numFmtId="164" fontId="12" fillId="0" borderId="1" xfId="0" applyNumberFormat="1" applyFont="1" applyBorder="1"/>
    <xf numFmtId="0" fontId="12" fillId="0" borderId="1" xfId="0" applyFont="1" applyBorder="1" applyAlignment="1">
      <alignment horizontal="right"/>
    </xf>
    <xf numFmtId="0" fontId="17" fillId="5" borderId="1" xfId="0" applyFont="1" applyFill="1" applyBorder="1" applyAlignment="1">
      <alignment horizontal="center"/>
    </xf>
    <xf numFmtId="0" fontId="13" fillId="0" borderId="1" xfId="0" applyFont="1" applyBorder="1" applyAlignment="1">
      <alignment wrapText="1"/>
    </xf>
    <xf numFmtId="166" fontId="13" fillId="0" borderId="1" xfId="6" applyNumberFormat="1" applyFont="1" applyFill="1" applyBorder="1" applyAlignment="1">
      <alignment horizontal="right"/>
    </xf>
    <xf numFmtId="168" fontId="13" fillId="0" borderId="1" xfId="6" applyNumberFormat="1" applyFont="1" applyFill="1" applyBorder="1" applyAlignment="1">
      <alignment horizontal="right"/>
    </xf>
    <xf numFmtId="167" fontId="13" fillId="0" borderId="1" xfId="6" applyNumberFormat="1" applyFont="1" applyBorder="1" applyAlignment="1">
      <alignment horizontal="right"/>
    </xf>
    <xf numFmtId="0" fontId="17" fillId="4" borderId="19" xfId="0" applyFont="1" applyFill="1" applyBorder="1" applyAlignment="1">
      <alignment horizontal="center" wrapText="1"/>
    </xf>
    <xf numFmtId="172" fontId="12" fillId="0" borderId="1" xfId="1" applyNumberFormat="1" applyFont="1" applyFill="1" applyBorder="1" applyAlignment="1"/>
    <xf numFmtId="172" fontId="12" fillId="0" borderId="1" xfId="1" applyNumberFormat="1" applyFont="1" applyFill="1" applyBorder="1"/>
    <xf numFmtId="172" fontId="12" fillId="0" borderId="1" xfId="1" applyNumberFormat="1" applyFont="1" applyBorder="1" applyAlignment="1">
      <alignment horizontal="left" indent="2"/>
    </xf>
    <xf numFmtId="0" fontId="17" fillId="7" borderId="1" xfId="0" applyFont="1" applyFill="1" applyBorder="1" applyAlignment="1">
      <alignment horizontal="center"/>
    </xf>
    <xf numFmtId="44" fontId="12" fillId="0" borderId="1" xfId="3" applyFont="1" applyBorder="1" applyAlignment="1">
      <alignment horizontal="center" vertical="center" wrapText="1"/>
    </xf>
    <xf numFmtId="44" fontId="12" fillId="0" borderId="1" xfId="3" applyFont="1" applyFill="1" applyBorder="1" applyAlignment="1">
      <alignment horizontal="center" vertical="center" wrapText="1"/>
    </xf>
    <xf numFmtId="0" fontId="12" fillId="0" borderId="1" xfId="0" applyFont="1" applyBorder="1" applyAlignment="1">
      <alignment horizontal="center" vertical="center"/>
    </xf>
    <xf numFmtId="164" fontId="13" fillId="0" borderId="2" xfId="0" applyNumberFormat="1" applyFont="1" applyBorder="1" applyAlignment="1">
      <alignment horizontal="right" vertical="center"/>
    </xf>
    <xf numFmtId="164" fontId="13" fillId="0" borderId="24" xfId="0" applyNumberFormat="1" applyFont="1" applyBorder="1" applyAlignment="1">
      <alignment horizontal="right" vertical="center"/>
    </xf>
    <xf numFmtId="164" fontId="13" fillId="0" borderId="18" xfId="0" applyNumberFormat="1" applyFont="1" applyBorder="1" applyAlignment="1">
      <alignment horizontal="right" vertical="center"/>
    </xf>
    <xf numFmtId="0" fontId="12" fillId="0" borderId="5" xfId="0" applyFont="1" applyBorder="1" applyAlignment="1">
      <alignment horizontal="center" vertical="center" wrapText="1"/>
    </xf>
    <xf numFmtId="0" fontId="19" fillId="0" borderId="0" xfId="0" applyFont="1" applyAlignment="1">
      <alignment horizontal="left" vertical="center" wrapText="1"/>
    </xf>
    <xf numFmtId="43" fontId="16" fillId="0" borderId="0" xfId="0" applyNumberFormat="1" applyFont="1"/>
    <xf numFmtId="0" fontId="18" fillId="0" borderId="0" xfId="0" applyFont="1" applyAlignment="1">
      <alignment wrapText="1"/>
    </xf>
    <xf numFmtId="0" fontId="12" fillId="0" borderId="30" xfId="0" applyFont="1" applyBorder="1" applyAlignment="1">
      <alignment horizontal="center" vertical="center"/>
    </xf>
    <xf numFmtId="0" fontId="12" fillId="0" borderId="20" xfId="0" applyFont="1" applyBorder="1" applyAlignment="1">
      <alignment horizontal="center" vertical="center"/>
    </xf>
    <xf numFmtId="0" fontId="12" fillId="0" borderId="17" xfId="0" applyFont="1" applyBorder="1" applyAlignment="1">
      <alignment horizontal="center" vertical="center" wrapText="1"/>
    </xf>
    <xf numFmtId="0" fontId="13" fillId="0" borderId="18" xfId="0" applyFont="1" applyBorder="1" applyAlignment="1">
      <alignment horizontal="left" vertical="center" wrapText="1"/>
    </xf>
    <xf numFmtId="165" fontId="7" fillId="0" borderId="0" xfId="0" applyNumberFormat="1" applyFont="1" applyAlignment="1">
      <alignment horizontal="center"/>
    </xf>
    <xf numFmtId="0" fontId="13" fillId="0" borderId="0" xfId="0" applyFont="1" applyAlignment="1">
      <alignment horizontal="left" vertical="center" wrapText="1"/>
    </xf>
    <xf numFmtId="0" fontId="13" fillId="0" borderId="22" xfId="0" applyFont="1" applyBorder="1" applyAlignment="1">
      <alignment horizontal="left"/>
    </xf>
    <xf numFmtId="164" fontId="13" fillId="0" borderId="1" xfId="1" applyNumberFormat="1" applyFont="1" applyFill="1" applyBorder="1" applyAlignment="1">
      <alignment horizontal="right"/>
    </xf>
    <xf numFmtId="0" fontId="13" fillId="0" borderId="23" xfId="0" applyFont="1" applyBorder="1"/>
    <xf numFmtId="0" fontId="25" fillId="0" borderId="0" xfId="0" applyFont="1" applyAlignment="1">
      <alignment horizontal="center" vertical="center"/>
    </xf>
    <xf numFmtId="0" fontId="13" fillId="0" borderId="0" xfId="0" applyFont="1" applyAlignment="1">
      <alignment horizontal="left" vertical="center"/>
    </xf>
    <xf numFmtId="164" fontId="26" fillId="0" borderId="0" xfId="0" applyNumberFormat="1" applyFont="1" applyAlignment="1">
      <alignment horizontal="center"/>
    </xf>
    <xf numFmtId="0" fontId="12" fillId="0" borderId="0" xfId="0" applyFont="1" applyAlignment="1">
      <alignment horizontal="right"/>
    </xf>
    <xf numFmtId="169" fontId="12" fillId="0" borderId="0" xfId="0" applyNumberFormat="1" applyFont="1" applyAlignment="1">
      <alignment horizontal="right"/>
    </xf>
    <xf numFmtId="0" fontId="23" fillId="0" borderId="0" xfId="0" applyFont="1" applyAlignment="1">
      <alignment horizontal="left" vertical="center" wrapText="1"/>
    </xf>
    <xf numFmtId="0" fontId="13" fillId="0" borderId="10" xfId="0" applyFont="1" applyBorder="1" applyAlignment="1">
      <alignment horizontal="left"/>
    </xf>
    <xf numFmtId="164" fontId="13" fillId="0" borderId="19" xfId="1" applyNumberFormat="1" applyFont="1" applyBorder="1"/>
    <xf numFmtId="0" fontId="13" fillId="0" borderId="45" xfId="0" applyFont="1" applyBorder="1" applyAlignment="1">
      <alignment horizontal="left"/>
    </xf>
    <xf numFmtId="164" fontId="13" fillId="0" borderId="46" xfId="1" applyNumberFormat="1" applyFont="1" applyBorder="1"/>
    <xf numFmtId="169" fontId="13" fillId="0" borderId="46" xfId="0" applyNumberFormat="1" applyFont="1" applyBorder="1" applyAlignment="1">
      <alignment horizontal="right"/>
    </xf>
    <xf numFmtId="0" fontId="12" fillId="0" borderId="0" xfId="0" applyFont="1" applyAlignment="1">
      <alignment horizontal="center" vertical="center" wrapText="1"/>
    </xf>
    <xf numFmtId="164" fontId="12" fillId="0" borderId="0" xfId="0" applyNumberFormat="1" applyFont="1" applyAlignment="1">
      <alignment horizontal="center" vertical="center" wrapText="1"/>
    </xf>
    <xf numFmtId="0" fontId="18" fillId="0" borderId="0" xfId="0" applyFont="1" applyAlignment="1">
      <alignment horizontal="center" vertical="center"/>
    </xf>
    <xf numFmtId="43" fontId="0" fillId="0" borderId="0" xfId="0" applyNumberFormat="1"/>
    <xf numFmtId="164" fontId="26" fillId="0" borderId="0" xfId="0" applyNumberFormat="1" applyFont="1" applyAlignment="1">
      <alignment horizontal="left"/>
    </xf>
    <xf numFmtId="165" fontId="16" fillId="0" borderId="0" xfId="0" applyNumberFormat="1" applyFont="1" applyAlignment="1">
      <alignment horizontal="right"/>
    </xf>
    <xf numFmtId="2" fontId="18" fillId="0" borderId="0" xfId="0" applyNumberFormat="1" applyFont="1"/>
    <xf numFmtId="165" fontId="13" fillId="9" borderId="1" xfId="0" applyNumberFormat="1" applyFont="1" applyFill="1" applyBorder="1" applyAlignment="1">
      <alignment horizontal="right"/>
    </xf>
    <xf numFmtId="0" fontId="12" fillId="10" borderId="1" xfId="0" applyFont="1" applyFill="1" applyBorder="1" applyAlignment="1">
      <alignment horizontal="center" wrapText="1"/>
    </xf>
    <xf numFmtId="165" fontId="13" fillId="10" borderId="1" xfId="0" applyNumberFormat="1" applyFont="1" applyFill="1" applyBorder="1" applyAlignment="1">
      <alignment horizontal="right"/>
    </xf>
    <xf numFmtId="0" fontId="12" fillId="0" borderId="23" xfId="0" applyFont="1" applyBorder="1" applyAlignment="1">
      <alignment horizontal="center" vertical="center" wrapText="1"/>
    </xf>
    <xf numFmtId="169" fontId="13" fillId="0" borderId="23" xfId="0" applyNumberFormat="1" applyFont="1" applyBorder="1" applyAlignment="1">
      <alignment horizontal="right"/>
    </xf>
    <xf numFmtId="169" fontId="12" fillId="0" borderId="23" xfId="0" applyNumberFormat="1" applyFont="1" applyBorder="1" applyAlignment="1">
      <alignment horizontal="right"/>
    </xf>
    <xf numFmtId="10" fontId="28" fillId="0" borderId="0" xfId="0" applyNumberFormat="1" applyFont="1" applyAlignment="1">
      <alignment horizontal="center" vertical="center"/>
    </xf>
    <xf numFmtId="44" fontId="27" fillId="0" borderId="0" xfId="5" applyNumberFormat="1" applyFont="1" applyAlignment="1">
      <alignment horizontal="center"/>
    </xf>
    <xf numFmtId="10" fontId="27" fillId="0" borderId="0" xfId="7" applyNumberFormat="1" applyFont="1" applyFill="1" applyBorder="1" applyAlignment="1">
      <alignment horizontal="center"/>
    </xf>
    <xf numFmtId="10" fontId="28" fillId="0" borderId="0" xfId="7" applyNumberFormat="1" applyFont="1" applyFill="1" applyBorder="1" applyAlignment="1">
      <alignment horizontal="center"/>
    </xf>
    <xf numFmtId="0" fontId="13" fillId="0" borderId="0" xfId="0" applyFont="1" applyAlignment="1">
      <alignment horizontal="center"/>
    </xf>
    <xf numFmtId="165" fontId="13" fillId="0" borderId="0" xfId="3" applyNumberFormat="1" applyFont="1" applyFill="1" applyBorder="1" applyAlignment="1">
      <alignment horizontal="right"/>
    </xf>
    <xf numFmtId="165" fontId="13" fillId="0" borderId="0" xfId="1" applyNumberFormat="1" applyFont="1" applyFill="1" applyBorder="1" applyAlignment="1">
      <alignment horizontal="right"/>
    </xf>
    <xf numFmtId="164" fontId="12" fillId="0" borderId="0" xfId="0" applyNumberFormat="1" applyFont="1" applyAlignment="1">
      <alignment horizontal="center"/>
    </xf>
    <xf numFmtId="0" fontId="17" fillId="6" borderId="19" xfId="0" applyFont="1" applyFill="1" applyBorder="1" applyAlignment="1">
      <alignment horizontal="center" vertical="center" wrapText="1"/>
    </xf>
    <xf numFmtId="0" fontId="12" fillId="0" borderId="33" xfId="0" applyFont="1" applyBorder="1" applyAlignment="1">
      <alignment horizontal="center" vertical="center" wrapText="1"/>
    </xf>
    <xf numFmtId="165" fontId="13" fillId="0" borderId="7" xfId="0" applyNumberFormat="1" applyFont="1" applyBorder="1"/>
    <xf numFmtId="165" fontId="0" fillId="0" borderId="0" xfId="0" applyNumberFormat="1"/>
    <xf numFmtId="178" fontId="0" fillId="0" borderId="0" xfId="0" applyNumberFormat="1"/>
    <xf numFmtId="2" fontId="13" fillId="0" borderId="0" xfId="0" applyNumberFormat="1" applyFont="1"/>
    <xf numFmtId="0" fontId="12" fillId="9" borderId="6" xfId="0" applyFont="1" applyFill="1" applyBorder="1" applyAlignment="1">
      <alignment horizontal="center" wrapText="1"/>
    </xf>
    <xf numFmtId="0" fontId="12" fillId="9" borderId="7" xfId="0" applyFont="1" applyFill="1" applyBorder="1" applyAlignment="1">
      <alignment horizontal="center" wrapText="1"/>
    </xf>
    <xf numFmtId="165" fontId="13" fillId="9" borderId="3" xfId="0" applyNumberFormat="1" applyFont="1" applyFill="1" applyBorder="1" applyAlignment="1">
      <alignment horizontal="right"/>
    </xf>
    <xf numFmtId="165" fontId="13" fillId="9" borderId="19" xfId="0" applyNumberFormat="1" applyFont="1" applyFill="1" applyBorder="1" applyAlignment="1">
      <alignment horizontal="right"/>
    </xf>
    <xf numFmtId="165" fontId="13" fillId="9" borderId="11" xfId="0" applyNumberFormat="1" applyFont="1" applyFill="1" applyBorder="1" applyAlignment="1">
      <alignment horizontal="right"/>
    </xf>
    <xf numFmtId="0" fontId="12" fillId="11" borderId="7" xfId="0" applyFont="1" applyFill="1" applyBorder="1" applyAlignment="1">
      <alignment horizontal="center" vertical="center" wrapText="1"/>
    </xf>
    <xf numFmtId="164" fontId="13" fillId="11" borderId="3" xfId="1" applyNumberFormat="1" applyFont="1" applyFill="1" applyBorder="1" applyAlignment="1">
      <alignment horizontal="right"/>
    </xf>
    <xf numFmtId="164" fontId="13" fillId="11" borderId="11" xfId="1" applyNumberFormat="1" applyFont="1" applyFill="1" applyBorder="1" applyAlignment="1">
      <alignment horizontal="right"/>
    </xf>
    <xf numFmtId="164" fontId="13" fillId="11" borderId="47" xfId="1" applyNumberFormat="1" applyFont="1" applyFill="1" applyBorder="1" applyAlignment="1">
      <alignment horizontal="right"/>
    </xf>
    <xf numFmtId="0" fontId="12" fillId="11" borderId="32" xfId="0" applyFont="1" applyFill="1" applyBorder="1" applyAlignment="1">
      <alignment horizontal="right" vertical="center" wrapText="1"/>
    </xf>
    <xf numFmtId="164" fontId="12" fillId="11" borderId="9" xfId="0" applyNumberFormat="1" applyFont="1" applyFill="1" applyBorder="1" applyAlignment="1">
      <alignment horizontal="right" vertical="center"/>
    </xf>
    <xf numFmtId="164" fontId="12" fillId="11" borderId="25" xfId="0" applyNumberFormat="1" applyFont="1" applyFill="1" applyBorder="1" applyAlignment="1">
      <alignment horizontal="right" vertical="center"/>
    </xf>
    <xf numFmtId="0" fontId="12" fillId="0" borderId="48" xfId="0" applyFont="1" applyBorder="1" applyAlignment="1">
      <alignment horizontal="center" wrapText="1"/>
    </xf>
    <xf numFmtId="0" fontId="12" fillId="0" borderId="49" xfId="0" applyFont="1" applyBorder="1" applyAlignment="1">
      <alignment horizontal="center" wrapText="1"/>
    </xf>
    <xf numFmtId="0" fontId="13" fillId="0" borderId="45" xfId="0" applyFont="1" applyBorder="1"/>
    <xf numFmtId="165" fontId="12" fillId="0" borderId="47" xfId="0" applyNumberFormat="1" applyFont="1" applyBorder="1"/>
    <xf numFmtId="0" fontId="13" fillId="0" borderId="5" xfId="0" applyFont="1" applyBorder="1"/>
    <xf numFmtId="0" fontId="19" fillId="0" borderId="0" xfId="0" applyFont="1" applyAlignment="1">
      <alignment horizontal="left" vertical="center"/>
    </xf>
    <xf numFmtId="0" fontId="19" fillId="0" borderId="42" xfId="0" applyFont="1" applyBorder="1" applyAlignment="1">
      <alignment horizontal="left" vertical="center"/>
    </xf>
    <xf numFmtId="0" fontId="12" fillId="0" borderId="30" xfId="0" applyFont="1" applyBorder="1" applyAlignment="1">
      <alignment horizontal="center" wrapText="1"/>
    </xf>
    <xf numFmtId="0" fontId="12" fillId="0" borderId="20" xfId="0" applyFont="1" applyBorder="1" applyAlignment="1">
      <alignment horizontal="center" wrapText="1"/>
    </xf>
    <xf numFmtId="164" fontId="13" fillId="0" borderId="53" xfId="0" applyNumberFormat="1" applyFont="1" applyBorder="1" applyAlignment="1">
      <alignment horizontal="right" vertical="center"/>
    </xf>
    <xf numFmtId="0" fontId="13" fillId="0" borderId="5" xfId="0" applyFont="1" applyBorder="1" applyAlignment="1">
      <alignment vertical="center"/>
    </xf>
    <xf numFmtId="0" fontId="13" fillId="0" borderId="31" xfId="0" applyFont="1" applyBorder="1" applyAlignment="1">
      <alignment vertical="center"/>
    </xf>
    <xf numFmtId="164" fontId="12" fillId="11" borderId="25" xfId="0" applyNumberFormat="1" applyFont="1" applyFill="1" applyBorder="1" applyAlignment="1">
      <alignment vertical="center"/>
    </xf>
    <xf numFmtId="164" fontId="13" fillId="0" borderId="5" xfId="0" applyNumberFormat="1" applyFont="1" applyBorder="1" applyAlignment="1">
      <alignment horizontal="right" vertical="center"/>
    </xf>
    <xf numFmtId="164" fontId="13" fillId="0" borderId="31" xfId="0" applyNumberFormat="1" applyFont="1" applyBorder="1" applyAlignment="1">
      <alignment horizontal="right" vertical="center"/>
    </xf>
    <xf numFmtId="0" fontId="13" fillId="0" borderId="29" xfId="0" applyFont="1" applyBorder="1" applyAlignment="1">
      <alignment vertical="top" wrapText="1"/>
    </xf>
    <xf numFmtId="0" fontId="12" fillId="0" borderId="52" xfId="0" applyFont="1" applyBorder="1" applyAlignment="1">
      <alignment horizontal="left" vertical="center" wrapText="1"/>
    </xf>
    <xf numFmtId="0" fontId="13" fillId="0" borderId="54" xfId="0" applyFont="1" applyBorder="1" applyAlignment="1">
      <alignment vertical="center"/>
    </xf>
    <xf numFmtId="164" fontId="12" fillId="0" borderId="5" xfId="0" applyNumberFormat="1" applyFont="1" applyBorder="1" applyAlignment="1">
      <alignment horizontal="right" vertical="center"/>
    </xf>
    <xf numFmtId="0" fontId="12" fillId="0" borderId="31" xfId="0" applyFont="1" applyBorder="1" applyAlignment="1">
      <alignment vertical="center"/>
    </xf>
    <xf numFmtId="43" fontId="13" fillId="0" borderId="0" xfId="1" applyFont="1" applyFill="1" applyBorder="1" applyAlignment="1">
      <alignment horizontal="right"/>
    </xf>
    <xf numFmtId="44" fontId="13" fillId="0" borderId="0" xfId="3" applyFont="1"/>
    <xf numFmtId="44" fontId="13" fillId="0" borderId="0" xfId="0" applyNumberFormat="1" applyFont="1"/>
    <xf numFmtId="174" fontId="13" fillId="2" borderId="1" xfId="0" applyNumberFormat="1" applyFont="1" applyFill="1" applyBorder="1" applyAlignment="1">
      <alignment horizontal="right"/>
    </xf>
    <xf numFmtId="43" fontId="13" fillId="0" borderId="0" xfId="1" applyFont="1" applyBorder="1"/>
    <xf numFmtId="43" fontId="18" fillId="0" borderId="0" xfId="0" applyNumberFormat="1" applyFont="1"/>
    <xf numFmtId="0" fontId="2" fillId="0" borderId="0" xfId="0" applyFont="1"/>
    <xf numFmtId="0" fontId="13" fillId="0" borderId="50" xfId="0" applyFont="1" applyBorder="1" applyAlignment="1">
      <alignment horizontal="left" vertical="center" wrapText="1"/>
    </xf>
    <xf numFmtId="164" fontId="13" fillId="0" borderId="10" xfId="0" applyNumberFormat="1" applyFont="1" applyBorder="1" applyAlignment="1">
      <alignment horizontal="right" vertical="center"/>
    </xf>
    <xf numFmtId="164" fontId="13" fillId="0" borderId="50" xfId="0" applyNumberFormat="1" applyFont="1" applyBorder="1" applyAlignment="1">
      <alignment horizontal="right" vertical="center"/>
    </xf>
    <xf numFmtId="164" fontId="13" fillId="0" borderId="55" xfId="0" applyNumberFormat="1" applyFont="1" applyBorder="1" applyAlignment="1">
      <alignment horizontal="right" vertical="center"/>
    </xf>
    <xf numFmtId="10" fontId="13" fillId="0" borderId="0" xfId="0" applyNumberFormat="1" applyFont="1" applyAlignment="1">
      <alignment horizontal="right" vertical="center"/>
    </xf>
    <xf numFmtId="10" fontId="13" fillId="0" borderId="0" xfId="8" applyNumberFormat="1" applyFont="1" applyFill="1" applyBorder="1" applyAlignment="1">
      <alignment horizontal="right"/>
    </xf>
    <xf numFmtId="10" fontId="13" fillId="0" borderId="0" xfId="7" applyNumberFormat="1" applyFont="1" applyFill="1" applyBorder="1" applyAlignment="1">
      <alignment horizontal="right"/>
    </xf>
    <xf numFmtId="179" fontId="13" fillId="0" borderId="6" xfId="0" applyNumberFormat="1" applyFont="1" applyBorder="1"/>
    <xf numFmtId="179" fontId="13" fillId="0" borderId="1" xfId="0" applyNumberFormat="1" applyFont="1" applyBorder="1"/>
    <xf numFmtId="179" fontId="13" fillId="0" borderId="19" xfId="0" applyNumberFormat="1" applyFont="1" applyBorder="1"/>
    <xf numFmtId="179" fontId="12" fillId="0" borderId="46" xfId="0" applyNumberFormat="1" applyFont="1" applyBorder="1"/>
    <xf numFmtId="43" fontId="13" fillId="0" borderId="0" xfId="1" applyFont="1"/>
    <xf numFmtId="164" fontId="2" fillId="0" borderId="0" xfId="0" applyNumberFormat="1" applyFont="1"/>
    <xf numFmtId="165" fontId="13" fillId="10" borderId="1" xfId="1" applyNumberFormat="1" applyFont="1" applyFill="1" applyBorder="1" applyAlignment="1">
      <alignment horizontal="right"/>
    </xf>
    <xf numFmtId="164" fontId="13" fillId="0" borderId="1" xfId="1" applyNumberFormat="1" applyFont="1" applyFill="1" applyBorder="1" applyAlignment="1">
      <alignment vertical="center"/>
    </xf>
    <xf numFmtId="164" fontId="13" fillId="0" borderId="46" xfId="1" applyNumberFormat="1" applyFont="1" applyFill="1" applyBorder="1" applyAlignment="1">
      <alignment vertical="center"/>
    </xf>
    <xf numFmtId="0" fontId="2" fillId="0" borderId="0" xfId="0" applyFont="1" applyAlignment="1">
      <alignment horizontal="center"/>
    </xf>
    <xf numFmtId="170" fontId="13" fillId="0" borderId="0" xfId="0" applyNumberFormat="1" applyFont="1" applyAlignment="1">
      <alignment horizontal="center"/>
    </xf>
    <xf numFmtId="165" fontId="13" fillId="0" borderId="22" xfId="1" applyNumberFormat="1" applyFont="1" applyBorder="1" applyAlignment="1">
      <alignment horizontal="left"/>
    </xf>
    <xf numFmtId="165" fontId="13" fillId="0" borderId="0" xfId="1" applyNumberFormat="1" applyFont="1" applyBorder="1" applyAlignment="1">
      <alignment horizontal="left"/>
    </xf>
    <xf numFmtId="0" fontId="12" fillId="0" borderId="0" xfId="0" applyFont="1" applyAlignment="1">
      <alignment horizontal="center" vertical="center"/>
    </xf>
    <xf numFmtId="0" fontId="13" fillId="11" borderId="1" xfId="0" applyFont="1" applyFill="1" applyBorder="1" applyAlignment="1">
      <alignment horizontal="center" vertical="center"/>
    </xf>
    <xf numFmtId="172" fontId="13" fillId="9" borderId="1" xfId="2" applyNumberFormat="1" applyFont="1" applyFill="1" applyBorder="1" applyAlignment="1">
      <alignment vertical="center"/>
    </xf>
    <xf numFmtId="165" fontId="13" fillId="9" borderId="1" xfId="2" applyNumberFormat="1" applyFont="1" applyFill="1" applyBorder="1" applyAlignment="1">
      <alignment vertical="center"/>
    </xf>
    <xf numFmtId="171" fontId="13" fillId="0" borderId="0" xfId="0" applyNumberFormat="1" applyFont="1"/>
    <xf numFmtId="0" fontId="12" fillId="11" borderId="19" xfId="0" applyFont="1" applyFill="1" applyBorder="1" applyAlignment="1">
      <alignment horizontal="center" vertical="center" wrapText="1"/>
    </xf>
    <xf numFmtId="0" fontId="13" fillId="11" borderId="1" xfId="0" applyFont="1" applyFill="1" applyBorder="1" applyAlignment="1">
      <alignment horizontal="center"/>
    </xf>
    <xf numFmtId="169" fontId="13" fillId="0" borderId="0" xfId="2" applyNumberFormat="1" applyFont="1" applyFill="1" applyBorder="1"/>
    <xf numFmtId="172" fontId="12" fillId="9" borderId="1" xfId="2" applyNumberFormat="1" applyFont="1" applyFill="1" applyBorder="1" applyAlignment="1">
      <alignment horizontal="center" vertical="center" wrapText="1"/>
    </xf>
    <xf numFmtId="165" fontId="13" fillId="9" borderId="1" xfId="0" applyNumberFormat="1" applyFont="1" applyFill="1" applyBorder="1" applyAlignment="1">
      <alignment vertical="center"/>
    </xf>
    <xf numFmtId="0" fontId="12" fillId="0" borderId="19" xfId="0" applyFont="1" applyBorder="1" applyAlignment="1">
      <alignment horizontal="right" vertical="center"/>
    </xf>
    <xf numFmtId="172" fontId="12" fillId="9" borderId="1" xfId="0" applyNumberFormat="1" applyFont="1" applyFill="1" applyBorder="1" applyAlignment="1">
      <alignment vertical="center"/>
    </xf>
    <xf numFmtId="0" fontId="19" fillId="0" borderId="0" xfId="0" applyFont="1" applyAlignment="1">
      <alignment horizontal="left" vertical="top"/>
    </xf>
    <xf numFmtId="0" fontId="19" fillId="0" borderId="0" xfId="0" applyFont="1" applyAlignment="1">
      <alignment horizontal="left"/>
    </xf>
    <xf numFmtId="0" fontId="8" fillId="0" borderId="0" xfId="0" applyFont="1" applyAlignment="1">
      <alignment horizontal="center" vertical="center" wrapText="1"/>
    </xf>
    <xf numFmtId="10" fontId="12" fillId="0" borderId="15" xfId="0" applyNumberFormat="1" applyFont="1" applyBorder="1" applyAlignment="1">
      <alignment horizontal="center" vertical="center"/>
    </xf>
    <xf numFmtId="0" fontId="21" fillId="0" borderId="41" xfId="0" applyFont="1" applyBorder="1" applyAlignment="1">
      <alignment horizontal="right" vertical="center"/>
    </xf>
    <xf numFmtId="165" fontId="13" fillId="0" borderId="12" xfId="0" applyNumberFormat="1" applyFont="1" applyBorder="1" applyAlignment="1">
      <alignment horizontal="right" vertical="center"/>
    </xf>
    <xf numFmtId="7" fontId="13" fillId="0" borderId="14" xfId="0" applyNumberFormat="1" applyFont="1" applyBorder="1" applyAlignment="1">
      <alignment horizontal="right" vertical="center"/>
    </xf>
    <xf numFmtId="165" fontId="13" fillId="0" borderId="14" xfId="0" applyNumberFormat="1" applyFont="1" applyBorder="1" applyAlignment="1">
      <alignment horizontal="right" vertical="center"/>
    </xf>
    <xf numFmtId="7" fontId="13" fillId="0" borderId="13" xfId="0" applyNumberFormat="1" applyFont="1" applyBorder="1" applyAlignment="1">
      <alignment horizontal="right" vertical="center"/>
    </xf>
    <xf numFmtId="0" fontId="12" fillId="0" borderId="20" xfId="0" applyFont="1" applyBorder="1" applyAlignment="1">
      <alignment horizontal="left" vertical="center"/>
    </xf>
    <xf numFmtId="0" fontId="13" fillId="0" borderId="31" xfId="0" applyFont="1" applyBorder="1" applyAlignment="1">
      <alignment horizontal="left" vertical="center" wrapText="1"/>
    </xf>
    <xf numFmtId="165" fontId="13" fillId="0" borderId="51" xfId="0" applyNumberFormat="1" applyFont="1" applyBorder="1" applyAlignment="1">
      <alignment horizontal="right" vertical="center"/>
    </xf>
    <xf numFmtId="0" fontId="13" fillId="0" borderId="24" xfId="0" applyFont="1" applyBorder="1" applyAlignment="1">
      <alignment horizontal="left" vertical="center" wrapText="1"/>
    </xf>
    <xf numFmtId="165" fontId="13" fillId="0" borderId="26" xfId="0" applyNumberFormat="1" applyFont="1" applyBorder="1" applyAlignment="1">
      <alignment horizontal="right" vertical="center"/>
    </xf>
    <xf numFmtId="165" fontId="13" fillId="0" borderId="1" xfId="0" applyNumberFormat="1" applyFont="1" applyBorder="1" applyAlignment="1">
      <alignment horizontal="right" vertical="center"/>
    </xf>
    <xf numFmtId="165" fontId="13" fillId="0" borderId="23" xfId="0" applyNumberFormat="1" applyFont="1" applyBorder="1" applyAlignment="1">
      <alignment horizontal="right" vertical="center"/>
    </xf>
    <xf numFmtId="0" fontId="13" fillId="0" borderId="25" xfId="0" applyFont="1" applyBorder="1" applyAlignment="1">
      <alignment vertical="top" wrapText="1"/>
    </xf>
    <xf numFmtId="0" fontId="12" fillId="0" borderId="12" xfId="0" applyFont="1" applyBorder="1" applyAlignment="1">
      <alignment horizontal="right"/>
    </xf>
    <xf numFmtId="0" fontId="12" fillId="9" borderId="1" xfId="0" applyFont="1" applyFill="1" applyBorder="1" applyAlignment="1">
      <alignment horizontal="center" vertical="center" wrapText="1"/>
    </xf>
    <xf numFmtId="169" fontId="13" fillId="0" borderId="19" xfId="0" applyNumberFormat="1" applyFont="1" applyBorder="1" applyAlignment="1">
      <alignment horizontal="right"/>
    </xf>
    <xf numFmtId="165" fontId="2" fillId="0" borderId="0" xfId="0" applyNumberFormat="1" applyFont="1"/>
    <xf numFmtId="0" fontId="2" fillId="0" borderId="0" xfId="0" applyFont="1" applyAlignment="1">
      <alignment horizontal="center" vertical="center" wrapText="1"/>
    </xf>
    <xf numFmtId="0" fontId="2" fillId="0" borderId="0" xfId="0" applyFont="1" applyAlignment="1">
      <alignment wrapText="1"/>
    </xf>
    <xf numFmtId="44" fontId="2" fillId="0" borderId="0" xfId="3" applyFont="1" applyBorder="1"/>
    <xf numFmtId="44" fontId="2" fillId="0" borderId="0" xfId="0" applyNumberFormat="1" applyFont="1"/>
    <xf numFmtId="44" fontId="2" fillId="0" borderId="0" xfId="3" applyFont="1"/>
    <xf numFmtId="167" fontId="2" fillId="0" borderId="0" xfId="0" applyNumberFormat="1" applyFont="1"/>
    <xf numFmtId="178" fontId="2" fillId="0" borderId="0" xfId="0" applyNumberFormat="1" applyFont="1"/>
    <xf numFmtId="169" fontId="2" fillId="0" borderId="0" xfId="0" applyNumberFormat="1" applyFont="1"/>
    <xf numFmtId="172" fontId="2" fillId="0" borderId="0" xfId="0" applyNumberFormat="1" applyFont="1"/>
    <xf numFmtId="177" fontId="2" fillId="0" borderId="0" xfId="0" applyNumberFormat="1" applyFont="1"/>
    <xf numFmtId="176" fontId="2" fillId="0" borderId="0" xfId="0" applyNumberFormat="1" applyFont="1"/>
    <xf numFmtId="165" fontId="13" fillId="9" borderId="1" xfId="9" applyNumberFormat="1" applyFont="1" applyFill="1" applyBorder="1"/>
    <xf numFmtId="169" fontId="13" fillId="9" borderId="1" xfId="9" applyNumberFormat="1" applyFont="1" applyFill="1" applyBorder="1"/>
    <xf numFmtId="172" fontId="13" fillId="0" borderId="1" xfId="1" applyNumberFormat="1" applyFont="1" applyFill="1" applyBorder="1" applyAlignment="1"/>
    <xf numFmtId="167" fontId="13" fillId="0" borderId="1" xfId="0" applyNumberFormat="1" applyFont="1" applyBorder="1"/>
    <xf numFmtId="0" fontId="16" fillId="0" borderId="0" xfId="0" applyFont="1" applyAlignment="1">
      <alignment horizontal="center" wrapText="1"/>
    </xf>
    <xf numFmtId="44" fontId="2" fillId="0" borderId="1" xfId="3" applyFont="1" applyBorder="1" applyAlignment="1">
      <alignment horizontal="center" vertical="center" wrapText="1"/>
    </xf>
    <xf numFmtId="0" fontId="13" fillId="0" borderId="22" xfId="0" applyFont="1" applyBorder="1"/>
    <xf numFmtId="0" fontId="13" fillId="11" borderId="22" xfId="0" applyFont="1" applyFill="1" applyBorder="1" applyAlignment="1">
      <alignment horizontal="center"/>
    </xf>
    <xf numFmtId="0" fontId="13" fillId="11" borderId="0" xfId="0" applyFont="1" applyFill="1" applyAlignment="1">
      <alignment horizontal="center"/>
    </xf>
    <xf numFmtId="0" fontId="2" fillId="0" borderId="0" xfId="13"/>
    <xf numFmtId="0" fontId="30" fillId="0" borderId="12" xfId="13" applyFont="1" applyBorder="1" applyAlignment="1">
      <alignment vertical="top"/>
    </xf>
    <xf numFmtId="0" fontId="30" fillId="0" borderId="49" xfId="13" applyFont="1" applyBorder="1" applyAlignment="1">
      <alignment horizontal="center" vertical="top"/>
    </xf>
    <xf numFmtId="0" fontId="31" fillId="0" borderId="56" xfId="13" applyFont="1" applyBorder="1" applyAlignment="1">
      <alignment vertical="top" wrapText="1"/>
    </xf>
    <xf numFmtId="165" fontId="0" fillId="0" borderId="1" xfId="3" applyNumberFormat="1" applyFont="1" applyBorder="1" applyAlignment="1">
      <alignment horizontal="center"/>
    </xf>
    <xf numFmtId="0" fontId="31" fillId="0" borderId="1" xfId="13" applyFont="1" applyBorder="1" applyAlignment="1">
      <alignment vertical="top" wrapText="1"/>
    </xf>
    <xf numFmtId="0" fontId="31" fillId="0" borderId="1" xfId="13" applyFont="1" applyBorder="1"/>
    <xf numFmtId="0" fontId="32" fillId="0" borderId="1" xfId="13" applyFont="1" applyBorder="1" applyAlignment="1">
      <alignment vertical="top"/>
    </xf>
    <xf numFmtId="165" fontId="2" fillId="0" borderId="1" xfId="3" applyNumberFormat="1" applyFont="1" applyBorder="1" applyAlignment="1">
      <alignment horizontal="center"/>
    </xf>
    <xf numFmtId="3" fontId="13" fillId="0" borderId="46" xfId="0" applyNumberFormat="1" applyFont="1" applyBorder="1" applyAlignment="1">
      <alignment horizontal="right"/>
    </xf>
    <xf numFmtId="165" fontId="13" fillId="0" borderId="21" xfId="0" applyNumberFormat="1" applyFont="1" applyBorder="1" applyAlignment="1">
      <alignment horizontal="right"/>
    </xf>
    <xf numFmtId="165" fontId="13" fillId="0" borderId="3" xfId="3" applyNumberFormat="1" applyFont="1" applyFill="1" applyBorder="1" applyAlignment="1">
      <alignment horizontal="right"/>
    </xf>
    <xf numFmtId="164" fontId="13" fillId="0" borderId="1" xfId="1" applyNumberFormat="1" applyFont="1" applyFill="1" applyBorder="1"/>
    <xf numFmtId="165" fontId="13" fillId="0" borderId="57" xfId="0" applyNumberFormat="1" applyFont="1" applyBorder="1" applyAlignment="1">
      <alignment horizontal="right" vertical="center"/>
    </xf>
    <xf numFmtId="165" fontId="13" fillId="0" borderId="13" xfId="0" applyNumberFormat="1" applyFont="1" applyBorder="1" applyAlignment="1">
      <alignment horizontal="right" vertical="center"/>
    </xf>
    <xf numFmtId="165" fontId="13" fillId="0" borderId="6" xfId="0" applyNumberFormat="1" applyFont="1" applyBorder="1" applyAlignment="1">
      <alignment horizontal="right" vertical="center"/>
    </xf>
    <xf numFmtId="165" fontId="13" fillId="0" borderId="8" xfId="0" applyNumberFormat="1" applyFont="1" applyBorder="1" applyAlignment="1">
      <alignment horizontal="right" vertical="center"/>
    </xf>
    <xf numFmtId="44" fontId="12" fillId="0" borderId="0" xfId="3" applyFont="1" applyBorder="1" applyAlignment="1">
      <alignment horizontal="center" vertical="center"/>
    </xf>
    <xf numFmtId="44" fontId="0" fillId="0" borderId="0" xfId="3" applyFont="1"/>
    <xf numFmtId="44" fontId="0" fillId="0" borderId="0" xfId="0" applyNumberFormat="1"/>
    <xf numFmtId="179" fontId="13" fillId="0" borderId="46" xfId="0" applyNumberFormat="1" applyFont="1" applyBorder="1"/>
    <xf numFmtId="165" fontId="13" fillId="0" borderId="47" xfId="0" applyNumberFormat="1" applyFont="1" applyBorder="1"/>
    <xf numFmtId="0" fontId="23" fillId="0" borderId="0" xfId="0" applyFont="1" applyAlignment="1">
      <alignment horizontal="center" vertical="center" wrapText="1"/>
    </xf>
    <xf numFmtId="0" fontId="32" fillId="0" borderId="56" xfId="13" applyFont="1" applyBorder="1" applyAlignment="1">
      <alignment vertical="top"/>
    </xf>
    <xf numFmtId="165" fontId="0" fillId="0" borderId="56" xfId="3" applyNumberFormat="1" applyFont="1" applyBorder="1" applyAlignment="1">
      <alignment horizontal="center"/>
    </xf>
    <xf numFmtId="0" fontId="31" fillId="0" borderId="58" xfId="13" applyFont="1" applyBorder="1" applyAlignment="1">
      <alignment vertical="top" wrapText="1"/>
    </xf>
    <xf numFmtId="165" fontId="0" fillId="0" borderId="58" xfId="3" applyNumberFormat="1" applyFont="1" applyBorder="1" applyAlignment="1">
      <alignment horizontal="center"/>
    </xf>
    <xf numFmtId="0" fontId="32" fillId="0" borderId="58" xfId="13" applyFont="1" applyBorder="1" applyAlignment="1">
      <alignment vertical="top"/>
    </xf>
    <xf numFmtId="165" fontId="2" fillId="0" borderId="56" xfId="3" applyNumberFormat="1" applyFont="1" applyBorder="1" applyAlignment="1">
      <alignment horizontal="center"/>
    </xf>
    <xf numFmtId="165" fontId="2" fillId="0" borderId="58" xfId="3" applyNumberFormat="1" applyFont="1" applyBorder="1" applyAlignment="1">
      <alignment horizontal="center"/>
    </xf>
    <xf numFmtId="0" fontId="13" fillId="0" borderId="54" xfId="0" applyFont="1" applyBorder="1" applyAlignment="1">
      <alignment horizontal="left" vertical="center" wrapText="1"/>
    </xf>
    <xf numFmtId="165" fontId="13" fillId="0" borderId="60" xfId="0" applyNumberFormat="1" applyFont="1" applyBorder="1" applyAlignment="1">
      <alignment horizontal="right" vertical="center"/>
    </xf>
    <xf numFmtId="165" fontId="13" fillId="0" borderId="56" xfId="0" applyNumberFormat="1" applyFont="1" applyBorder="1" applyAlignment="1">
      <alignment horizontal="right" vertical="center"/>
    </xf>
    <xf numFmtId="165" fontId="13" fillId="0" borderId="61" xfId="0" applyNumberFormat="1" applyFont="1" applyBorder="1" applyAlignment="1">
      <alignment horizontal="right" vertical="center"/>
    </xf>
    <xf numFmtId="0" fontId="13" fillId="0" borderId="59" xfId="0" applyFont="1" applyBorder="1" applyAlignment="1">
      <alignment horizontal="left" vertical="center" wrapText="1"/>
    </xf>
    <xf numFmtId="165" fontId="13" fillId="0" borderId="62" xfId="0" applyNumberFormat="1" applyFont="1" applyBorder="1" applyAlignment="1">
      <alignment horizontal="right" vertical="center"/>
    </xf>
    <xf numFmtId="165" fontId="13" fillId="0" borderId="58" xfId="0" applyNumberFormat="1" applyFont="1" applyBorder="1" applyAlignment="1">
      <alignment horizontal="right" vertical="center"/>
    </xf>
    <xf numFmtId="165" fontId="13" fillId="0" borderId="63" xfId="0" applyNumberFormat="1" applyFont="1" applyBorder="1" applyAlignment="1">
      <alignment horizontal="right" vertical="center"/>
    </xf>
    <xf numFmtId="165" fontId="13" fillId="0" borderId="22" xfId="0" applyNumberFormat="1" applyFont="1" applyBorder="1" applyAlignment="1">
      <alignment horizontal="right"/>
    </xf>
    <xf numFmtId="164" fontId="13" fillId="0" borderId="22" xfId="0" applyNumberFormat="1" applyFont="1" applyBorder="1"/>
    <xf numFmtId="0" fontId="29" fillId="12" borderId="1" xfId="0" applyFont="1" applyFill="1" applyBorder="1" applyAlignment="1">
      <alignment wrapText="1"/>
    </xf>
    <xf numFmtId="44" fontId="16" fillId="0" borderId="0" xfId="3" applyFont="1" applyFill="1" applyBorder="1" applyAlignment="1">
      <alignment horizontal="center" vertical="center" wrapText="1"/>
    </xf>
    <xf numFmtId="0" fontId="2" fillId="0" borderId="64" xfId="0" applyFont="1" applyBorder="1"/>
    <xf numFmtId="0" fontId="12" fillId="0" borderId="0" xfId="0" applyFont="1" applyAlignment="1">
      <alignment vertical="center"/>
    </xf>
    <xf numFmtId="180" fontId="0" fillId="0" borderId="0" xfId="0" applyNumberFormat="1"/>
    <xf numFmtId="175" fontId="0" fillId="0" borderId="0" xfId="0" applyNumberFormat="1"/>
    <xf numFmtId="171" fontId="0" fillId="0" borderId="0" xfId="0" applyNumberFormat="1"/>
    <xf numFmtId="168" fontId="0" fillId="0" borderId="0" xfId="0" applyNumberFormat="1"/>
    <xf numFmtId="0" fontId="12" fillId="11" borderId="1" xfId="0" applyFont="1" applyFill="1" applyBorder="1" applyAlignment="1">
      <alignment horizontal="center" vertical="center" wrapText="1"/>
    </xf>
    <xf numFmtId="0" fontId="12" fillId="9" borderId="23" xfId="0" applyFont="1" applyFill="1" applyBorder="1" applyAlignment="1">
      <alignment horizontal="center" vertical="center"/>
    </xf>
    <xf numFmtId="0" fontId="12" fillId="9" borderId="27" xfId="0" applyFont="1" applyFill="1" applyBorder="1" applyAlignment="1">
      <alignment horizontal="center" vertical="center"/>
    </xf>
    <xf numFmtId="0" fontId="12" fillId="9" borderId="26" xfId="0" applyFont="1" applyFill="1" applyBorder="1" applyAlignment="1">
      <alignment horizontal="center" vertical="center"/>
    </xf>
    <xf numFmtId="0" fontId="2" fillId="0" borderId="0" xfId="13" applyAlignment="1">
      <alignment horizontal="left"/>
    </xf>
    <xf numFmtId="0" fontId="2" fillId="0" borderId="0" xfId="13" applyAlignment="1">
      <alignment horizontal="left" wrapText="1"/>
    </xf>
    <xf numFmtId="0" fontId="17" fillId="8" borderId="1" xfId="0" applyFont="1" applyFill="1" applyBorder="1" applyAlignment="1">
      <alignment horizontal="center"/>
    </xf>
    <xf numFmtId="0" fontId="17" fillId="5" borderId="19" xfId="0" applyFont="1" applyFill="1" applyBorder="1" applyAlignment="1">
      <alignment horizontal="center" vertical="center"/>
    </xf>
    <xf numFmtId="0" fontId="17" fillId="4" borderId="1" xfId="0" applyFont="1" applyFill="1" applyBorder="1" applyAlignment="1">
      <alignment horizontal="center"/>
    </xf>
    <xf numFmtId="0" fontId="17" fillId="4" borderId="23" xfId="0" applyFont="1" applyFill="1" applyBorder="1" applyAlignment="1">
      <alignment horizontal="center"/>
    </xf>
    <xf numFmtId="0" fontId="0" fillId="0" borderId="0" xfId="0" applyAlignment="1">
      <alignment horizontal="center"/>
    </xf>
    <xf numFmtId="0" fontId="17" fillId="7" borderId="23" xfId="0" applyFont="1" applyFill="1" applyBorder="1" applyAlignment="1">
      <alignment horizontal="center"/>
    </xf>
    <xf numFmtId="0" fontId="17" fillId="7" borderId="27" xfId="0" applyFont="1" applyFill="1" applyBorder="1" applyAlignment="1">
      <alignment horizontal="center"/>
    </xf>
    <xf numFmtId="0" fontId="17" fillId="3" borderId="41" xfId="0" applyFont="1" applyFill="1" applyBorder="1" applyAlignment="1">
      <alignment horizontal="center"/>
    </xf>
    <xf numFmtId="0" fontId="17" fillId="3" borderId="44" xfId="0" applyFont="1" applyFill="1" applyBorder="1" applyAlignment="1">
      <alignment horizontal="center"/>
    </xf>
    <xf numFmtId="0" fontId="23" fillId="0" borderId="0" xfId="0" applyFont="1" applyAlignment="1">
      <alignment horizontal="center" vertical="center" wrapText="1"/>
    </xf>
    <xf numFmtId="0" fontId="12" fillId="0" borderId="5" xfId="0" applyFont="1" applyBorder="1" applyAlignment="1">
      <alignment horizontal="center"/>
    </xf>
    <xf numFmtId="0" fontId="12" fillId="0" borderId="7" xfId="0" applyFont="1" applyBorder="1" applyAlignment="1">
      <alignment horizontal="center"/>
    </xf>
    <xf numFmtId="0" fontId="17" fillId="4" borderId="33"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36" xfId="0"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2" fillId="0" borderId="16" xfId="0" applyFont="1" applyBorder="1" applyAlignment="1">
      <alignment horizontal="right"/>
    </xf>
    <xf numFmtId="0" fontId="12" fillId="0" borderId="40" xfId="0" applyFont="1" applyBorder="1" applyAlignment="1">
      <alignment horizontal="right"/>
    </xf>
    <xf numFmtId="0" fontId="12" fillId="0" borderId="28" xfId="0" applyFont="1" applyBorder="1" applyAlignment="1">
      <alignment horizontal="right"/>
    </xf>
    <xf numFmtId="0" fontId="17" fillId="4" borderId="1" xfId="0" applyFont="1" applyFill="1" applyBorder="1" applyAlignment="1">
      <alignment vertical="center" wrapText="1"/>
    </xf>
    <xf numFmtId="0" fontId="17" fillId="5" borderId="20" xfId="0" applyFont="1" applyFill="1" applyBorder="1" applyAlignment="1">
      <alignment horizontal="center" vertical="center" wrapText="1"/>
    </xf>
    <xf numFmtId="0" fontId="24" fillId="5" borderId="43" xfId="0" applyFont="1" applyFill="1" applyBorder="1"/>
    <xf numFmtId="165" fontId="12" fillId="0" borderId="29" xfId="0" applyNumberFormat="1" applyFont="1" applyBorder="1" applyAlignment="1">
      <alignment horizontal="center" vertical="center"/>
    </xf>
    <xf numFmtId="165" fontId="12" fillId="0" borderId="0" xfId="0" applyNumberFormat="1" applyFont="1" applyAlignment="1">
      <alignment horizontal="center" vertical="center"/>
    </xf>
    <xf numFmtId="165" fontId="12" fillId="0" borderId="36" xfId="0" applyNumberFormat="1" applyFont="1" applyBorder="1" applyAlignment="1">
      <alignment horizontal="center" vertical="center"/>
    </xf>
  </cellXfs>
  <cellStyles count="15">
    <cellStyle name="Comma" xfId="1" builtinId="3"/>
    <cellStyle name="Comma 2" xfId="2" xr:uid="{00000000-0005-0000-0000-000001000000}"/>
    <cellStyle name="Comma 2 2" xfId="9" xr:uid="{00000000-0005-0000-0000-000002000000}"/>
    <cellStyle name="Currency" xfId="3" builtinId="4"/>
    <cellStyle name="Currency 2" xfId="4" xr:uid="{00000000-0005-0000-0000-000004000000}"/>
    <cellStyle name="Currency 2 2" xfId="10" xr:uid="{00000000-0005-0000-0000-000005000000}"/>
    <cellStyle name="Normal" xfId="0" builtinId="0"/>
    <cellStyle name="Normal 2" xfId="5" xr:uid="{00000000-0005-0000-0000-000008000000}"/>
    <cellStyle name="Normal 2 2" xfId="13" xr:uid="{00000000-0005-0000-0000-000009000000}"/>
    <cellStyle name="Normal 3" xfId="14" xr:uid="{00000000-0005-0000-0000-00000A000000}"/>
    <cellStyle name="Percent" xfId="6" builtinId="5"/>
    <cellStyle name="Percent 2" xfId="7" xr:uid="{00000000-0005-0000-0000-00000C000000}"/>
    <cellStyle name="Percent 2 2" xfId="8" xr:uid="{00000000-0005-0000-0000-00000D000000}"/>
    <cellStyle name="Percent 2 2 2" xfId="12" xr:uid="{00000000-0005-0000-0000-00000E000000}"/>
    <cellStyle name="Percent 2 3" xfId="11"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4"/>
  <sheetViews>
    <sheetView tabSelected="1" workbookViewId="0">
      <pane xSplit="1" topLeftCell="B1" activePane="topRight" state="frozen"/>
      <selection pane="topRight"/>
    </sheetView>
  </sheetViews>
  <sheetFormatPr defaultRowHeight="12.75" x14ac:dyDescent="0.2"/>
  <cols>
    <col min="1" max="2" width="16.7109375" customWidth="1"/>
    <col min="3" max="3" width="18.7109375" bestFit="1" customWidth="1"/>
    <col min="4" max="4" width="16.7109375" customWidth="1"/>
    <col min="5" max="5" width="18.7109375" bestFit="1" customWidth="1"/>
    <col min="6" max="6" width="18.140625" bestFit="1" customWidth="1"/>
    <col min="7" max="16" width="16.7109375" customWidth="1"/>
    <col min="17" max="17" width="12.7109375" customWidth="1"/>
  </cols>
  <sheetData>
    <row r="1" spans="1:13" ht="18.75" x14ac:dyDescent="0.3">
      <c r="A1" s="39" t="s">
        <v>362</v>
      </c>
      <c r="B1" s="39"/>
      <c r="C1" s="39"/>
      <c r="D1" s="39"/>
      <c r="E1" s="39"/>
      <c r="F1" s="114"/>
      <c r="G1" s="114"/>
      <c r="H1" s="114"/>
      <c r="I1" s="114"/>
      <c r="J1" s="114"/>
      <c r="K1" s="114"/>
      <c r="L1" s="114"/>
      <c r="M1" s="114"/>
    </row>
    <row r="2" spans="1:13" x14ac:dyDescent="0.2">
      <c r="A2" s="11"/>
      <c r="B2" s="11"/>
      <c r="C2" s="11"/>
      <c r="D2" s="11"/>
      <c r="E2" s="11"/>
      <c r="F2" s="11"/>
      <c r="G2" s="11"/>
      <c r="H2" s="11"/>
      <c r="I2" s="11"/>
      <c r="J2" s="11"/>
      <c r="K2" s="11"/>
      <c r="L2" s="11"/>
      <c r="M2" s="11"/>
    </row>
    <row r="3" spans="1:13" ht="15.75" x14ac:dyDescent="0.2">
      <c r="A3" s="40" t="s">
        <v>162</v>
      </c>
      <c r="B3" s="245"/>
      <c r="C3" s="245"/>
      <c r="D3" s="245"/>
      <c r="E3" s="245"/>
      <c r="F3" s="101"/>
      <c r="G3" s="101"/>
      <c r="H3" s="101"/>
      <c r="I3" s="101"/>
      <c r="J3" s="101"/>
      <c r="K3" s="101"/>
      <c r="L3" s="101"/>
      <c r="M3" s="101"/>
    </row>
    <row r="4" spans="1:13" ht="25.5" x14ac:dyDescent="0.2">
      <c r="A4" s="250" t="s">
        <v>2</v>
      </c>
      <c r="B4" s="275" t="s">
        <v>91</v>
      </c>
    </row>
    <row r="5" spans="1:13" x14ac:dyDescent="0.2">
      <c r="A5" s="251" t="s">
        <v>5</v>
      </c>
      <c r="B5" s="289">
        <f>'BRA Resource Clearing Results'!D5</f>
        <v>333.44</v>
      </c>
    </row>
    <row r="6" spans="1:13" x14ac:dyDescent="0.2">
      <c r="A6" s="251" t="s">
        <v>26</v>
      </c>
      <c r="B6" s="289">
        <f>'BRA Resource Clearing Results'!D6</f>
        <v>333.44</v>
      </c>
    </row>
    <row r="7" spans="1:13" x14ac:dyDescent="0.2">
      <c r="A7" s="251" t="s">
        <v>31</v>
      </c>
      <c r="B7" s="289">
        <f>'BRA Resource Clearing Results'!D7</f>
        <v>333.44</v>
      </c>
    </row>
    <row r="8" spans="1:13" x14ac:dyDescent="0.2">
      <c r="A8" s="251" t="s">
        <v>4</v>
      </c>
      <c r="B8" s="289">
        <f>'BRA Resource Clearing Results'!D8</f>
        <v>333.44</v>
      </c>
    </row>
    <row r="9" spans="1:13" x14ac:dyDescent="0.2">
      <c r="A9" s="251" t="s">
        <v>7</v>
      </c>
      <c r="B9" s="289">
        <f>'BRA Resource Clearing Results'!D9</f>
        <v>333.44</v>
      </c>
    </row>
    <row r="10" spans="1:13" x14ac:dyDescent="0.2">
      <c r="A10" s="251" t="s">
        <v>32</v>
      </c>
      <c r="B10" s="289">
        <f>'BRA Resource Clearing Results'!D10</f>
        <v>333.44</v>
      </c>
    </row>
    <row r="11" spans="1:13" x14ac:dyDescent="0.2">
      <c r="A11" s="251" t="s">
        <v>33</v>
      </c>
      <c r="B11" s="289">
        <f>'BRA Resource Clearing Results'!D11</f>
        <v>333.44</v>
      </c>
    </row>
    <row r="12" spans="1:13" x14ac:dyDescent="0.2">
      <c r="A12" s="251" t="s">
        <v>14</v>
      </c>
      <c r="B12" s="289">
        <f>'BRA Resource Clearing Results'!D12</f>
        <v>333.44</v>
      </c>
    </row>
    <row r="13" spans="1:13" x14ac:dyDescent="0.2">
      <c r="A13" s="251" t="s">
        <v>41</v>
      </c>
      <c r="B13" s="289">
        <f>'BRA Resource Clearing Results'!D13</f>
        <v>333.44</v>
      </c>
    </row>
    <row r="14" spans="1:13" x14ac:dyDescent="0.2">
      <c r="A14" s="251" t="s">
        <v>96</v>
      </c>
      <c r="B14" s="289">
        <f>'BRA Resource Clearing Results'!D14</f>
        <v>333.44</v>
      </c>
    </row>
    <row r="15" spans="1:13" x14ac:dyDescent="0.2">
      <c r="A15" s="251" t="s">
        <v>19</v>
      </c>
      <c r="B15" s="289">
        <f>'BRA Resource Clearing Results'!D15</f>
        <v>333.44</v>
      </c>
    </row>
    <row r="16" spans="1:13" x14ac:dyDescent="0.2">
      <c r="A16" s="251" t="s">
        <v>10</v>
      </c>
      <c r="B16" s="289">
        <f>'BRA Resource Clearing Results'!D16</f>
        <v>333.44</v>
      </c>
    </row>
    <row r="17" spans="1:13" x14ac:dyDescent="0.2">
      <c r="A17" s="251" t="s">
        <v>9</v>
      </c>
      <c r="B17" s="289">
        <f>'BRA Resource Clearing Results'!D17</f>
        <v>333.44</v>
      </c>
    </row>
    <row r="18" spans="1:13" x14ac:dyDescent="0.2">
      <c r="A18" s="251" t="s">
        <v>20</v>
      </c>
      <c r="B18" s="289">
        <f>'BRA Resource Clearing Results'!D18</f>
        <v>333.44</v>
      </c>
    </row>
    <row r="19" spans="1:13" x14ac:dyDescent="0.2">
      <c r="A19" s="251" t="s">
        <v>48</v>
      </c>
      <c r="B19" s="289">
        <f>'BRA Resource Clearing Results'!D19</f>
        <v>333.44</v>
      </c>
    </row>
    <row r="20" spans="1:13" x14ac:dyDescent="0.2">
      <c r="A20" s="296" t="s">
        <v>28</v>
      </c>
      <c r="B20" s="289">
        <f>'BRA Resource Clearing Results'!D20</f>
        <v>333.44</v>
      </c>
    </row>
    <row r="21" spans="1:13" x14ac:dyDescent="0.2">
      <c r="A21" s="296" t="s">
        <v>11</v>
      </c>
      <c r="B21" s="289">
        <f>'BRA Resource Clearing Results'!D21</f>
        <v>333.44</v>
      </c>
    </row>
    <row r="22" spans="1:13" x14ac:dyDescent="0.2">
      <c r="A22" s="145" t="s">
        <v>22</v>
      </c>
      <c r="B22" s="145"/>
      <c r="D22" s="78"/>
      <c r="E22" s="78"/>
      <c r="F22" s="78"/>
      <c r="G22" s="78"/>
      <c r="H22" s="78"/>
      <c r="I22" s="78"/>
      <c r="J22" s="78"/>
      <c r="K22" s="78"/>
      <c r="L22" s="78"/>
      <c r="M22" s="78"/>
    </row>
    <row r="23" spans="1:13" ht="15.75" x14ac:dyDescent="0.2">
      <c r="A23" s="40" t="s">
        <v>163</v>
      </c>
      <c r="B23" s="101"/>
      <c r="C23" s="101"/>
      <c r="D23" s="101"/>
      <c r="E23" s="101"/>
      <c r="F23" s="11"/>
      <c r="G23" s="11"/>
      <c r="H23" s="11"/>
      <c r="I23" s="11"/>
      <c r="J23" s="11"/>
      <c r="K23" s="11"/>
      <c r="L23" s="11"/>
      <c r="M23" s="78"/>
    </row>
    <row r="24" spans="1:13" ht="25.5" x14ac:dyDescent="0.2">
      <c r="A24" s="346" t="s">
        <v>2</v>
      </c>
      <c r="B24" s="275" t="s">
        <v>91</v>
      </c>
    </row>
    <row r="25" spans="1:13" ht="25.5" x14ac:dyDescent="0.2">
      <c r="A25" s="346"/>
      <c r="B25" s="275" t="s">
        <v>164</v>
      </c>
    </row>
    <row r="26" spans="1:13" x14ac:dyDescent="0.2">
      <c r="A26" s="251" t="s">
        <v>5</v>
      </c>
      <c r="B26" s="290">
        <f>'BRA Resource Clearing Results'!F28</f>
        <v>134478.1</v>
      </c>
    </row>
    <row r="27" spans="1:13" x14ac:dyDescent="0.2">
      <c r="A27" s="251" t="s">
        <v>26</v>
      </c>
      <c r="B27" s="290">
        <f>'BRA Resource Clearing Results'!F29</f>
        <v>51665.7</v>
      </c>
    </row>
    <row r="28" spans="1:13" x14ac:dyDescent="0.2">
      <c r="A28" s="251" t="s">
        <v>31</v>
      </c>
      <c r="B28" s="290">
        <f>'BRA Resource Clearing Results'!F30</f>
        <v>23863.200000000001</v>
      </c>
    </row>
    <row r="29" spans="1:13" x14ac:dyDescent="0.2">
      <c r="A29" s="251" t="s">
        <v>4</v>
      </c>
      <c r="B29" s="290">
        <f>'BRA Resource Clearing Results'!F31</f>
        <v>6482.6</v>
      </c>
    </row>
    <row r="30" spans="1:13" x14ac:dyDescent="0.2">
      <c r="A30" s="251" t="s">
        <v>7</v>
      </c>
      <c r="B30" s="290">
        <f>'BRA Resource Clearing Results'!F32</f>
        <v>4157</v>
      </c>
    </row>
    <row r="31" spans="1:13" x14ac:dyDescent="0.2">
      <c r="A31" s="251" t="s">
        <v>32</v>
      </c>
      <c r="B31" s="290">
        <f>'BRA Resource Clearing Results'!F33</f>
        <v>2379.6999999999998</v>
      </c>
    </row>
    <row r="32" spans="1:13" x14ac:dyDescent="0.2">
      <c r="A32" s="251" t="s">
        <v>33</v>
      </c>
      <c r="B32" s="290">
        <f>'BRA Resource Clearing Results'!F34</f>
        <v>959.6</v>
      </c>
    </row>
    <row r="33" spans="1:18" x14ac:dyDescent="0.2">
      <c r="A33" s="251" t="s">
        <v>14</v>
      </c>
      <c r="B33" s="290">
        <f>'BRA Resource Clearing Results'!F35</f>
        <v>2148.9</v>
      </c>
    </row>
    <row r="34" spans="1:18" x14ac:dyDescent="0.2">
      <c r="A34" s="251" t="s">
        <v>41</v>
      </c>
      <c r="B34" s="290">
        <f>'BRA Resource Clearing Results'!F36</f>
        <v>7603.6</v>
      </c>
    </row>
    <row r="35" spans="1:18" x14ac:dyDescent="0.2">
      <c r="A35" s="251" t="s">
        <v>96</v>
      </c>
      <c r="B35" s="290">
        <f>'BRA Resource Clearing Results'!F37</f>
        <v>1651.6</v>
      </c>
    </row>
    <row r="36" spans="1:18" x14ac:dyDescent="0.2">
      <c r="A36" s="251" t="s">
        <v>19</v>
      </c>
      <c r="B36" s="290">
        <f>'BRA Resource Clearing Results'!F38</f>
        <v>19549.399999999998</v>
      </c>
    </row>
    <row r="37" spans="1:18" x14ac:dyDescent="0.2">
      <c r="A37" s="251" t="s">
        <v>10</v>
      </c>
      <c r="B37" s="290">
        <f>'BRA Resource Clearing Results'!F39</f>
        <v>2216.8000000000002</v>
      </c>
    </row>
    <row r="38" spans="1:18" x14ac:dyDescent="0.2">
      <c r="A38" s="251" t="s">
        <v>9</v>
      </c>
      <c r="B38" s="290">
        <f>'BRA Resource Clearing Results'!F40</f>
        <v>8568.2000000000007</v>
      </c>
    </row>
    <row r="39" spans="1:18" x14ac:dyDescent="0.2">
      <c r="A39" s="251" t="s">
        <v>20</v>
      </c>
      <c r="B39" s="290">
        <f>'BRA Resource Clearing Results'!F41</f>
        <v>928.9</v>
      </c>
    </row>
    <row r="40" spans="1:18" x14ac:dyDescent="0.2">
      <c r="A40" s="251" t="s">
        <v>48</v>
      </c>
      <c r="B40" s="290">
        <f>'BRA Resource Clearing Results'!F42</f>
        <v>2414.5</v>
      </c>
    </row>
    <row r="41" spans="1:18" x14ac:dyDescent="0.2">
      <c r="A41" s="297" t="s">
        <v>28</v>
      </c>
      <c r="B41" s="290">
        <f>'BRA Resource Clearing Results'!F43</f>
        <v>19896.100000000002</v>
      </c>
    </row>
    <row r="42" spans="1:18" x14ac:dyDescent="0.2">
      <c r="A42" s="251" t="s">
        <v>11</v>
      </c>
      <c r="B42" s="290">
        <f>'BRA Resource Clearing Results'!F44</f>
        <v>2496.6</v>
      </c>
    </row>
    <row r="43" spans="1:18" x14ac:dyDescent="0.2">
      <c r="A43" s="13"/>
      <c r="B43" s="252"/>
      <c r="C43" s="252"/>
      <c r="D43" s="252"/>
      <c r="E43" s="252"/>
      <c r="F43" s="252"/>
      <c r="G43" s="252"/>
      <c r="H43" s="252"/>
      <c r="I43" s="252"/>
      <c r="J43" s="252"/>
      <c r="K43" s="252"/>
      <c r="L43" s="252"/>
      <c r="M43" s="11"/>
    </row>
    <row r="44" spans="1:18" x14ac:dyDescent="0.2">
      <c r="A44" s="13"/>
      <c r="B44" s="252"/>
      <c r="C44" s="252"/>
      <c r="D44" s="252"/>
      <c r="E44" s="252"/>
      <c r="F44" s="252"/>
      <c r="G44" s="252"/>
      <c r="H44" s="252"/>
      <c r="I44" s="252"/>
      <c r="J44" s="252"/>
      <c r="K44" s="252"/>
      <c r="L44" s="252"/>
      <c r="M44" s="245"/>
    </row>
    <row r="45" spans="1:18" x14ac:dyDescent="0.2">
      <c r="A45" s="13"/>
      <c r="B45" s="252"/>
      <c r="C45" s="252"/>
      <c r="D45" s="252"/>
      <c r="E45" s="252"/>
      <c r="F45" s="252"/>
      <c r="G45" s="252"/>
      <c r="H45" s="252"/>
      <c r="I45" s="252"/>
      <c r="J45" s="252"/>
      <c r="K45" s="252"/>
      <c r="L45" s="252"/>
      <c r="M45" s="245"/>
    </row>
    <row r="46" spans="1:18" ht="15.75" x14ac:dyDescent="0.2">
      <c r="A46" s="40" t="s">
        <v>92</v>
      </c>
      <c r="B46" s="245"/>
      <c r="C46" s="245"/>
      <c r="D46" s="245"/>
      <c r="E46" s="245"/>
      <c r="F46" s="245"/>
      <c r="G46" s="245"/>
      <c r="H46" s="245"/>
      <c r="I46" s="245"/>
      <c r="J46" s="245"/>
      <c r="K46" s="245"/>
      <c r="L46" s="245"/>
      <c r="M46" s="245"/>
    </row>
    <row r="47" spans="1:18" x14ac:dyDescent="0.2">
      <c r="A47" s="346" t="s">
        <v>6</v>
      </c>
      <c r="B47" s="347" t="s">
        <v>91</v>
      </c>
      <c r="C47" s="348"/>
      <c r="D47" s="348"/>
      <c r="E47" s="349"/>
      <c r="F47" s="245"/>
      <c r="G47" s="245"/>
      <c r="H47" s="245"/>
      <c r="I47" s="245"/>
      <c r="J47" s="245"/>
      <c r="K47" s="245"/>
      <c r="L47" s="245"/>
      <c r="M47" s="245"/>
      <c r="N47" s="245"/>
      <c r="O47" s="245"/>
      <c r="P47" s="245"/>
      <c r="Q47" s="245"/>
      <c r="R47" s="245"/>
    </row>
    <row r="48" spans="1:18" ht="51" x14ac:dyDescent="0.2">
      <c r="A48" s="346"/>
      <c r="B48" s="253" t="s">
        <v>161</v>
      </c>
      <c r="C48" s="253" t="s">
        <v>148</v>
      </c>
      <c r="D48" s="253" t="s">
        <v>93</v>
      </c>
      <c r="E48" s="253" t="s">
        <v>94</v>
      </c>
      <c r="F48" s="245"/>
      <c r="G48" s="341"/>
      <c r="H48" s="341"/>
      <c r="I48" s="341"/>
      <c r="J48" s="341"/>
      <c r="K48" s="341"/>
      <c r="L48" s="341"/>
      <c r="M48" s="341"/>
      <c r="N48" s="341"/>
      <c r="O48" s="245"/>
      <c r="P48" s="245"/>
      <c r="Q48" s="245"/>
      <c r="R48" s="245"/>
    </row>
    <row r="49" spans="1:18" x14ac:dyDescent="0.2">
      <c r="A49" s="246" t="s">
        <v>15</v>
      </c>
      <c r="B49" s="247">
        <f>'BRA Load Pricing Results'!J43</f>
        <v>2080.1346245597269</v>
      </c>
      <c r="C49" s="248">
        <f>'BRA Load Pricing Results'!L43</f>
        <v>333.69147995552419</v>
      </c>
      <c r="D49" s="248">
        <f>'BRA CTRs'!AI25</f>
        <v>0</v>
      </c>
      <c r="E49" s="248">
        <f>C49-D49</f>
        <v>333.69147995552419</v>
      </c>
      <c r="G49" s="342"/>
      <c r="H49" s="343"/>
      <c r="I49" s="344"/>
      <c r="J49" s="345"/>
      <c r="K49" s="345"/>
      <c r="L49" s="345"/>
      <c r="M49" s="345"/>
      <c r="N49" s="345"/>
      <c r="O49" s="245"/>
      <c r="P49" s="245"/>
      <c r="Q49" s="245"/>
      <c r="R49" s="245"/>
    </row>
    <row r="50" spans="1:18" x14ac:dyDescent="0.2">
      <c r="A50" s="246" t="s">
        <v>165</v>
      </c>
      <c r="B50" s="247">
        <f>'BRA Load Pricing Results'!J44</f>
        <v>12505.606976441997</v>
      </c>
      <c r="C50" s="248">
        <f>'BRA Load Pricing Results'!L44</f>
        <v>333.69147995552419</v>
      </c>
      <c r="D50" s="248">
        <f>'BRA CTRs'!AI26</f>
        <v>0</v>
      </c>
      <c r="E50" s="254">
        <f>C50-D50</f>
        <v>333.69147995552419</v>
      </c>
      <c r="G50" s="342"/>
      <c r="H50" s="343"/>
      <c r="I50" s="344"/>
      <c r="J50" s="345"/>
      <c r="K50" s="345"/>
      <c r="L50" s="345"/>
      <c r="M50" s="345"/>
      <c r="N50" s="345"/>
      <c r="O50" s="245"/>
      <c r="P50" s="245"/>
      <c r="Q50" s="245"/>
      <c r="R50" s="245"/>
    </row>
    <row r="51" spans="1:18" x14ac:dyDescent="0.2">
      <c r="A51" s="246" t="s">
        <v>18</v>
      </c>
      <c r="B51" s="247">
        <f>'BRA Load Pricing Results'!J45</f>
        <v>7951.6389339342977</v>
      </c>
      <c r="C51" s="248">
        <f>'BRA Load Pricing Results'!L45</f>
        <v>333.69147995552419</v>
      </c>
      <c r="D51" s="248">
        <f>'BRA CTRs'!AI27</f>
        <v>0</v>
      </c>
      <c r="E51" s="254">
        <f>C51-D51</f>
        <v>333.69147995552419</v>
      </c>
      <c r="G51" s="342"/>
      <c r="H51" s="343"/>
      <c r="I51" s="344"/>
      <c r="J51" s="345"/>
      <c r="K51" s="345"/>
      <c r="L51" s="345"/>
      <c r="M51" s="345"/>
      <c r="N51" s="345"/>
      <c r="O51" s="245"/>
      <c r="P51" s="245"/>
      <c r="Q51" s="245"/>
      <c r="R51" s="245"/>
    </row>
    <row r="52" spans="1:18" x14ac:dyDescent="0.2">
      <c r="A52" s="246" t="s">
        <v>41</v>
      </c>
      <c r="B52" s="247">
        <f>'BRA Load Pricing Results'!J46</f>
        <v>11201.13222524907</v>
      </c>
      <c r="C52" s="248">
        <f>'BRA Load Pricing Results'!L46</f>
        <v>333.69147995552419</v>
      </c>
      <c r="D52" s="248">
        <f>'BRA CTRs'!AI28</f>
        <v>0</v>
      </c>
      <c r="E52" s="254">
        <f>C52-D52</f>
        <v>333.69147995552419</v>
      </c>
      <c r="G52" s="342"/>
      <c r="H52" s="343"/>
      <c r="I52" s="344"/>
      <c r="J52" s="345"/>
      <c r="K52" s="345"/>
      <c r="L52" s="345"/>
      <c r="M52" s="345"/>
      <c r="N52" s="345"/>
      <c r="O52" s="245"/>
      <c r="P52" s="245"/>
      <c r="Q52" s="245"/>
      <c r="R52" s="245"/>
    </row>
    <row r="53" spans="1:18" x14ac:dyDescent="0.2">
      <c r="A53" s="246" t="s">
        <v>10</v>
      </c>
      <c r="B53" s="247">
        <f>'BRA Load Pricing Results'!J47</f>
        <v>5584.6804854535221</v>
      </c>
      <c r="C53" s="248">
        <f>'BRA Load Pricing Results'!L47</f>
        <v>333.69147995552419</v>
      </c>
      <c r="D53" s="248">
        <f>'BRA CTRs'!AI29</f>
        <v>0</v>
      </c>
      <c r="E53" s="254">
        <f t="shared" ref="E53:E68" si="0">C53-D53</f>
        <v>333.69147995552419</v>
      </c>
      <c r="G53" s="342"/>
      <c r="H53" s="343"/>
      <c r="I53" s="344"/>
      <c r="J53" s="345"/>
      <c r="K53" s="345"/>
      <c r="L53" s="345"/>
      <c r="M53" s="345"/>
      <c r="N53" s="345"/>
      <c r="O53" s="245"/>
      <c r="P53" s="245"/>
      <c r="Q53" s="245"/>
      <c r="R53" s="245"/>
    </row>
    <row r="54" spans="1:18" x14ac:dyDescent="0.2">
      <c r="A54" s="246" t="s">
        <v>19</v>
      </c>
      <c r="B54" s="247">
        <f>'BRA Load Pricing Results'!J48</f>
        <v>17119.410881293839</v>
      </c>
      <c r="C54" s="248">
        <f>'BRA Load Pricing Results'!L48</f>
        <v>333.69147995552419</v>
      </c>
      <c r="D54" s="248">
        <f>'BRA CTRs'!AI30</f>
        <v>0</v>
      </c>
      <c r="E54" s="254">
        <f t="shared" si="0"/>
        <v>333.69147995552419</v>
      </c>
      <c r="G54" s="342"/>
      <c r="H54" s="343"/>
      <c r="I54" s="344"/>
      <c r="J54" s="345"/>
      <c r="K54" s="345"/>
      <c r="L54" s="345"/>
      <c r="M54" s="345"/>
      <c r="N54" s="345"/>
      <c r="O54" s="245"/>
      <c r="P54" s="245"/>
      <c r="Q54" s="245"/>
      <c r="R54" s="245"/>
    </row>
    <row r="55" spans="1:18" x14ac:dyDescent="0.2">
      <c r="A55" s="246" t="s">
        <v>20</v>
      </c>
      <c r="B55" s="247">
        <f>'BRA Load Pricing Results'!J49</f>
        <v>3049.1578819914539</v>
      </c>
      <c r="C55" s="248">
        <f>'BRA Load Pricing Results'!L49</f>
        <v>333.69147995552419</v>
      </c>
      <c r="D55" s="248">
        <f>'BRA CTRs'!AI31</f>
        <v>0</v>
      </c>
      <c r="E55" s="254">
        <f t="shared" si="0"/>
        <v>333.69147995552419</v>
      </c>
      <c r="G55" s="342"/>
      <c r="H55" s="343"/>
      <c r="I55" s="344"/>
      <c r="J55" s="345"/>
      <c r="K55" s="345"/>
      <c r="L55" s="345"/>
      <c r="M55" s="345"/>
      <c r="N55" s="345"/>
      <c r="O55" s="245"/>
      <c r="P55" s="245"/>
      <c r="Q55" s="245"/>
      <c r="R55" s="245"/>
    </row>
    <row r="56" spans="1:18" x14ac:dyDescent="0.2">
      <c r="A56" s="246" t="s">
        <v>166</v>
      </c>
      <c r="B56" s="247">
        <f>'BRA Load Pricing Results'!J50</f>
        <v>4519.4609301528899</v>
      </c>
      <c r="C56" s="248">
        <f>'BRA Load Pricing Results'!L50</f>
        <v>333.69147995552419</v>
      </c>
      <c r="D56" s="248">
        <f>'BRA CTRs'!AI32</f>
        <v>0</v>
      </c>
      <c r="E56" s="254">
        <f t="shared" si="0"/>
        <v>333.69147995552419</v>
      </c>
      <c r="G56" s="342"/>
      <c r="H56" s="343"/>
      <c r="I56" s="344"/>
      <c r="J56" s="345"/>
      <c r="K56" s="345"/>
      <c r="L56" s="345"/>
      <c r="M56" s="345"/>
      <c r="N56" s="345"/>
      <c r="O56" s="245"/>
      <c r="P56" s="245"/>
      <c r="Q56" s="245"/>
      <c r="R56" s="245"/>
    </row>
    <row r="57" spans="1:18" x14ac:dyDescent="0.2">
      <c r="A57" s="246" t="s">
        <v>40</v>
      </c>
      <c r="B57" s="247">
        <f>'BRA Load Pricing Results'!J51</f>
        <v>2320.1841018105738</v>
      </c>
      <c r="C57" s="248">
        <f>'BRA Load Pricing Results'!L51</f>
        <v>333.69147995552419</v>
      </c>
      <c r="D57" s="248">
        <f>'BRA CTRs'!AI33</f>
        <v>0</v>
      </c>
      <c r="E57" s="254">
        <f t="shared" si="0"/>
        <v>333.69147995552419</v>
      </c>
      <c r="G57" s="342"/>
      <c r="H57" s="343"/>
      <c r="I57" s="344"/>
      <c r="J57" s="345"/>
      <c r="K57" s="345"/>
      <c r="L57" s="345"/>
      <c r="M57" s="345"/>
      <c r="N57" s="345"/>
      <c r="O57" s="245"/>
      <c r="P57" s="245"/>
      <c r="Q57" s="245"/>
      <c r="R57" s="245"/>
    </row>
    <row r="58" spans="1:18" x14ac:dyDescent="0.2">
      <c r="A58" s="246" t="s">
        <v>28</v>
      </c>
      <c r="B58" s="247">
        <f>'BRA Load Pricing Results'!J52</f>
        <v>22962.674075697731</v>
      </c>
      <c r="C58" s="248">
        <f>'BRA Load Pricing Results'!L52</f>
        <v>333.69147995552419</v>
      </c>
      <c r="D58" s="248">
        <f>'BRA CTRs'!AI34</f>
        <v>0</v>
      </c>
      <c r="E58" s="254">
        <f t="shared" si="0"/>
        <v>333.69147995552419</v>
      </c>
      <c r="G58" s="342"/>
      <c r="H58" s="343"/>
      <c r="I58" s="344"/>
      <c r="J58" s="345"/>
      <c r="K58" s="345"/>
      <c r="L58" s="345"/>
      <c r="M58" s="345"/>
      <c r="N58" s="345"/>
      <c r="O58" s="245"/>
      <c r="P58" s="245"/>
      <c r="Q58" s="245"/>
      <c r="R58" s="245"/>
    </row>
    <row r="59" spans="1:18" x14ac:dyDescent="0.2">
      <c r="A59" s="246" t="s">
        <v>16</v>
      </c>
      <c r="B59" s="247">
        <f>'BRA Load Pricing Results'!J53</f>
        <v>3308.6231257846484</v>
      </c>
      <c r="C59" s="248">
        <f>'BRA Load Pricing Results'!L53</f>
        <v>333.69147995552419</v>
      </c>
      <c r="D59" s="248">
        <f>'BRA CTRs'!AI35</f>
        <v>0</v>
      </c>
      <c r="E59" s="254">
        <f t="shared" si="0"/>
        <v>333.69147995552419</v>
      </c>
      <c r="G59" s="342"/>
      <c r="H59" s="343"/>
      <c r="I59" s="344"/>
      <c r="J59" s="345"/>
      <c r="K59" s="345"/>
      <c r="L59" s="345"/>
      <c r="M59" s="345"/>
      <c r="N59" s="345"/>
      <c r="O59" s="245"/>
      <c r="P59" s="245"/>
      <c r="Q59" s="245"/>
      <c r="R59" s="245"/>
    </row>
    <row r="60" spans="1:18" x14ac:dyDescent="0.2">
      <c r="A60" s="246" t="s">
        <v>167</v>
      </c>
      <c r="B60" s="247">
        <f>'BRA Load Pricing Results'!J54</f>
        <v>2129.5565757584309</v>
      </c>
      <c r="C60" s="248">
        <f>'BRA Load Pricing Results'!L54</f>
        <v>333.69147995552419</v>
      </c>
      <c r="D60" s="248">
        <f>'BRA CTRs'!AI36</f>
        <v>0</v>
      </c>
      <c r="E60" s="254">
        <f t="shared" si="0"/>
        <v>333.69147995552419</v>
      </c>
      <c r="G60" s="342"/>
      <c r="H60" s="343"/>
      <c r="I60" s="344"/>
      <c r="J60" s="345"/>
      <c r="K60" s="345"/>
      <c r="L60" s="345"/>
      <c r="M60" s="345"/>
      <c r="N60" s="345"/>
      <c r="O60" s="245"/>
      <c r="P60" s="245"/>
      <c r="Q60" s="245"/>
      <c r="R60" s="245"/>
    </row>
    <row r="61" spans="1:18" x14ac:dyDescent="0.2">
      <c r="A61" s="246" t="s">
        <v>11</v>
      </c>
      <c r="B61" s="247">
        <f>'BRA Load Pricing Results'!J55</f>
        <v>5071.9277417669709</v>
      </c>
      <c r="C61" s="248">
        <f>'BRA Load Pricing Results'!L55</f>
        <v>333.69147995552419</v>
      </c>
      <c r="D61" s="248">
        <f>'BRA CTRs'!AI37</f>
        <v>0</v>
      </c>
      <c r="E61" s="254">
        <f t="shared" si="0"/>
        <v>333.69147995552419</v>
      </c>
      <c r="G61" s="342"/>
      <c r="H61" s="343"/>
      <c r="I61" s="344"/>
      <c r="J61" s="345"/>
      <c r="K61" s="345"/>
      <c r="L61" s="345"/>
      <c r="M61" s="345"/>
      <c r="N61" s="345"/>
      <c r="O61" s="245"/>
      <c r="P61" s="245"/>
      <c r="Q61" s="245"/>
      <c r="R61" s="245"/>
    </row>
    <row r="62" spans="1:18" x14ac:dyDescent="0.2">
      <c r="A62" s="246" t="s">
        <v>12</v>
      </c>
      <c r="B62" s="247">
        <f>'BRA Load Pricing Results'!J56</f>
        <v>2680.2583176868438</v>
      </c>
      <c r="C62" s="248">
        <f>'BRA Load Pricing Results'!L56</f>
        <v>333.69147995552419</v>
      </c>
      <c r="D62" s="248">
        <f>'BRA CTRs'!AI38</f>
        <v>0</v>
      </c>
      <c r="E62" s="254">
        <f t="shared" si="0"/>
        <v>333.69147995552419</v>
      </c>
      <c r="G62" s="342"/>
      <c r="H62" s="343"/>
      <c r="I62" s="344"/>
      <c r="J62" s="345"/>
      <c r="K62" s="345"/>
      <c r="L62" s="345"/>
      <c r="M62" s="345"/>
      <c r="N62" s="345"/>
      <c r="O62" s="245"/>
      <c r="P62" s="245"/>
      <c r="Q62" s="245"/>
      <c r="R62" s="245"/>
    </row>
    <row r="63" spans="1:18" x14ac:dyDescent="0.2">
      <c r="A63" s="246" t="s">
        <v>170</v>
      </c>
      <c r="B63" s="247">
        <f>'BRA Load Pricing Results'!J57</f>
        <v>52.952090570039722</v>
      </c>
      <c r="C63" s="248">
        <f>'BRA Load Pricing Results'!L57</f>
        <v>333.69147995552419</v>
      </c>
      <c r="D63" s="248">
        <f>'BRA CTRs'!AI39</f>
        <v>0</v>
      </c>
      <c r="E63" s="254">
        <f t="shared" ref="E63" si="1">C63-D63</f>
        <v>333.69147995552419</v>
      </c>
      <c r="G63" s="342"/>
      <c r="H63" s="343"/>
      <c r="I63" s="344"/>
      <c r="J63" s="345"/>
      <c r="K63" s="345"/>
      <c r="L63" s="345"/>
      <c r="M63" s="345"/>
      <c r="N63" s="345"/>
      <c r="O63" s="245"/>
      <c r="P63" s="245"/>
      <c r="Q63" s="245"/>
      <c r="R63" s="245"/>
    </row>
    <row r="64" spans="1:18" x14ac:dyDescent="0.2">
      <c r="A64" s="246" t="s">
        <v>8</v>
      </c>
      <c r="B64" s="247">
        <f>'BRA Load Pricing Results'!J58</f>
        <v>7287.972732123133</v>
      </c>
      <c r="C64" s="248">
        <f>'BRA Load Pricing Results'!L58</f>
        <v>333.69147995552419</v>
      </c>
      <c r="D64" s="248">
        <f>'BRA CTRs'!AI40</f>
        <v>0</v>
      </c>
      <c r="E64" s="254">
        <f t="shared" si="0"/>
        <v>333.69147995552419</v>
      </c>
      <c r="G64" s="342"/>
      <c r="H64" s="343"/>
      <c r="I64" s="344"/>
      <c r="J64" s="345"/>
      <c r="K64" s="345"/>
      <c r="L64" s="345"/>
      <c r="M64" s="345"/>
      <c r="N64" s="345"/>
      <c r="O64" s="245"/>
      <c r="P64" s="245"/>
      <c r="Q64" s="245"/>
      <c r="R64" s="245"/>
    </row>
    <row r="65" spans="1:18" x14ac:dyDescent="0.2">
      <c r="A65" s="246" t="s">
        <v>13</v>
      </c>
      <c r="B65" s="247">
        <f>'BRA Load Pricing Results'!J59</f>
        <v>2474.627699306523</v>
      </c>
      <c r="C65" s="248">
        <f>'BRA Load Pricing Results'!L59</f>
        <v>333.69147995552419</v>
      </c>
      <c r="D65" s="248">
        <f>'BRA CTRs'!AI41</f>
        <v>0</v>
      </c>
      <c r="E65" s="254">
        <f t="shared" si="0"/>
        <v>333.69147995552419</v>
      </c>
      <c r="G65" s="342"/>
      <c r="H65" s="343"/>
      <c r="I65" s="344"/>
      <c r="J65" s="345"/>
      <c r="K65" s="345"/>
      <c r="L65" s="345"/>
      <c r="M65" s="345"/>
      <c r="N65" s="345"/>
      <c r="O65" s="245"/>
      <c r="P65" s="245"/>
      <c r="Q65" s="245"/>
      <c r="R65" s="245"/>
    </row>
    <row r="66" spans="1:18" x14ac:dyDescent="0.2">
      <c r="A66" s="246" t="s">
        <v>14</v>
      </c>
      <c r="B66" s="247">
        <f>'BRA Load Pricing Results'!J60</f>
        <v>5195.4826197637312</v>
      </c>
      <c r="C66" s="248">
        <f>'BRA Load Pricing Results'!L60</f>
        <v>333.69147995552419</v>
      </c>
      <c r="D66" s="248">
        <f>'BRA CTRs'!AI42</f>
        <v>0</v>
      </c>
      <c r="E66" s="254">
        <f t="shared" si="0"/>
        <v>333.69147995552419</v>
      </c>
      <c r="G66" s="342"/>
      <c r="H66" s="343"/>
      <c r="I66" s="344"/>
      <c r="J66" s="345"/>
      <c r="K66" s="345"/>
      <c r="L66" s="345"/>
      <c r="M66" s="345"/>
      <c r="N66" s="345"/>
      <c r="O66" s="245"/>
      <c r="P66" s="245"/>
      <c r="Q66" s="245"/>
      <c r="R66" s="245"/>
    </row>
    <row r="67" spans="1:18" x14ac:dyDescent="0.2">
      <c r="A67" s="246" t="s">
        <v>9</v>
      </c>
      <c r="B67" s="247">
        <f>'BRA Load Pricing Results'!J61</f>
        <v>7693.9387598267713</v>
      </c>
      <c r="C67" s="248">
        <f>'BRA Load Pricing Results'!L61</f>
        <v>333.69147995552419</v>
      </c>
      <c r="D67" s="248">
        <f>'BRA CTRs'!AI43</f>
        <v>0</v>
      </c>
      <c r="E67" s="254">
        <f t="shared" si="0"/>
        <v>333.69147995552419</v>
      </c>
      <c r="G67" s="342"/>
      <c r="H67" s="343"/>
      <c r="I67" s="344"/>
      <c r="J67" s="345"/>
      <c r="K67" s="345"/>
      <c r="L67" s="345"/>
      <c r="M67" s="345"/>
      <c r="N67" s="345"/>
      <c r="O67" s="245"/>
      <c r="P67" s="245"/>
      <c r="Q67" s="245"/>
      <c r="R67" s="245"/>
    </row>
    <row r="68" spans="1:18" x14ac:dyDescent="0.2">
      <c r="A68" s="246" t="s">
        <v>7</v>
      </c>
      <c r="B68" s="247">
        <f>'BRA Load Pricing Results'!J62</f>
        <v>8944.4906321225444</v>
      </c>
      <c r="C68" s="248">
        <f>'BRA Load Pricing Results'!L62</f>
        <v>333.69147995552419</v>
      </c>
      <c r="D68" s="248">
        <f>'BRA CTRs'!AI44</f>
        <v>0</v>
      </c>
      <c r="E68" s="254">
        <f t="shared" si="0"/>
        <v>333.69147995552419</v>
      </c>
      <c r="G68" s="342"/>
      <c r="H68" s="343"/>
      <c r="I68" s="344"/>
      <c r="J68" s="345"/>
      <c r="K68" s="345"/>
      <c r="L68" s="345"/>
      <c r="M68" s="345"/>
      <c r="N68" s="345"/>
      <c r="O68" s="245"/>
      <c r="P68" s="245"/>
      <c r="Q68" s="245"/>
      <c r="R68" s="245"/>
    </row>
    <row r="69" spans="1:18" x14ac:dyDescent="0.2">
      <c r="A69" s="246" t="s">
        <v>17</v>
      </c>
      <c r="B69" s="247">
        <f>'BRA Load Pricing Results'!J63</f>
        <v>344.18858870525821</v>
      </c>
      <c r="C69" s="248">
        <f>'BRA Load Pricing Results'!L63</f>
        <v>333.69147995552419</v>
      </c>
      <c r="D69" s="248">
        <f>'BRA CTRs'!AI45</f>
        <v>0</v>
      </c>
      <c r="E69" s="254">
        <f>C69-D69</f>
        <v>333.69147995552419</v>
      </c>
      <c r="G69" s="342"/>
      <c r="H69" s="343"/>
      <c r="I69" s="344"/>
      <c r="J69" s="345"/>
      <c r="K69" s="345"/>
      <c r="L69" s="345"/>
      <c r="M69" s="345"/>
      <c r="N69" s="345"/>
      <c r="O69" s="245"/>
      <c r="P69" s="245"/>
      <c r="Q69" s="245"/>
      <c r="R69" s="245"/>
    </row>
    <row r="70" spans="1:18" x14ac:dyDescent="0.2">
      <c r="A70" s="255" t="s">
        <v>46</v>
      </c>
      <c r="B70" s="256">
        <f>SUM(B49:B69)</f>
        <v>134478.1</v>
      </c>
      <c r="C70" s="13"/>
      <c r="D70" s="13"/>
      <c r="E70" s="13"/>
      <c r="F70" s="315"/>
      <c r="G70" s="245"/>
      <c r="H70" s="245"/>
      <c r="I70" s="245"/>
      <c r="J70" s="245"/>
      <c r="K70" s="245"/>
      <c r="L70" s="245"/>
      <c r="M70" s="245"/>
    </row>
    <row r="71" spans="1:18" x14ac:dyDescent="0.2">
      <c r="A71" s="257" t="s">
        <v>169</v>
      </c>
    </row>
    <row r="72" spans="1:18" x14ac:dyDescent="0.2">
      <c r="A72" s="258" t="s">
        <v>168</v>
      </c>
      <c r="B72" s="258"/>
      <c r="C72" s="258"/>
      <c r="D72" s="258"/>
      <c r="E72" s="258"/>
      <c r="F72" s="258"/>
      <c r="G72" s="258"/>
      <c r="H72" s="258"/>
      <c r="I72" s="258"/>
      <c r="J72" s="258"/>
      <c r="K72" s="258"/>
      <c r="L72" s="258"/>
      <c r="M72" s="258"/>
    </row>
    <row r="73" spans="1:18" x14ac:dyDescent="0.2">
      <c r="C73" s="316"/>
    </row>
    <row r="74" spans="1:18" x14ac:dyDescent="0.2">
      <c r="C74" s="316"/>
    </row>
    <row r="75" spans="1:18" x14ac:dyDescent="0.2">
      <c r="C75" s="316"/>
    </row>
    <row r="76" spans="1:18" x14ac:dyDescent="0.2">
      <c r="C76" s="316"/>
    </row>
    <row r="77" spans="1:18" x14ac:dyDescent="0.2">
      <c r="C77" s="316"/>
    </row>
    <row r="78" spans="1:18" x14ac:dyDescent="0.2">
      <c r="C78" s="316"/>
    </row>
    <row r="79" spans="1:18" x14ac:dyDescent="0.2">
      <c r="C79" s="316"/>
    </row>
    <row r="80" spans="1:18" x14ac:dyDescent="0.2">
      <c r="C80" s="316"/>
    </row>
    <row r="81" spans="3:5" x14ac:dyDescent="0.2">
      <c r="C81" s="316"/>
    </row>
    <row r="82" spans="3:5" x14ac:dyDescent="0.2">
      <c r="C82" s="316"/>
    </row>
    <row r="83" spans="3:5" x14ac:dyDescent="0.2">
      <c r="C83" s="316"/>
    </row>
    <row r="84" spans="3:5" x14ac:dyDescent="0.2">
      <c r="C84" s="316"/>
    </row>
    <row r="85" spans="3:5" x14ac:dyDescent="0.2">
      <c r="C85" s="316"/>
    </row>
    <row r="86" spans="3:5" x14ac:dyDescent="0.2">
      <c r="C86" s="316"/>
    </row>
    <row r="87" spans="3:5" x14ac:dyDescent="0.2">
      <c r="C87" s="316"/>
    </row>
    <row r="88" spans="3:5" x14ac:dyDescent="0.2">
      <c r="C88" s="316"/>
    </row>
    <row r="89" spans="3:5" x14ac:dyDescent="0.2">
      <c r="C89" s="316"/>
    </row>
    <row r="90" spans="3:5" x14ac:dyDescent="0.2">
      <c r="C90" s="316"/>
    </row>
    <row r="91" spans="3:5" x14ac:dyDescent="0.2">
      <c r="C91" s="316"/>
    </row>
    <row r="92" spans="3:5" x14ac:dyDescent="0.2">
      <c r="C92" s="316"/>
    </row>
    <row r="93" spans="3:5" x14ac:dyDescent="0.2">
      <c r="C93" s="316"/>
    </row>
    <row r="94" spans="3:5" x14ac:dyDescent="0.2">
      <c r="C94" s="317"/>
      <c r="E94" s="317"/>
    </row>
  </sheetData>
  <mergeCells count="3">
    <mergeCell ref="A24:A25"/>
    <mergeCell ref="A47:A48"/>
    <mergeCell ref="B47:E4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3"/>
  <sheetViews>
    <sheetView workbookViewId="0">
      <selection sqref="A1:D1"/>
    </sheetView>
  </sheetViews>
  <sheetFormatPr defaultColWidth="9.140625" defaultRowHeight="12.75" x14ac:dyDescent="0.2"/>
  <cols>
    <col min="1" max="1" width="33.140625" style="298" customWidth="1"/>
    <col min="2" max="2" width="32.140625" style="298" bestFit="1" customWidth="1"/>
    <col min="3" max="8" width="9.140625" style="298"/>
    <col min="9" max="9" width="18.140625" style="298" bestFit="1" customWidth="1"/>
    <col min="10" max="16384" width="9.140625" style="298"/>
  </cols>
  <sheetData>
    <row r="1" spans="1:4" x14ac:dyDescent="0.2">
      <c r="A1" s="350" t="s">
        <v>363</v>
      </c>
      <c r="B1" s="350"/>
      <c r="C1" s="350"/>
      <c r="D1" s="350"/>
    </row>
    <row r="2" spans="1:4" x14ac:dyDescent="0.2">
      <c r="A2" s="351" t="s">
        <v>230</v>
      </c>
      <c r="B2" s="351"/>
      <c r="C2" s="351"/>
      <c r="D2" s="351"/>
    </row>
    <row r="3" spans="1:4" ht="13.5" thickBot="1" x14ac:dyDescent="0.25"/>
    <row r="4" spans="1:4" ht="16.5" thickBot="1" x14ac:dyDescent="0.25">
      <c r="A4" s="299" t="s">
        <v>231</v>
      </c>
      <c r="B4" s="300" t="s">
        <v>364</v>
      </c>
    </row>
    <row r="5" spans="1:4" ht="14.25" x14ac:dyDescent="0.2">
      <c r="A5" s="301" t="s">
        <v>232</v>
      </c>
      <c r="B5" s="302">
        <v>333.44</v>
      </c>
    </row>
    <row r="6" spans="1:4" ht="14.25" x14ac:dyDescent="0.2">
      <c r="A6" s="303" t="s">
        <v>233</v>
      </c>
      <c r="B6" s="302">
        <v>333.44</v>
      </c>
    </row>
    <row r="7" spans="1:4" ht="14.25" x14ac:dyDescent="0.2">
      <c r="A7" s="303" t="s">
        <v>234</v>
      </c>
      <c r="B7" s="302">
        <v>333.44</v>
      </c>
    </row>
    <row r="8" spans="1:4" ht="14.25" x14ac:dyDescent="0.2">
      <c r="A8" s="303" t="s">
        <v>235</v>
      </c>
      <c r="B8" s="302">
        <v>333.44</v>
      </c>
    </row>
    <row r="9" spans="1:4" ht="14.25" x14ac:dyDescent="0.2">
      <c r="A9" s="304" t="s">
        <v>236</v>
      </c>
      <c r="B9" s="302">
        <v>333.44</v>
      </c>
    </row>
    <row r="10" spans="1:4" ht="14.25" x14ac:dyDescent="0.2">
      <c r="A10" s="303" t="s">
        <v>237</v>
      </c>
      <c r="B10" s="302">
        <v>333.44</v>
      </c>
    </row>
    <row r="11" spans="1:4" ht="14.25" x14ac:dyDescent="0.2">
      <c r="A11" s="303" t="s">
        <v>238</v>
      </c>
      <c r="B11" s="302">
        <v>333.44</v>
      </c>
    </row>
    <row r="12" spans="1:4" ht="14.25" x14ac:dyDescent="0.2">
      <c r="A12" s="303" t="s">
        <v>239</v>
      </c>
      <c r="B12" s="302">
        <v>333.44</v>
      </c>
    </row>
    <row r="13" spans="1:4" ht="14.25" x14ac:dyDescent="0.2">
      <c r="A13" s="303" t="s">
        <v>240</v>
      </c>
      <c r="B13" s="302">
        <v>333.44</v>
      </c>
    </row>
    <row r="14" spans="1:4" ht="14.25" x14ac:dyDescent="0.2">
      <c r="A14" s="303" t="s">
        <v>241</v>
      </c>
      <c r="B14" s="302">
        <v>333.44</v>
      </c>
    </row>
    <row r="15" spans="1:4" ht="14.25" x14ac:dyDescent="0.2">
      <c r="A15" s="303" t="s">
        <v>242</v>
      </c>
      <c r="B15" s="302">
        <v>333.44</v>
      </c>
    </row>
    <row r="16" spans="1:4" ht="14.25" x14ac:dyDescent="0.2">
      <c r="A16" s="303" t="s">
        <v>243</v>
      </c>
      <c r="B16" s="302">
        <v>333.44</v>
      </c>
    </row>
    <row r="17" spans="1:2" ht="14.25" x14ac:dyDescent="0.2">
      <c r="A17" s="303" t="s">
        <v>244</v>
      </c>
      <c r="B17" s="302">
        <v>333.44</v>
      </c>
    </row>
    <row r="18" spans="1:2" ht="14.25" x14ac:dyDescent="0.2">
      <c r="A18" s="304" t="s">
        <v>245</v>
      </c>
      <c r="B18" s="302">
        <v>333.44</v>
      </c>
    </row>
    <row r="19" spans="1:2" ht="14.25" x14ac:dyDescent="0.2">
      <c r="A19" s="303" t="s">
        <v>246</v>
      </c>
      <c r="B19" s="302">
        <v>333.44</v>
      </c>
    </row>
    <row r="20" spans="1:2" ht="14.25" x14ac:dyDescent="0.2">
      <c r="A20" s="303" t="s">
        <v>247</v>
      </c>
      <c r="B20" s="302">
        <v>333.44</v>
      </c>
    </row>
    <row r="21" spans="1:2" ht="14.25" x14ac:dyDescent="0.2">
      <c r="A21" s="303" t="s">
        <v>248</v>
      </c>
      <c r="B21" s="302">
        <v>333.44</v>
      </c>
    </row>
    <row r="22" spans="1:2" ht="14.25" x14ac:dyDescent="0.2">
      <c r="A22" s="303" t="s">
        <v>249</v>
      </c>
      <c r="B22" s="302">
        <v>333.44</v>
      </c>
    </row>
    <row r="23" spans="1:2" ht="14.25" x14ac:dyDescent="0.2">
      <c r="A23" s="303" t="s">
        <v>250</v>
      </c>
      <c r="B23" s="302">
        <v>333.44</v>
      </c>
    </row>
    <row r="24" spans="1:2" ht="14.25" x14ac:dyDescent="0.2">
      <c r="A24" s="303" t="s">
        <v>251</v>
      </c>
      <c r="B24" s="302">
        <v>333.44</v>
      </c>
    </row>
    <row r="25" spans="1:2" ht="14.25" x14ac:dyDescent="0.2">
      <c r="A25" s="303" t="s">
        <v>252</v>
      </c>
      <c r="B25" s="302">
        <v>333.44</v>
      </c>
    </row>
    <row r="26" spans="1:2" ht="14.25" x14ac:dyDescent="0.2">
      <c r="A26" s="303" t="s">
        <v>253</v>
      </c>
      <c r="B26" s="302">
        <v>333.44</v>
      </c>
    </row>
    <row r="27" spans="1:2" ht="14.25" x14ac:dyDescent="0.2">
      <c r="A27" s="303" t="s">
        <v>254</v>
      </c>
      <c r="B27" s="302">
        <v>333.44</v>
      </c>
    </row>
    <row r="28" spans="1:2" ht="14.25" x14ac:dyDescent="0.2">
      <c r="A28" s="303" t="s">
        <v>255</v>
      </c>
      <c r="B28" s="302">
        <v>333.44</v>
      </c>
    </row>
    <row r="29" spans="1:2" ht="14.25" x14ac:dyDescent="0.2">
      <c r="A29" s="303" t="s">
        <v>256</v>
      </c>
      <c r="B29" s="302">
        <v>333.44</v>
      </c>
    </row>
    <row r="30" spans="1:2" ht="14.25" x14ac:dyDescent="0.2">
      <c r="A30" s="303" t="s">
        <v>257</v>
      </c>
      <c r="B30" s="302">
        <v>333.44</v>
      </c>
    </row>
    <row r="31" spans="1:2" ht="15" thickBot="1" x14ac:dyDescent="0.25">
      <c r="A31" s="323" t="s">
        <v>258</v>
      </c>
      <c r="B31" s="324">
        <v>333.44</v>
      </c>
    </row>
    <row r="32" spans="1:2" ht="15.75" thickTop="1" x14ac:dyDescent="0.2">
      <c r="A32" s="321" t="s">
        <v>259</v>
      </c>
      <c r="B32" s="322" t="s">
        <v>351</v>
      </c>
    </row>
    <row r="33" spans="1:2" ht="15" x14ac:dyDescent="0.2">
      <c r="A33" s="305" t="s">
        <v>260</v>
      </c>
      <c r="B33" s="302" t="s">
        <v>351</v>
      </c>
    </row>
    <row r="34" spans="1:2" ht="15" x14ac:dyDescent="0.2">
      <c r="A34" s="305" t="s">
        <v>261</v>
      </c>
      <c r="B34" s="302" t="s">
        <v>351</v>
      </c>
    </row>
    <row r="35" spans="1:2" ht="15" x14ac:dyDescent="0.2">
      <c r="A35" s="305" t="s">
        <v>262</v>
      </c>
      <c r="B35" s="302" t="s">
        <v>351</v>
      </c>
    </row>
    <row r="36" spans="1:2" ht="15" x14ac:dyDescent="0.2">
      <c r="A36" s="305" t="s">
        <v>263</v>
      </c>
      <c r="B36" s="302" t="s">
        <v>351</v>
      </c>
    </row>
    <row r="37" spans="1:2" ht="15" x14ac:dyDescent="0.2">
      <c r="A37" s="305" t="s">
        <v>264</v>
      </c>
      <c r="B37" s="302" t="s">
        <v>351</v>
      </c>
    </row>
    <row r="38" spans="1:2" ht="15" x14ac:dyDescent="0.2">
      <c r="A38" s="305" t="s">
        <v>265</v>
      </c>
      <c r="B38" s="302" t="s">
        <v>351</v>
      </c>
    </row>
    <row r="39" spans="1:2" ht="15" x14ac:dyDescent="0.2">
      <c r="A39" s="305" t="s">
        <v>266</v>
      </c>
      <c r="B39" s="302" t="s">
        <v>351</v>
      </c>
    </row>
    <row r="40" spans="1:2" ht="15" x14ac:dyDescent="0.2">
      <c r="A40" s="305" t="s">
        <v>267</v>
      </c>
      <c r="B40" s="302" t="s">
        <v>351</v>
      </c>
    </row>
    <row r="41" spans="1:2" ht="15" x14ac:dyDescent="0.2">
      <c r="A41" s="305" t="s">
        <v>268</v>
      </c>
      <c r="B41" s="302" t="s">
        <v>351</v>
      </c>
    </row>
    <row r="42" spans="1:2" ht="15" x14ac:dyDescent="0.2">
      <c r="A42" s="305" t="s">
        <v>269</v>
      </c>
      <c r="B42" s="302" t="s">
        <v>351</v>
      </c>
    </row>
    <row r="43" spans="1:2" ht="15" x14ac:dyDescent="0.2">
      <c r="A43" s="305" t="s">
        <v>270</v>
      </c>
      <c r="B43" s="302" t="s">
        <v>351</v>
      </c>
    </row>
    <row r="44" spans="1:2" ht="15" x14ac:dyDescent="0.2">
      <c r="A44" s="305" t="s">
        <v>271</v>
      </c>
      <c r="B44" s="302" t="s">
        <v>351</v>
      </c>
    </row>
    <row r="45" spans="1:2" ht="15" x14ac:dyDescent="0.2">
      <c r="A45" s="305" t="s">
        <v>272</v>
      </c>
      <c r="B45" s="302" t="s">
        <v>351</v>
      </c>
    </row>
    <row r="46" spans="1:2" ht="15" x14ac:dyDescent="0.2">
      <c r="A46" s="305" t="s">
        <v>273</v>
      </c>
      <c r="B46" s="302" t="s">
        <v>351</v>
      </c>
    </row>
    <row r="47" spans="1:2" ht="15" x14ac:dyDescent="0.2">
      <c r="A47" s="305" t="s">
        <v>274</v>
      </c>
      <c r="B47" s="302" t="s">
        <v>351</v>
      </c>
    </row>
    <row r="48" spans="1:2" ht="15" x14ac:dyDescent="0.2">
      <c r="A48" s="305" t="s">
        <v>275</v>
      </c>
      <c r="B48" s="302" t="s">
        <v>351</v>
      </c>
    </row>
    <row r="49" spans="1:2" ht="15" x14ac:dyDescent="0.2">
      <c r="A49" s="305" t="s">
        <v>276</v>
      </c>
      <c r="B49" s="302" t="s">
        <v>351</v>
      </c>
    </row>
    <row r="50" spans="1:2" ht="15" x14ac:dyDescent="0.2">
      <c r="A50" s="305" t="s">
        <v>277</v>
      </c>
      <c r="B50" s="302" t="s">
        <v>351</v>
      </c>
    </row>
    <row r="51" spans="1:2" ht="15" x14ac:dyDescent="0.2">
      <c r="A51" s="305" t="s">
        <v>278</v>
      </c>
      <c r="B51" s="302" t="s">
        <v>351</v>
      </c>
    </row>
    <row r="52" spans="1:2" ht="15" x14ac:dyDescent="0.2">
      <c r="A52" s="305" t="s">
        <v>279</v>
      </c>
      <c r="B52" s="302" t="s">
        <v>351</v>
      </c>
    </row>
    <row r="53" spans="1:2" ht="15" x14ac:dyDescent="0.2">
      <c r="A53" s="305" t="s">
        <v>280</v>
      </c>
      <c r="B53" s="302" t="s">
        <v>351</v>
      </c>
    </row>
    <row r="54" spans="1:2" ht="15.75" thickBot="1" x14ac:dyDescent="0.25">
      <c r="A54" s="325" t="s">
        <v>281</v>
      </c>
      <c r="B54" s="324" t="s">
        <v>351</v>
      </c>
    </row>
    <row r="55" spans="1:2" ht="15.75" thickTop="1" x14ac:dyDescent="0.2">
      <c r="A55" s="321" t="s">
        <v>282</v>
      </c>
      <c r="B55" s="322">
        <v>333.69147995552419</v>
      </c>
    </row>
    <row r="56" spans="1:2" ht="15" x14ac:dyDescent="0.2">
      <c r="A56" s="305" t="s">
        <v>283</v>
      </c>
      <c r="B56" s="302">
        <v>333.69147995552419</v>
      </c>
    </row>
    <row r="57" spans="1:2" ht="15" x14ac:dyDescent="0.2">
      <c r="A57" s="305" t="s">
        <v>284</v>
      </c>
      <c r="B57" s="302">
        <v>333.69147995552419</v>
      </c>
    </row>
    <row r="58" spans="1:2" ht="15" x14ac:dyDescent="0.2">
      <c r="A58" s="305" t="s">
        <v>285</v>
      </c>
      <c r="B58" s="302">
        <v>333.69147995552419</v>
      </c>
    </row>
    <row r="59" spans="1:2" ht="15" x14ac:dyDescent="0.2">
      <c r="A59" s="305" t="s">
        <v>286</v>
      </c>
      <c r="B59" s="302">
        <v>333.69147995552419</v>
      </c>
    </row>
    <row r="60" spans="1:2" ht="15" x14ac:dyDescent="0.2">
      <c r="A60" s="305" t="s">
        <v>287</v>
      </c>
      <c r="B60" s="302">
        <v>333.69147995552419</v>
      </c>
    </row>
    <row r="61" spans="1:2" ht="15" x14ac:dyDescent="0.2">
      <c r="A61" s="305" t="s">
        <v>288</v>
      </c>
      <c r="B61" s="302">
        <v>333.69147995552419</v>
      </c>
    </row>
    <row r="62" spans="1:2" ht="15" x14ac:dyDescent="0.2">
      <c r="A62" s="305" t="s">
        <v>289</v>
      </c>
      <c r="B62" s="302">
        <v>333.69147995552419</v>
      </c>
    </row>
    <row r="63" spans="1:2" ht="15" x14ac:dyDescent="0.2">
      <c r="A63" s="305" t="s">
        <v>290</v>
      </c>
      <c r="B63" s="302">
        <v>333.69147995552419</v>
      </c>
    </row>
    <row r="64" spans="1:2" ht="15" x14ac:dyDescent="0.2">
      <c r="A64" s="305" t="s">
        <v>291</v>
      </c>
      <c r="B64" s="302">
        <v>333.69147995552419</v>
      </c>
    </row>
    <row r="65" spans="1:2" ht="15" x14ac:dyDescent="0.2">
      <c r="A65" s="305" t="s">
        <v>292</v>
      </c>
      <c r="B65" s="302">
        <v>333.69147995552419</v>
      </c>
    </row>
    <row r="66" spans="1:2" ht="15" x14ac:dyDescent="0.2">
      <c r="A66" s="305" t="s">
        <v>293</v>
      </c>
      <c r="B66" s="302">
        <v>333.69147995552419</v>
      </c>
    </row>
    <row r="67" spans="1:2" ht="15" x14ac:dyDescent="0.2">
      <c r="A67" s="305" t="s">
        <v>294</v>
      </c>
      <c r="B67" s="302">
        <v>333.69147995552419</v>
      </c>
    </row>
    <row r="68" spans="1:2" ht="15" x14ac:dyDescent="0.2">
      <c r="A68" s="305" t="s">
        <v>295</v>
      </c>
      <c r="B68" s="302">
        <v>333.69147995552419</v>
      </c>
    </row>
    <row r="69" spans="1:2" ht="15" x14ac:dyDescent="0.2">
      <c r="A69" s="305" t="s">
        <v>296</v>
      </c>
      <c r="B69" s="302">
        <v>333.69147995552419</v>
      </c>
    </row>
    <row r="70" spans="1:2" ht="15" x14ac:dyDescent="0.2">
      <c r="A70" s="305" t="s">
        <v>297</v>
      </c>
      <c r="B70" s="302">
        <v>333.69147995552419</v>
      </c>
    </row>
    <row r="71" spans="1:2" ht="15" x14ac:dyDescent="0.2">
      <c r="A71" s="305" t="s">
        <v>298</v>
      </c>
      <c r="B71" s="302">
        <v>333.69147995552419</v>
      </c>
    </row>
    <row r="72" spans="1:2" ht="15" x14ac:dyDescent="0.2">
      <c r="A72" s="305" t="s">
        <v>299</v>
      </c>
      <c r="B72" s="302">
        <v>333.69147995552419</v>
      </c>
    </row>
    <row r="73" spans="1:2" ht="15" x14ac:dyDescent="0.2">
      <c r="A73" s="305" t="s">
        <v>300</v>
      </c>
      <c r="B73" s="302">
        <v>333.69147995552419</v>
      </c>
    </row>
    <row r="74" spans="1:2" ht="15" x14ac:dyDescent="0.2">
      <c r="A74" s="305" t="s">
        <v>301</v>
      </c>
      <c r="B74" s="302">
        <v>333.69147995552419</v>
      </c>
    </row>
    <row r="75" spans="1:2" ht="15.75" thickBot="1" x14ac:dyDescent="0.25">
      <c r="A75" s="325" t="s">
        <v>302</v>
      </c>
      <c r="B75" s="324">
        <v>333.69147995552419</v>
      </c>
    </row>
    <row r="76" spans="1:2" ht="15.75" thickTop="1" x14ac:dyDescent="0.2">
      <c r="A76" s="321" t="s">
        <v>303</v>
      </c>
      <c r="B76" s="326" t="s">
        <v>351</v>
      </c>
    </row>
    <row r="77" spans="1:2" ht="15" x14ac:dyDescent="0.2">
      <c r="A77" s="305" t="s">
        <v>304</v>
      </c>
      <c r="B77" s="306" t="s">
        <v>351</v>
      </c>
    </row>
    <row r="78" spans="1:2" ht="15" x14ac:dyDescent="0.2">
      <c r="A78" s="305" t="s">
        <v>305</v>
      </c>
      <c r="B78" s="306" t="s">
        <v>351</v>
      </c>
    </row>
    <row r="79" spans="1:2" ht="15" x14ac:dyDescent="0.2">
      <c r="A79" s="305" t="s">
        <v>306</v>
      </c>
      <c r="B79" s="306" t="s">
        <v>351</v>
      </c>
    </row>
    <row r="80" spans="1:2" ht="15" x14ac:dyDescent="0.2">
      <c r="A80" s="305" t="s">
        <v>307</v>
      </c>
      <c r="B80" s="306" t="s">
        <v>351</v>
      </c>
    </row>
    <row r="81" spans="1:2" ht="15" x14ac:dyDescent="0.2">
      <c r="A81" s="305" t="s">
        <v>308</v>
      </c>
      <c r="B81" s="306" t="s">
        <v>351</v>
      </c>
    </row>
    <row r="82" spans="1:2" ht="15" x14ac:dyDescent="0.2">
      <c r="A82" s="305" t="s">
        <v>309</v>
      </c>
      <c r="B82" s="306" t="s">
        <v>351</v>
      </c>
    </row>
    <row r="83" spans="1:2" ht="15" x14ac:dyDescent="0.2">
      <c r="A83" s="305" t="s">
        <v>310</v>
      </c>
      <c r="B83" s="306" t="s">
        <v>351</v>
      </c>
    </row>
    <row r="84" spans="1:2" ht="15" x14ac:dyDescent="0.2">
      <c r="A84" s="305" t="s">
        <v>311</v>
      </c>
      <c r="B84" s="306" t="s">
        <v>351</v>
      </c>
    </row>
    <row r="85" spans="1:2" ht="15" x14ac:dyDescent="0.2">
      <c r="A85" s="305" t="s">
        <v>312</v>
      </c>
      <c r="B85" s="306" t="s">
        <v>351</v>
      </c>
    </row>
    <row r="86" spans="1:2" ht="15" x14ac:dyDescent="0.2">
      <c r="A86" s="305" t="s">
        <v>313</v>
      </c>
      <c r="B86" s="306" t="s">
        <v>351</v>
      </c>
    </row>
    <row r="87" spans="1:2" ht="15" x14ac:dyDescent="0.2">
      <c r="A87" s="305" t="s">
        <v>314</v>
      </c>
      <c r="B87" s="306" t="s">
        <v>351</v>
      </c>
    </row>
    <row r="88" spans="1:2" ht="15" x14ac:dyDescent="0.2">
      <c r="A88" s="305" t="s">
        <v>315</v>
      </c>
      <c r="B88" s="306" t="s">
        <v>351</v>
      </c>
    </row>
    <row r="89" spans="1:2" ht="15" x14ac:dyDescent="0.2">
      <c r="A89" s="305" t="s">
        <v>316</v>
      </c>
      <c r="B89" s="306" t="s">
        <v>351</v>
      </c>
    </row>
    <row r="90" spans="1:2" ht="15" x14ac:dyDescent="0.2">
      <c r="A90" s="305" t="s">
        <v>317</v>
      </c>
      <c r="B90" s="306" t="s">
        <v>351</v>
      </c>
    </row>
    <row r="91" spans="1:2" ht="15" x14ac:dyDescent="0.2">
      <c r="A91" s="305" t="s">
        <v>318</v>
      </c>
      <c r="B91" s="306" t="s">
        <v>351</v>
      </c>
    </row>
    <row r="92" spans="1:2" ht="15" x14ac:dyDescent="0.2">
      <c r="A92" s="305" t="s">
        <v>319</v>
      </c>
      <c r="B92" s="306" t="s">
        <v>351</v>
      </c>
    </row>
    <row r="93" spans="1:2" ht="15" x14ac:dyDescent="0.2">
      <c r="A93" s="305" t="s">
        <v>320</v>
      </c>
      <c r="B93" s="306" t="s">
        <v>351</v>
      </c>
    </row>
    <row r="94" spans="1:2" ht="15" x14ac:dyDescent="0.2">
      <c r="A94" s="305" t="s">
        <v>321</v>
      </c>
      <c r="B94" s="306" t="s">
        <v>351</v>
      </c>
    </row>
    <row r="95" spans="1:2" ht="15" x14ac:dyDescent="0.2">
      <c r="A95" s="305" t="s">
        <v>322</v>
      </c>
      <c r="B95" s="306" t="s">
        <v>351</v>
      </c>
    </row>
    <row r="96" spans="1:2" ht="15.75" thickBot="1" x14ac:dyDescent="0.25">
      <c r="A96" s="325" t="s">
        <v>323</v>
      </c>
      <c r="B96" s="327" t="s">
        <v>351</v>
      </c>
    </row>
    <row r="97" spans="1:2" ht="15" thickTop="1" x14ac:dyDescent="0.2">
      <c r="A97" s="301" t="s">
        <v>324</v>
      </c>
      <c r="B97" s="326" t="s">
        <v>351</v>
      </c>
    </row>
    <row r="98" spans="1:2" ht="14.25" x14ac:dyDescent="0.2">
      <c r="A98" s="303" t="s">
        <v>325</v>
      </c>
      <c r="B98" s="306" t="s">
        <v>351</v>
      </c>
    </row>
    <row r="99" spans="1:2" ht="14.25" x14ac:dyDescent="0.2">
      <c r="A99" s="303" t="s">
        <v>326</v>
      </c>
      <c r="B99" s="306" t="s">
        <v>351</v>
      </c>
    </row>
    <row r="100" spans="1:2" ht="14.25" x14ac:dyDescent="0.2">
      <c r="A100" s="303" t="s">
        <v>327</v>
      </c>
      <c r="B100" s="306" t="s">
        <v>351</v>
      </c>
    </row>
    <row r="101" spans="1:2" ht="14.25" x14ac:dyDescent="0.2">
      <c r="A101" s="303" t="s">
        <v>328</v>
      </c>
      <c r="B101" s="306" t="s">
        <v>351</v>
      </c>
    </row>
    <row r="102" spans="1:2" ht="14.25" x14ac:dyDescent="0.2">
      <c r="A102" s="303" t="s">
        <v>329</v>
      </c>
      <c r="B102" s="306" t="s">
        <v>351</v>
      </c>
    </row>
    <row r="103" spans="1:2" ht="14.25" x14ac:dyDescent="0.2">
      <c r="A103" s="303" t="s">
        <v>330</v>
      </c>
      <c r="B103" s="306" t="s">
        <v>351</v>
      </c>
    </row>
    <row r="104" spans="1:2" ht="14.25" x14ac:dyDescent="0.2">
      <c r="A104" s="303" t="s">
        <v>331</v>
      </c>
      <c r="B104" s="306" t="s">
        <v>351</v>
      </c>
    </row>
    <row r="105" spans="1:2" ht="14.25" x14ac:dyDescent="0.2">
      <c r="A105" s="303" t="s">
        <v>332</v>
      </c>
      <c r="B105" s="306" t="s">
        <v>351</v>
      </c>
    </row>
    <row r="106" spans="1:2" ht="14.25" x14ac:dyDescent="0.2">
      <c r="A106" s="303" t="s">
        <v>333</v>
      </c>
      <c r="B106" s="306" t="s">
        <v>351</v>
      </c>
    </row>
    <row r="107" spans="1:2" ht="14.25" x14ac:dyDescent="0.2">
      <c r="A107" s="303" t="s">
        <v>334</v>
      </c>
      <c r="B107" s="306" t="s">
        <v>351</v>
      </c>
    </row>
    <row r="108" spans="1:2" ht="14.25" x14ac:dyDescent="0.2">
      <c r="A108" s="303" t="s">
        <v>335</v>
      </c>
      <c r="B108" s="306" t="s">
        <v>351</v>
      </c>
    </row>
    <row r="109" spans="1:2" ht="14.25" x14ac:dyDescent="0.2">
      <c r="A109" s="303" t="s">
        <v>336</v>
      </c>
      <c r="B109" s="306" t="s">
        <v>351</v>
      </c>
    </row>
    <row r="110" spans="1:2" ht="14.25" x14ac:dyDescent="0.2">
      <c r="A110" s="303" t="s">
        <v>337</v>
      </c>
      <c r="B110" s="306" t="s">
        <v>351</v>
      </c>
    </row>
    <row r="111" spans="1:2" ht="14.25" x14ac:dyDescent="0.2">
      <c r="A111" s="303" t="s">
        <v>338</v>
      </c>
      <c r="B111" s="306" t="s">
        <v>351</v>
      </c>
    </row>
    <row r="112" spans="1:2" ht="14.25" x14ac:dyDescent="0.2">
      <c r="A112" s="303" t="s">
        <v>339</v>
      </c>
      <c r="B112" s="306" t="s">
        <v>351</v>
      </c>
    </row>
    <row r="113" spans="1:2" ht="14.25" x14ac:dyDescent="0.2">
      <c r="A113" s="303" t="s">
        <v>340</v>
      </c>
      <c r="B113" s="306" t="s">
        <v>351</v>
      </c>
    </row>
    <row r="114" spans="1:2" ht="14.25" x14ac:dyDescent="0.2">
      <c r="A114" s="303" t="s">
        <v>341</v>
      </c>
      <c r="B114" s="306" t="s">
        <v>351</v>
      </c>
    </row>
    <row r="115" spans="1:2" ht="14.25" x14ac:dyDescent="0.2">
      <c r="A115" s="303" t="s">
        <v>342</v>
      </c>
      <c r="B115" s="306" t="s">
        <v>351</v>
      </c>
    </row>
    <row r="116" spans="1:2" ht="14.25" x14ac:dyDescent="0.2">
      <c r="A116" s="303" t="s">
        <v>343</v>
      </c>
      <c r="B116" s="306" t="s">
        <v>351</v>
      </c>
    </row>
    <row r="117" spans="1:2" ht="14.25" x14ac:dyDescent="0.2">
      <c r="A117" s="303" t="s">
        <v>344</v>
      </c>
      <c r="B117" s="306" t="s">
        <v>351</v>
      </c>
    </row>
    <row r="118" spans="1:2" ht="14.25" x14ac:dyDescent="0.2">
      <c r="A118" s="303" t="s">
        <v>345</v>
      </c>
      <c r="B118" s="306" t="s">
        <v>351</v>
      </c>
    </row>
    <row r="119" spans="1:2" ht="14.25" x14ac:dyDescent="0.2">
      <c r="A119" s="303" t="s">
        <v>346</v>
      </c>
      <c r="B119" s="306" t="s">
        <v>351</v>
      </c>
    </row>
    <row r="120" spans="1:2" ht="14.25" x14ac:dyDescent="0.2">
      <c r="A120" s="303" t="s">
        <v>347</v>
      </c>
      <c r="B120" s="306" t="s">
        <v>351</v>
      </c>
    </row>
    <row r="121" spans="1:2" ht="14.25" x14ac:dyDescent="0.2">
      <c r="A121" s="303" t="s">
        <v>348</v>
      </c>
      <c r="B121" s="306" t="s">
        <v>351</v>
      </c>
    </row>
    <row r="122" spans="1:2" ht="14.25" x14ac:dyDescent="0.2">
      <c r="A122" s="303" t="s">
        <v>349</v>
      </c>
      <c r="B122" s="306" t="s">
        <v>351</v>
      </c>
    </row>
    <row r="123" spans="1:2" ht="14.25" x14ac:dyDescent="0.2">
      <c r="A123" s="303" t="s">
        <v>350</v>
      </c>
      <c r="B123" s="306" t="s">
        <v>351</v>
      </c>
    </row>
  </sheetData>
  <mergeCells count="2">
    <mergeCell ref="A1:D1"/>
    <mergeCell ref="A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12"/>
  <sheetViews>
    <sheetView workbookViewId="0"/>
  </sheetViews>
  <sheetFormatPr defaultColWidth="9.140625" defaultRowHeight="12.75" x14ac:dyDescent="0.2"/>
  <cols>
    <col min="1" max="5" width="16.7109375" style="224" customWidth="1"/>
    <col min="6" max="6" width="21.140625" style="224" customWidth="1"/>
    <col min="7" max="12" width="16.7109375" style="224" customWidth="1"/>
    <col min="13" max="22" width="14.7109375" style="224" customWidth="1"/>
    <col min="23" max="16384" width="9.140625" style="224"/>
  </cols>
  <sheetData>
    <row r="1" spans="1:21" ht="18.75" x14ac:dyDescent="0.3">
      <c r="A1" s="39" t="s">
        <v>365</v>
      </c>
    </row>
    <row r="2" spans="1:21" ht="27" x14ac:dyDescent="0.3">
      <c r="A2" s="37"/>
      <c r="E2" s="9"/>
      <c r="F2" s="338" t="s">
        <v>359</v>
      </c>
      <c r="N2" s="241"/>
      <c r="O2" s="241"/>
      <c r="P2" s="241"/>
      <c r="Q2" s="241"/>
    </row>
    <row r="3" spans="1:21" ht="15.75" x14ac:dyDescent="0.2">
      <c r="A3" s="353" t="s">
        <v>50</v>
      </c>
      <c r="B3" s="353"/>
      <c r="C3" s="40"/>
      <c r="D3" s="148" t="s">
        <v>22</v>
      </c>
      <c r="F3" s="294">
        <v>16411578225.023998</v>
      </c>
      <c r="G3" s="278"/>
      <c r="H3" s="278"/>
      <c r="I3" s="278"/>
      <c r="J3" s="278"/>
      <c r="K3" s="278"/>
      <c r="L3" s="278"/>
      <c r="M3" s="278"/>
      <c r="N3" s="278"/>
      <c r="O3" s="278"/>
      <c r="P3" s="278"/>
      <c r="Q3" s="278"/>
      <c r="R3" s="278"/>
      <c r="S3" s="278"/>
      <c r="T3" s="278"/>
      <c r="U3" s="278"/>
    </row>
    <row r="4" spans="1:21" s="279" customFormat="1" ht="38.25" x14ac:dyDescent="0.2">
      <c r="A4" s="115" t="s">
        <v>2</v>
      </c>
      <c r="B4" s="115" t="s">
        <v>107</v>
      </c>
      <c r="C4" s="115" t="s">
        <v>128</v>
      </c>
      <c r="D4" s="115" t="s">
        <v>138</v>
      </c>
      <c r="E4" s="15"/>
      <c r="G4" s="278"/>
      <c r="H4" s="278"/>
      <c r="I4" s="278"/>
      <c r="J4" s="278"/>
      <c r="K4" s="278"/>
      <c r="L4" s="278"/>
      <c r="M4" s="278"/>
      <c r="N4" s="278"/>
      <c r="O4" s="278"/>
      <c r="P4" s="278"/>
      <c r="Q4" s="278"/>
      <c r="R4" s="278"/>
      <c r="S4" s="278"/>
      <c r="T4" s="278"/>
      <c r="U4" s="278"/>
    </row>
    <row r="5" spans="1:21" x14ac:dyDescent="0.2">
      <c r="A5" s="12" t="s">
        <v>5</v>
      </c>
      <c r="B5" s="17">
        <v>333.44</v>
      </c>
      <c r="C5" s="17">
        <v>0</v>
      </c>
      <c r="D5" s="17">
        <f>B5+C5</f>
        <v>333.44</v>
      </c>
      <c r="E5" s="11"/>
      <c r="G5" s="278"/>
      <c r="H5" s="278"/>
      <c r="I5" s="278"/>
      <c r="J5" s="278"/>
      <c r="K5" s="278"/>
      <c r="L5" s="278"/>
      <c r="M5" s="278"/>
      <c r="N5" s="278"/>
      <c r="O5" s="278"/>
      <c r="P5" s="278"/>
      <c r="Q5" s="278"/>
      <c r="R5" s="278"/>
      <c r="S5" s="278"/>
      <c r="T5" s="278"/>
      <c r="U5" s="278"/>
    </row>
    <row r="6" spans="1:21" x14ac:dyDescent="0.2">
      <c r="A6" s="12" t="s">
        <v>26</v>
      </c>
      <c r="B6" s="17">
        <f>$B$5</f>
        <v>333.44</v>
      </c>
      <c r="C6" s="17">
        <v>0</v>
      </c>
      <c r="D6" s="17">
        <f>B6+C6</f>
        <v>333.44</v>
      </c>
      <c r="E6" s="11"/>
      <c r="G6" s="278"/>
      <c r="H6" s="278"/>
      <c r="I6" s="278"/>
      <c r="J6" s="278"/>
      <c r="K6" s="278"/>
      <c r="L6" s="278"/>
      <c r="M6" s="278"/>
      <c r="N6" s="278"/>
      <c r="O6" s="278"/>
      <c r="P6" s="278"/>
      <c r="Q6" s="278"/>
      <c r="R6" s="278"/>
      <c r="S6" s="278"/>
      <c r="T6" s="278"/>
      <c r="U6" s="278"/>
    </row>
    <row r="7" spans="1:21" x14ac:dyDescent="0.2">
      <c r="A7" s="12" t="s">
        <v>31</v>
      </c>
      <c r="B7" s="17">
        <f t="shared" ref="B7:B20" si="0">$B$5</f>
        <v>333.44</v>
      </c>
      <c r="C7" s="17">
        <v>0</v>
      </c>
      <c r="D7" s="17">
        <f>B7+C6+C7</f>
        <v>333.44</v>
      </c>
      <c r="E7" s="11"/>
      <c r="G7" s="278"/>
      <c r="H7" s="278"/>
      <c r="I7" s="278"/>
      <c r="J7" s="278"/>
      <c r="K7" s="278"/>
      <c r="L7" s="278"/>
      <c r="M7" s="278"/>
      <c r="N7" s="278"/>
      <c r="O7" s="278"/>
      <c r="P7" s="278"/>
      <c r="Q7" s="278"/>
      <c r="R7" s="278"/>
      <c r="S7" s="278"/>
      <c r="T7" s="278"/>
      <c r="U7" s="278"/>
    </row>
    <row r="8" spans="1:21" x14ac:dyDescent="0.2">
      <c r="A8" s="12" t="s">
        <v>4</v>
      </c>
      <c r="B8" s="17">
        <f t="shared" si="0"/>
        <v>333.44</v>
      </c>
      <c r="C8" s="17">
        <v>0</v>
      </c>
      <c r="D8" s="17">
        <f>B8+C6+C8</f>
        <v>333.44</v>
      </c>
      <c r="E8" s="11"/>
      <c r="G8" s="278"/>
      <c r="H8" s="278"/>
      <c r="I8" s="278"/>
      <c r="J8" s="278"/>
      <c r="K8" s="278"/>
      <c r="L8" s="278"/>
      <c r="M8" s="278"/>
      <c r="N8" s="278"/>
      <c r="O8" s="278"/>
      <c r="P8" s="278"/>
      <c r="Q8" s="278"/>
      <c r="R8" s="278"/>
      <c r="S8" s="278"/>
      <c r="T8" s="278"/>
      <c r="U8" s="278"/>
    </row>
    <row r="9" spans="1:21" x14ac:dyDescent="0.2">
      <c r="A9" s="12" t="s">
        <v>7</v>
      </c>
      <c r="B9" s="17">
        <f t="shared" si="0"/>
        <v>333.44</v>
      </c>
      <c r="C9" s="17">
        <v>0</v>
      </c>
      <c r="D9" s="17">
        <f>B9+C6+C7+C9</f>
        <v>333.44</v>
      </c>
      <c r="E9" s="11"/>
      <c r="G9" s="278"/>
      <c r="H9" s="278"/>
      <c r="I9" s="278"/>
      <c r="J9" s="278"/>
      <c r="K9" s="278"/>
      <c r="L9" s="278"/>
      <c r="M9" s="278"/>
      <c r="N9" s="278"/>
      <c r="O9" s="278"/>
      <c r="P9" s="278"/>
      <c r="Q9" s="278"/>
      <c r="R9" s="278"/>
      <c r="S9" s="278"/>
      <c r="T9" s="278"/>
      <c r="U9" s="278"/>
    </row>
    <row r="10" spans="1:21" x14ac:dyDescent="0.2">
      <c r="A10" s="12" t="s">
        <v>32</v>
      </c>
      <c r="B10" s="17">
        <f t="shared" si="0"/>
        <v>333.44</v>
      </c>
      <c r="C10" s="17">
        <v>0</v>
      </c>
      <c r="D10" s="17">
        <f>B10+C6+C7+C9+C10</f>
        <v>333.44</v>
      </c>
      <c r="E10" s="11"/>
      <c r="G10" s="278"/>
      <c r="H10" s="278"/>
      <c r="I10" s="278"/>
      <c r="J10" s="278"/>
      <c r="K10" s="278"/>
      <c r="L10" s="278"/>
      <c r="M10" s="278"/>
      <c r="N10" s="278"/>
      <c r="O10" s="278"/>
      <c r="P10" s="278"/>
      <c r="Q10" s="278"/>
      <c r="R10" s="278"/>
      <c r="S10" s="278"/>
      <c r="T10" s="278"/>
      <c r="U10" s="278"/>
    </row>
    <row r="11" spans="1:21" x14ac:dyDescent="0.2">
      <c r="A11" s="12" t="s">
        <v>33</v>
      </c>
      <c r="B11" s="17">
        <f t="shared" si="0"/>
        <v>333.44</v>
      </c>
      <c r="C11" s="17">
        <v>0</v>
      </c>
      <c r="D11" s="17">
        <f>B11+C6+C7+C11</f>
        <v>333.44</v>
      </c>
      <c r="E11" s="11"/>
      <c r="G11" s="278"/>
      <c r="H11" s="278"/>
      <c r="I11" s="278"/>
      <c r="J11" s="278"/>
      <c r="K11" s="278"/>
      <c r="L11" s="278"/>
      <c r="M11" s="278"/>
      <c r="N11" s="278"/>
      <c r="O11" s="278"/>
      <c r="P11" s="278"/>
      <c r="Q11" s="278"/>
      <c r="R11" s="278"/>
      <c r="S11" s="278"/>
      <c r="T11" s="278"/>
      <c r="U11" s="278"/>
    </row>
    <row r="12" spans="1:21" x14ac:dyDescent="0.2">
      <c r="A12" s="12" t="s">
        <v>14</v>
      </c>
      <c r="B12" s="17">
        <f t="shared" si="0"/>
        <v>333.44</v>
      </c>
      <c r="C12" s="17">
        <v>0</v>
      </c>
      <c r="D12" s="17">
        <f>B12+C6+C8+C12</f>
        <v>333.44</v>
      </c>
      <c r="E12" s="11"/>
      <c r="G12" s="278"/>
      <c r="H12" s="278"/>
      <c r="I12" s="278"/>
      <c r="J12" s="278"/>
      <c r="K12" s="278"/>
      <c r="L12" s="278"/>
      <c r="M12" s="278"/>
      <c r="N12" s="278"/>
      <c r="O12" s="278"/>
      <c r="P12" s="278"/>
      <c r="Q12" s="278"/>
      <c r="R12" s="278"/>
      <c r="S12" s="278"/>
      <c r="T12" s="278"/>
      <c r="U12" s="278"/>
    </row>
    <row r="13" spans="1:21" x14ac:dyDescent="0.2">
      <c r="A13" s="12" t="s">
        <v>41</v>
      </c>
      <c r="B13" s="17">
        <f t="shared" si="0"/>
        <v>333.44</v>
      </c>
      <c r="C13" s="17">
        <v>0</v>
      </c>
      <c r="D13" s="17">
        <f>B13+C13</f>
        <v>333.44</v>
      </c>
      <c r="E13" s="11"/>
      <c r="G13" s="278"/>
      <c r="H13" s="278"/>
      <c r="I13" s="278"/>
      <c r="J13" s="278"/>
      <c r="K13" s="278"/>
      <c r="L13" s="278"/>
      <c r="M13" s="278"/>
      <c r="N13" s="278"/>
      <c r="O13" s="278"/>
      <c r="P13" s="278"/>
      <c r="Q13" s="278"/>
      <c r="R13" s="278"/>
      <c r="S13" s="278"/>
      <c r="T13" s="278"/>
      <c r="U13" s="278"/>
    </row>
    <row r="14" spans="1:21" x14ac:dyDescent="0.2">
      <c r="A14" s="12" t="s">
        <v>96</v>
      </c>
      <c r="B14" s="17">
        <f t="shared" si="0"/>
        <v>333.44</v>
      </c>
      <c r="C14" s="17">
        <v>0</v>
      </c>
      <c r="D14" s="17">
        <f>B14+C13+C14</f>
        <v>333.44</v>
      </c>
      <c r="E14" s="11"/>
      <c r="F14" s="11" t="s">
        <v>22</v>
      </c>
      <c r="G14" s="278"/>
      <c r="H14" s="278"/>
      <c r="I14" s="278"/>
      <c r="J14" s="278"/>
      <c r="K14" s="278"/>
      <c r="L14" s="278"/>
      <c r="M14" s="278"/>
      <c r="N14" s="278"/>
      <c r="O14" s="278"/>
      <c r="P14" s="278"/>
      <c r="Q14" s="278"/>
      <c r="R14" s="278"/>
      <c r="S14" s="278"/>
      <c r="T14" s="278"/>
      <c r="U14" s="278"/>
    </row>
    <row r="15" spans="1:21" x14ac:dyDescent="0.2">
      <c r="A15" s="12" t="s">
        <v>19</v>
      </c>
      <c r="B15" s="17">
        <f t="shared" si="0"/>
        <v>333.44</v>
      </c>
      <c r="C15" s="17">
        <v>0</v>
      </c>
      <c r="D15" s="17">
        <f>B15+C15</f>
        <v>333.44</v>
      </c>
      <c r="E15" s="11"/>
      <c r="F15" s="19" t="s">
        <v>22</v>
      </c>
      <c r="G15" s="278"/>
      <c r="H15" s="278"/>
      <c r="I15" s="278"/>
      <c r="J15" s="278"/>
      <c r="K15" s="278"/>
      <c r="L15" s="278"/>
      <c r="M15" s="278"/>
      <c r="N15" s="278"/>
      <c r="O15" s="278"/>
      <c r="P15" s="278"/>
      <c r="Q15" s="278"/>
      <c r="R15" s="278"/>
      <c r="S15" s="278"/>
      <c r="T15" s="278"/>
      <c r="U15" s="278"/>
    </row>
    <row r="16" spans="1:21" x14ac:dyDescent="0.2">
      <c r="A16" s="12" t="s">
        <v>10</v>
      </c>
      <c r="B16" s="17">
        <f t="shared" si="0"/>
        <v>333.44</v>
      </c>
      <c r="C16" s="17">
        <v>0</v>
      </c>
      <c r="D16" s="17">
        <f>B16+C6+C8+C16</f>
        <v>333.44</v>
      </c>
      <c r="E16" s="11"/>
      <c r="F16" s="11"/>
      <c r="G16" s="278"/>
      <c r="H16" s="278"/>
      <c r="I16" s="278"/>
      <c r="J16" s="278"/>
      <c r="K16" s="278"/>
      <c r="L16" s="278"/>
      <c r="M16" s="278"/>
      <c r="N16" s="278"/>
      <c r="O16" s="278"/>
      <c r="P16" s="278"/>
      <c r="Q16" s="278"/>
      <c r="R16" s="278"/>
      <c r="S16" s="278"/>
      <c r="T16" s="278"/>
      <c r="U16" s="278"/>
    </row>
    <row r="17" spans="1:21" x14ac:dyDescent="0.2">
      <c r="A17" s="12" t="s">
        <v>9</v>
      </c>
      <c r="B17" s="17">
        <f t="shared" si="0"/>
        <v>333.44</v>
      </c>
      <c r="C17" s="17">
        <v>0</v>
      </c>
      <c r="D17" s="17">
        <f>B17+C6+C17</f>
        <v>333.44</v>
      </c>
      <c r="E17" s="11"/>
      <c r="F17" s="11"/>
      <c r="G17" s="278"/>
      <c r="H17" s="278"/>
      <c r="I17" s="278"/>
      <c r="J17" s="278"/>
      <c r="K17" s="278"/>
      <c r="L17" s="278"/>
      <c r="M17" s="278"/>
      <c r="N17" s="278"/>
      <c r="O17" s="278"/>
      <c r="P17" s="278"/>
      <c r="Q17" s="278"/>
      <c r="R17" s="278"/>
      <c r="S17" s="278"/>
      <c r="T17" s="278"/>
      <c r="U17" s="278"/>
    </row>
    <row r="18" spans="1:21" x14ac:dyDescent="0.2">
      <c r="A18" s="12" t="s">
        <v>20</v>
      </c>
      <c r="B18" s="17">
        <f t="shared" si="0"/>
        <v>333.44</v>
      </c>
      <c r="C18" s="17">
        <v>0</v>
      </c>
      <c r="D18" s="17">
        <f>B18+C18</f>
        <v>333.44</v>
      </c>
      <c r="E18" s="80"/>
      <c r="F18" s="11"/>
      <c r="G18" s="278"/>
      <c r="H18" s="278"/>
      <c r="I18" s="278"/>
      <c r="J18" s="278"/>
      <c r="K18" s="278"/>
      <c r="L18" s="278"/>
      <c r="M18" s="278"/>
      <c r="N18" s="278"/>
      <c r="O18" s="278"/>
      <c r="P18" s="278"/>
      <c r="Q18" s="278"/>
      <c r="R18" s="278"/>
      <c r="S18" s="278"/>
      <c r="T18" s="278"/>
      <c r="U18" s="278"/>
    </row>
    <row r="19" spans="1:21" x14ac:dyDescent="0.2">
      <c r="A19" s="12" t="s">
        <v>48</v>
      </c>
      <c r="B19" s="17">
        <f t="shared" si="0"/>
        <v>333.44</v>
      </c>
      <c r="C19" s="17">
        <v>0</v>
      </c>
      <c r="D19" s="17">
        <f>B19+C19</f>
        <v>333.44</v>
      </c>
      <c r="E19" s="11"/>
      <c r="F19" s="11"/>
      <c r="G19" s="278"/>
      <c r="H19" s="278"/>
      <c r="I19" s="278"/>
      <c r="J19" s="278"/>
      <c r="K19" s="278"/>
      <c r="L19" s="278"/>
      <c r="M19" s="278"/>
      <c r="N19" s="278"/>
      <c r="O19" s="278"/>
      <c r="P19" s="278"/>
      <c r="Q19" s="278"/>
      <c r="R19" s="278"/>
      <c r="S19" s="278"/>
      <c r="T19" s="278"/>
      <c r="U19" s="278"/>
    </row>
    <row r="20" spans="1:21" x14ac:dyDescent="0.2">
      <c r="A20" s="12" t="s">
        <v>28</v>
      </c>
      <c r="B20" s="17">
        <f t="shared" si="0"/>
        <v>333.44</v>
      </c>
      <c r="C20" s="17">
        <v>0</v>
      </c>
      <c r="D20" s="17">
        <f>B20+C20</f>
        <v>333.44</v>
      </c>
      <c r="E20" s="11"/>
      <c r="F20" s="11"/>
      <c r="G20" s="278"/>
      <c r="H20" s="278"/>
      <c r="I20" s="278"/>
      <c r="J20" s="278"/>
      <c r="K20" s="278"/>
      <c r="L20" s="278"/>
      <c r="M20" s="278"/>
      <c r="N20" s="278"/>
      <c r="O20" s="278"/>
      <c r="P20" s="278"/>
      <c r="Q20" s="278"/>
      <c r="R20" s="278"/>
      <c r="S20" s="278"/>
      <c r="T20" s="278"/>
      <c r="U20" s="278"/>
    </row>
    <row r="21" spans="1:21" x14ac:dyDescent="0.2">
      <c r="A21" s="12" t="s">
        <v>11</v>
      </c>
      <c r="B21" s="17">
        <f>$B$5</f>
        <v>333.44</v>
      </c>
      <c r="C21" s="17">
        <v>0</v>
      </c>
      <c r="D21" s="17">
        <f>B21+C21+C7+C6</f>
        <v>333.44</v>
      </c>
      <c r="E21" s="11"/>
      <c r="F21" s="11"/>
      <c r="G21" s="278"/>
      <c r="H21" s="278"/>
      <c r="I21" s="278"/>
      <c r="J21" s="278"/>
      <c r="K21" s="278"/>
      <c r="L21" s="278"/>
      <c r="M21" s="278"/>
      <c r="N21" s="278"/>
      <c r="O21" s="278"/>
      <c r="P21" s="278"/>
      <c r="Q21" s="278"/>
      <c r="R21" s="278"/>
      <c r="S21" s="278"/>
      <c r="T21" s="278"/>
      <c r="U21" s="278"/>
    </row>
    <row r="22" spans="1:21" ht="15" customHeight="1" x14ac:dyDescent="0.2">
      <c r="A22" s="13" t="s">
        <v>118</v>
      </c>
      <c r="B22" s="18"/>
      <c r="C22" s="18"/>
      <c r="D22" s="18"/>
      <c r="E22" s="18"/>
      <c r="F22" s="18"/>
      <c r="G22" s="18"/>
      <c r="H22" s="18"/>
      <c r="I22" s="11"/>
      <c r="J22" s="11"/>
      <c r="K22"/>
    </row>
    <row r="23" spans="1:21" ht="15" customHeight="1" x14ac:dyDescent="0.2">
      <c r="A23" s="149" t="s">
        <v>127</v>
      </c>
      <c r="B23" s="144"/>
      <c r="C23" s="144"/>
      <c r="D23" s="144"/>
      <c r="E23" s="144"/>
      <c r="F23" s="144"/>
      <c r="G23" s="144"/>
      <c r="H23" s="144"/>
      <c r="I23" s="21" t="s">
        <v>22</v>
      </c>
      <c r="J23" s="23"/>
      <c r="K23"/>
    </row>
    <row r="24" spans="1:21" ht="12.75" customHeight="1" x14ac:dyDescent="0.2">
      <c r="A24" s="78"/>
      <c r="B24" s="56"/>
      <c r="C24" s="56"/>
      <c r="D24" s="56"/>
      <c r="E24" s="56"/>
      <c r="F24" s="56"/>
      <c r="G24" s="56"/>
      <c r="H24" s="56"/>
      <c r="I24" s="21"/>
      <c r="J24" s="23"/>
      <c r="K24"/>
    </row>
    <row r="25" spans="1:21" x14ac:dyDescent="0.2">
      <c r="A25" s="11"/>
      <c r="B25" s="18"/>
      <c r="C25" s="18"/>
      <c r="D25" s="18"/>
      <c r="E25" s="21"/>
      <c r="F25" s="22"/>
      <c r="G25" s="22"/>
      <c r="H25" s="22"/>
      <c r="I25" s="23"/>
      <c r="J25" s="23"/>
      <c r="K25"/>
    </row>
    <row r="26" spans="1:21" ht="15.75" x14ac:dyDescent="0.25">
      <c r="A26" s="354" t="s">
        <v>51</v>
      </c>
      <c r="B26" s="355"/>
      <c r="C26" s="161" t="s">
        <v>22</v>
      </c>
      <c r="D26" s="161"/>
      <c r="E26" s="161" t="s">
        <v>22</v>
      </c>
      <c r="F26" s="161"/>
      <c r="G26" s="23"/>
      <c r="H26"/>
      <c r="I26" s="21" t="s">
        <v>22</v>
      </c>
      <c r="J26" s="21" t="s">
        <v>22</v>
      </c>
      <c r="K26" s="21" t="s">
        <v>22</v>
      </c>
      <c r="L26" s="21" t="s">
        <v>22</v>
      </c>
      <c r="M26" s="21" t="s">
        <v>22</v>
      </c>
      <c r="N26" s="21" t="s">
        <v>22</v>
      </c>
      <c r="O26" s="21" t="s">
        <v>22</v>
      </c>
      <c r="P26" s="21" t="s">
        <v>22</v>
      </c>
      <c r="Q26" s="21" t="s">
        <v>22</v>
      </c>
      <c r="R26" s="21" t="s">
        <v>22</v>
      </c>
      <c r="S26" s="21" t="s">
        <v>22</v>
      </c>
    </row>
    <row r="27" spans="1:21" ht="60" customHeight="1" x14ac:dyDescent="0.2">
      <c r="A27" s="115" t="s">
        <v>228</v>
      </c>
      <c r="B27" s="115" t="s">
        <v>129</v>
      </c>
      <c r="C27" s="115" t="s">
        <v>227</v>
      </c>
      <c r="D27" s="115" t="s">
        <v>139</v>
      </c>
      <c r="E27" s="115" t="s">
        <v>140</v>
      </c>
      <c r="F27" s="115" t="s">
        <v>135</v>
      </c>
      <c r="G27" s="115" t="s">
        <v>134</v>
      </c>
      <c r="H27" s="159"/>
      <c r="I27" s="23"/>
      <c r="J27" s="23"/>
      <c r="K27" s="23"/>
      <c r="L27" s="23"/>
      <c r="M27" s="23"/>
      <c r="N27" s="23"/>
      <c r="O27" s="23"/>
      <c r="P27" s="23"/>
      <c r="Q27" s="23"/>
      <c r="R27" s="23"/>
      <c r="S27" s="23"/>
    </row>
    <row r="28" spans="1:21" x14ac:dyDescent="0.2">
      <c r="A28" s="12" t="s">
        <v>5</v>
      </c>
      <c r="B28" s="116">
        <v>134209.5</v>
      </c>
      <c r="C28" s="116">
        <v>268.60000000000002</v>
      </c>
      <c r="D28" s="116">
        <v>268.60000000000002</v>
      </c>
      <c r="E28" s="116">
        <f>MIN(C28:D28)</f>
        <v>268.60000000000002</v>
      </c>
      <c r="F28" s="116">
        <f>B28+E28</f>
        <v>134478.1</v>
      </c>
      <c r="G28" s="116">
        <v>0</v>
      </c>
      <c r="H28" s="52"/>
      <c r="I28" s="23"/>
      <c r="J28" s="23"/>
      <c r="K28" s="23"/>
      <c r="L28" s="23"/>
      <c r="M28" s="23"/>
      <c r="N28" s="23"/>
      <c r="O28" s="23"/>
      <c r="P28" s="23"/>
      <c r="Q28" s="23"/>
      <c r="R28" s="23"/>
      <c r="S28" s="23"/>
    </row>
    <row r="29" spans="1:21" x14ac:dyDescent="0.2">
      <c r="A29" s="12" t="s">
        <v>26</v>
      </c>
      <c r="B29" s="116">
        <v>51613</v>
      </c>
      <c r="C29" s="116">
        <v>164.3</v>
      </c>
      <c r="D29" s="116">
        <v>52.7</v>
      </c>
      <c r="E29" s="116">
        <f>MIN(C29:D29)</f>
        <v>52.7</v>
      </c>
      <c r="F29" s="116">
        <f>B29+E29</f>
        <v>51665.7</v>
      </c>
      <c r="G29" s="116">
        <v>0</v>
      </c>
      <c r="H29" s="28"/>
      <c r="I29" s="23"/>
      <c r="J29" s="23"/>
      <c r="K29" s="23"/>
      <c r="L29" s="23"/>
      <c r="M29" s="23"/>
      <c r="N29" s="23"/>
      <c r="O29" s="23"/>
      <c r="P29" s="23"/>
      <c r="Q29" s="23"/>
      <c r="R29" s="23"/>
      <c r="S29" s="23"/>
    </row>
    <row r="30" spans="1:21" x14ac:dyDescent="0.2">
      <c r="A30" s="12" t="s">
        <v>31</v>
      </c>
      <c r="B30" s="116">
        <v>23863.200000000001</v>
      </c>
      <c r="C30" s="116">
        <v>16.7</v>
      </c>
      <c r="D30" s="116">
        <v>0</v>
      </c>
      <c r="E30" s="116">
        <f t="shared" ref="E30:E42" si="1">MIN(C30:D30)</f>
        <v>0</v>
      </c>
      <c r="F30" s="116">
        <f>B30+E30</f>
        <v>23863.200000000001</v>
      </c>
      <c r="G30" s="116">
        <v>0</v>
      </c>
      <c r="H30" s="11"/>
      <c r="I30" s="23"/>
      <c r="J30" s="23"/>
      <c r="K30" s="23"/>
      <c r="L30" s="23"/>
      <c r="M30" s="23"/>
      <c r="N30" s="23"/>
      <c r="O30" s="23"/>
      <c r="P30" s="23"/>
      <c r="Q30" s="23"/>
      <c r="R30" s="23"/>
      <c r="S30" s="23"/>
    </row>
    <row r="31" spans="1:21" x14ac:dyDescent="0.2">
      <c r="A31" s="12" t="s">
        <v>4</v>
      </c>
      <c r="B31" s="116">
        <v>6482.6</v>
      </c>
      <c r="C31" s="116">
        <v>146.69999999999999</v>
      </c>
      <c r="D31" s="116">
        <v>0</v>
      </c>
      <c r="E31" s="116">
        <f t="shared" si="1"/>
        <v>0</v>
      </c>
      <c r="F31" s="116">
        <f>B31+E31</f>
        <v>6482.6</v>
      </c>
      <c r="G31" s="116">
        <v>0</v>
      </c>
      <c r="H31" s="28"/>
      <c r="I31" s="23"/>
      <c r="J31" s="23"/>
      <c r="K31" s="23"/>
      <c r="L31" s="23"/>
      <c r="M31" s="23"/>
      <c r="N31" s="23"/>
      <c r="O31" s="23"/>
      <c r="P31" s="23"/>
      <c r="Q31" s="23"/>
      <c r="R31" s="23"/>
      <c r="S31" s="23"/>
    </row>
    <row r="32" spans="1:21" x14ac:dyDescent="0.2">
      <c r="A32" s="12" t="s">
        <v>7</v>
      </c>
      <c r="B32" s="116">
        <v>4157</v>
      </c>
      <c r="C32" s="116">
        <v>0.5</v>
      </c>
      <c r="D32" s="116">
        <v>0</v>
      </c>
      <c r="E32" s="116">
        <f t="shared" si="1"/>
        <v>0</v>
      </c>
      <c r="F32" s="116">
        <f>B32+E32</f>
        <v>4157</v>
      </c>
      <c r="G32" s="116">
        <v>0</v>
      </c>
      <c r="H32" s="11"/>
      <c r="I32" s="23"/>
      <c r="J32" s="23"/>
      <c r="K32" s="23"/>
      <c r="L32" s="23"/>
      <c r="M32" s="23"/>
      <c r="N32" s="23"/>
      <c r="O32" s="23"/>
      <c r="P32" s="23"/>
      <c r="Q32" s="23"/>
      <c r="R32" s="23"/>
      <c r="S32" s="23"/>
    </row>
    <row r="33" spans="1:19" x14ac:dyDescent="0.2">
      <c r="A33" s="12" t="s">
        <v>32</v>
      </c>
      <c r="B33" s="116">
        <v>2379.6999999999998</v>
      </c>
      <c r="C33" s="116">
        <v>0</v>
      </c>
      <c r="D33" s="116">
        <v>0</v>
      </c>
      <c r="E33" s="116">
        <f t="shared" si="1"/>
        <v>0</v>
      </c>
      <c r="F33" s="116">
        <f t="shared" ref="F33:F41" si="2">B33+E33</f>
        <v>2379.6999999999998</v>
      </c>
      <c r="G33" s="116">
        <v>0</v>
      </c>
      <c r="H33" s="11"/>
      <c r="I33" s="23"/>
      <c r="J33" s="23"/>
      <c r="K33" s="23"/>
      <c r="L33" s="23"/>
      <c r="M33" s="23"/>
      <c r="N33" s="23"/>
      <c r="O33" s="23"/>
      <c r="P33" s="23"/>
      <c r="Q33" s="23"/>
      <c r="R33" s="23"/>
      <c r="S33" s="23"/>
    </row>
    <row r="34" spans="1:19" x14ac:dyDescent="0.2">
      <c r="A34" s="12" t="s">
        <v>33</v>
      </c>
      <c r="B34" s="116">
        <v>959.6</v>
      </c>
      <c r="C34" s="116">
        <v>0</v>
      </c>
      <c r="D34" s="116">
        <v>0</v>
      </c>
      <c r="E34" s="116">
        <f t="shared" si="1"/>
        <v>0</v>
      </c>
      <c r="F34" s="116">
        <f t="shared" si="2"/>
        <v>959.6</v>
      </c>
      <c r="G34" s="116">
        <v>0</v>
      </c>
      <c r="H34" s="11"/>
      <c r="I34" s="23"/>
      <c r="J34" s="23"/>
      <c r="K34" s="23"/>
      <c r="L34" s="23"/>
      <c r="M34" s="23"/>
      <c r="N34" s="23"/>
      <c r="O34" s="23"/>
      <c r="P34" s="23"/>
      <c r="Q34" s="23"/>
      <c r="R34" s="23"/>
      <c r="S34" s="23"/>
    </row>
    <row r="35" spans="1:19" x14ac:dyDescent="0.2">
      <c r="A35" s="12" t="s">
        <v>14</v>
      </c>
      <c r="B35" s="116">
        <v>2148.9</v>
      </c>
      <c r="C35" s="116">
        <v>145.80000000000001</v>
      </c>
      <c r="D35" s="116">
        <v>0</v>
      </c>
      <c r="E35" s="116">
        <f t="shared" si="1"/>
        <v>0</v>
      </c>
      <c r="F35" s="116">
        <f t="shared" si="2"/>
        <v>2148.9</v>
      </c>
      <c r="G35" s="116">
        <v>0</v>
      </c>
      <c r="H35" s="28"/>
      <c r="I35" s="23"/>
      <c r="J35" s="23"/>
      <c r="K35" s="23"/>
      <c r="L35" s="23"/>
      <c r="M35" s="23"/>
      <c r="N35" s="23"/>
      <c r="O35" s="23"/>
      <c r="P35" s="23"/>
      <c r="Q35" s="23"/>
      <c r="R35" s="23"/>
      <c r="S35" s="23"/>
    </row>
    <row r="36" spans="1:19" x14ac:dyDescent="0.2">
      <c r="A36" s="12" t="s">
        <v>41</v>
      </c>
      <c r="B36" s="116">
        <v>7603.6</v>
      </c>
      <c r="C36" s="116">
        <v>0</v>
      </c>
      <c r="D36" s="116">
        <v>0</v>
      </c>
      <c r="E36" s="116">
        <f t="shared" si="1"/>
        <v>0</v>
      </c>
      <c r="F36" s="116">
        <f t="shared" si="2"/>
        <v>7603.6</v>
      </c>
      <c r="G36" s="116">
        <v>0</v>
      </c>
      <c r="H36" s="11"/>
      <c r="I36" s="23"/>
      <c r="J36" s="23"/>
      <c r="K36" s="23"/>
      <c r="L36" s="23"/>
      <c r="M36" s="23"/>
      <c r="N36" s="23"/>
      <c r="O36" s="23"/>
      <c r="P36" s="23"/>
      <c r="Q36" s="23"/>
      <c r="R36" s="23"/>
      <c r="S36" s="23"/>
    </row>
    <row r="37" spans="1:19" x14ac:dyDescent="0.2">
      <c r="A37" s="12" t="s">
        <v>96</v>
      </c>
      <c r="B37" s="116">
        <v>1651.6</v>
      </c>
      <c r="C37" s="116">
        <v>0</v>
      </c>
      <c r="D37" s="116">
        <v>0</v>
      </c>
      <c r="E37" s="116">
        <f t="shared" si="1"/>
        <v>0</v>
      </c>
      <c r="F37" s="116">
        <f t="shared" si="2"/>
        <v>1651.6</v>
      </c>
      <c r="G37" s="116">
        <v>0</v>
      </c>
      <c r="H37" s="11"/>
      <c r="I37" s="23"/>
      <c r="J37" s="23"/>
      <c r="K37" s="23"/>
      <c r="L37" s="23"/>
      <c r="M37" s="23"/>
      <c r="N37" s="23"/>
      <c r="O37" s="23"/>
      <c r="P37" s="23"/>
      <c r="Q37" s="23"/>
      <c r="R37" s="23"/>
      <c r="S37" s="23"/>
    </row>
    <row r="38" spans="1:19" x14ac:dyDescent="0.2">
      <c r="A38" s="12" t="s">
        <v>19</v>
      </c>
      <c r="B38" s="116">
        <v>19485.3</v>
      </c>
      <c r="C38" s="116">
        <v>99.3</v>
      </c>
      <c r="D38" s="116">
        <v>64.099999999999994</v>
      </c>
      <c r="E38" s="116">
        <f t="shared" si="1"/>
        <v>64.099999999999994</v>
      </c>
      <c r="F38" s="116">
        <f t="shared" si="2"/>
        <v>19549.399999999998</v>
      </c>
      <c r="G38" s="116">
        <v>0</v>
      </c>
      <c r="H38" s="11"/>
      <c r="I38" s="23"/>
      <c r="J38" s="23"/>
      <c r="K38" s="23"/>
      <c r="L38" s="23"/>
      <c r="M38" s="23"/>
      <c r="N38" s="23"/>
      <c r="O38" s="23"/>
      <c r="P38" s="23"/>
      <c r="Q38" s="23"/>
      <c r="R38" s="23"/>
      <c r="S38" s="23"/>
    </row>
    <row r="39" spans="1:19" x14ac:dyDescent="0.2">
      <c r="A39" s="12" t="s">
        <v>10</v>
      </c>
      <c r="B39" s="116">
        <v>2216.8000000000002</v>
      </c>
      <c r="C39" s="116">
        <v>0.9</v>
      </c>
      <c r="D39" s="116">
        <v>0</v>
      </c>
      <c r="E39" s="116">
        <f t="shared" si="1"/>
        <v>0</v>
      </c>
      <c r="F39" s="116">
        <f t="shared" si="2"/>
        <v>2216.8000000000002</v>
      </c>
      <c r="G39" s="116">
        <v>0</v>
      </c>
      <c r="H39" s="11"/>
      <c r="I39" s="23"/>
      <c r="J39" s="23"/>
      <c r="K39" s="23"/>
      <c r="L39" s="23"/>
      <c r="M39" s="23"/>
      <c r="N39" s="23"/>
      <c r="O39" s="23"/>
      <c r="P39" s="23"/>
      <c r="Q39" s="23"/>
      <c r="R39" s="23"/>
      <c r="S39" s="23"/>
    </row>
    <row r="40" spans="1:19" x14ac:dyDescent="0.2">
      <c r="A40" s="12" t="s">
        <v>9</v>
      </c>
      <c r="B40" s="116">
        <v>8567.7000000000007</v>
      </c>
      <c r="C40" s="116">
        <v>0.5</v>
      </c>
      <c r="D40" s="116">
        <v>14.8</v>
      </c>
      <c r="E40" s="116">
        <f t="shared" si="1"/>
        <v>0.5</v>
      </c>
      <c r="F40" s="116">
        <f t="shared" si="2"/>
        <v>8568.2000000000007</v>
      </c>
      <c r="G40" s="116">
        <v>0</v>
      </c>
      <c r="H40" s="11"/>
      <c r="I40" s="23"/>
      <c r="J40" s="23"/>
      <c r="K40" s="23"/>
      <c r="L40" s="23"/>
      <c r="M40" s="23"/>
      <c r="N40" s="23"/>
      <c r="O40" s="23"/>
      <c r="P40" s="23"/>
      <c r="Q40" s="23"/>
      <c r="R40" s="23"/>
      <c r="S40" s="23"/>
    </row>
    <row r="41" spans="1:19" x14ac:dyDescent="0.2">
      <c r="A41" s="12" t="s">
        <v>20</v>
      </c>
      <c r="B41" s="116">
        <v>928.9</v>
      </c>
      <c r="C41" s="116">
        <v>0</v>
      </c>
      <c r="D41" s="116">
        <v>0</v>
      </c>
      <c r="E41" s="146">
        <f t="shared" si="1"/>
        <v>0</v>
      </c>
      <c r="F41" s="146">
        <f t="shared" si="2"/>
        <v>928.9</v>
      </c>
      <c r="G41" s="116">
        <v>0</v>
      </c>
      <c r="H41" s="11"/>
      <c r="I41" s="23"/>
      <c r="J41" s="23"/>
      <c r="K41" s="23"/>
      <c r="L41" s="23"/>
      <c r="M41" s="23"/>
      <c r="N41" s="23"/>
      <c r="O41" s="23"/>
      <c r="P41" s="23"/>
      <c r="Q41" s="23"/>
      <c r="R41" s="23"/>
      <c r="S41" s="23"/>
    </row>
    <row r="42" spans="1:19" x14ac:dyDescent="0.2">
      <c r="A42" s="12" t="s">
        <v>48</v>
      </c>
      <c r="B42" s="116">
        <v>2414.5</v>
      </c>
      <c r="C42" s="116">
        <v>4.0999999999999996</v>
      </c>
      <c r="D42" s="116">
        <v>0</v>
      </c>
      <c r="E42" s="146">
        <f t="shared" si="1"/>
        <v>0</v>
      </c>
      <c r="F42" s="146">
        <f>B42+E42</f>
        <v>2414.5</v>
      </c>
      <c r="G42" s="116">
        <v>0</v>
      </c>
      <c r="H42" s="11"/>
      <c r="I42" s="23"/>
      <c r="J42" s="23"/>
      <c r="K42" s="23"/>
      <c r="L42" s="23"/>
      <c r="M42" s="23"/>
      <c r="N42" s="23"/>
      <c r="O42" s="23"/>
      <c r="P42" s="23"/>
      <c r="Q42" s="23"/>
      <c r="R42" s="23"/>
      <c r="S42" s="23"/>
    </row>
    <row r="43" spans="1:19" x14ac:dyDescent="0.2">
      <c r="A43" s="295" t="s">
        <v>28</v>
      </c>
      <c r="B43" s="116">
        <v>19895.2</v>
      </c>
      <c r="C43" s="116">
        <v>0.9</v>
      </c>
      <c r="D43" s="116">
        <v>38.200000000000003</v>
      </c>
      <c r="E43" s="146">
        <f t="shared" ref="E43:E44" si="3">MIN(C43:D43)</f>
        <v>0.9</v>
      </c>
      <c r="F43" s="146">
        <f>B43+E43</f>
        <v>19896.100000000002</v>
      </c>
      <c r="G43" s="116">
        <v>0</v>
      </c>
      <c r="H43" s="11"/>
      <c r="I43" s="23"/>
      <c r="J43" s="23"/>
      <c r="K43" s="23"/>
      <c r="L43" s="23"/>
      <c r="M43" s="23"/>
      <c r="N43" s="23"/>
      <c r="O43" s="23"/>
      <c r="P43" s="23"/>
      <c r="Q43" s="23"/>
      <c r="R43" s="23"/>
      <c r="S43" s="23"/>
    </row>
    <row r="44" spans="1:19" x14ac:dyDescent="0.2">
      <c r="A44" s="295" t="s">
        <v>11</v>
      </c>
      <c r="B44" s="116">
        <v>2496.6</v>
      </c>
      <c r="C44" s="116">
        <v>0</v>
      </c>
      <c r="D44" s="116">
        <v>0</v>
      </c>
      <c r="E44" s="146">
        <f t="shared" si="3"/>
        <v>0</v>
      </c>
      <c r="F44" s="146">
        <f>B44+E44</f>
        <v>2496.6</v>
      </c>
      <c r="G44" s="116">
        <v>0</v>
      </c>
      <c r="H44" s="11"/>
      <c r="I44" s="23"/>
      <c r="J44" s="23"/>
      <c r="K44" s="23"/>
      <c r="L44" s="23"/>
      <c r="M44" s="23"/>
      <c r="N44" s="23"/>
      <c r="O44" s="23"/>
      <c r="P44" s="23"/>
      <c r="Q44" s="23"/>
      <c r="R44" s="23"/>
      <c r="S44" s="23"/>
    </row>
    <row r="45" spans="1:19" x14ac:dyDescent="0.2">
      <c r="A45" s="145" t="s">
        <v>149</v>
      </c>
      <c r="B45" s="145"/>
      <c r="C45" s="145"/>
      <c r="D45" s="145"/>
      <c r="E45" s="145"/>
      <c r="F45" s="145"/>
      <c r="G45" s="145"/>
      <c r="H45" s="78"/>
      <c r="I45" s="78"/>
      <c r="J45" s="52"/>
      <c r="K45" s="162"/>
    </row>
    <row r="46" spans="1:19" x14ac:dyDescent="0.2">
      <c r="A46" s="11"/>
      <c r="B46" s="18"/>
      <c r="C46" s="18"/>
      <c r="D46" s="18"/>
      <c r="E46" s="18"/>
      <c r="F46" s="22"/>
      <c r="G46" s="22"/>
      <c r="H46" s="23"/>
      <c r="I46" s="23"/>
      <c r="J46" s="356"/>
      <c r="K46" s="356"/>
    </row>
    <row r="47" spans="1:19" ht="15.75" x14ac:dyDescent="0.25">
      <c r="A47" s="357" t="s">
        <v>49</v>
      </c>
      <c r="B47" s="358"/>
      <c r="C47" s="161" t="s">
        <v>22</v>
      </c>
      <c r="D47" s="161"/>
      <c r="E47" s="161"/>
      <c r="F47" s="150"/>
      <c r="G47" s="163" t="s">
        <v>22</v>
      </c>
      <c r="H47" s="23"/>
      <c r="I47" s="23"/>
      <c r="J47" s="241"/>
      <c r="K47" s="241"/>
    </row>
    <row r="48" spans="1:19" ht="60" customHeight="1" x14ac:dyDescent="0.2">
      <c r="A48" s="115" t="s">
        <v>2</v>
      </c>
      <c r="B48" s="169" t="s">
        <v>129</v>
      </c>
      <c r="C48" s="115" t="s">
        <v>140</v>
      </c>
      <c r="D48" s="115" t="s">
        <v>135</v>
      </c>
      <c r="E48" s="115" t="s">
        <v>141</v>
      </c>
      <c r="F48" s="159"/>
      <c r="G48" s="159"/>
      <c r="H48" s="159"/>
      <c r="I48" s="159"/>
      <c r="J48" s="159"/>
    </row>
    <row r="49" spans="1:11" x14ac:dyDescent="0.2">
      <c r="A49" s="12" t="s">
        <v>42</v>
      </c>
      <c r="B49" s="170">
        <f>B28-B29-B36-B38-B41-B42-B43</f>
        <v>32268.999999999989</v>
      </c>
      <c r="C49" s="26">
        <f>E28-E29-E36-E38-E41-E42-E43</f>
        <v>150.90000000000003</v>
      </c>
      <c r="D49" s="30">
        <f>B49+C49</f>
        <v>32419.899999999991</v>
      </c>
      <c r="E49" s="31">
        <f>D49*D5</f>
        <v>10810091.455999997</v>
      </c>
      <c r="F49" s="34"/>
      <c r="G49" s="19"/>
      <c r="H49" s="19"/>
      <c r="I49" s="19"/>
      <c r="J49" s="19"/>
      <c r="K49" s="277" t="s">
        <v>22</v>
      </c>
    </row>
    <row r="50" spans="1:11" x14ac:dyDescent="0.2">
      <c r="A50" s="12" t="s">
        <v>45</v>
      </c>
      <c r="B50" s="170">
        <f>B29-B30-B31-B40</f>
        <v>12699.499999999996</v>
      </c>
      <c r="C50" s="26">
        <f>E29-E30-E31-E40</f>
        <v>52.2</v>
      </c>
      <c r="D50" s="30">
        <f>B50+C50</f>
        <v>12751.699999999997</v>
      </c>
      <c r="E50" s="31">
        <f t="shared" ref="E50:E65" si="4">D50*D6</f>
        <v>4251926.8479999993</v>
      </c>
      <c r="F50" s="34" t="s">
        <v>22</v>
      </c>
      <c r="G50" s="19"/>
      <c r="H50" s="19"/>
      <c r="I50" s="19"/>
      <c r="J50" s="19"/>
      <c r="K50" s="277" t="s">
        <v>22</v>
      </c>
    </row>
    <row r="51" spans="1:11" x14ac:dyDescent="0.2">
      <c r="A51" s="12" t="s">
        <v>44</v>
      </c>
      <c r="B51" s="170">
        <f>B30-B32-B34-B44</f>
        <v>16250.000000000002</v>
      </c>
      <c r="C51" s="26">
        <f>E30-E32-E34-E44</f>
        <v>0</v>
      </c>
      <c r="D51" s="30">
        <f>B51+C51</f>
        <v>16250.000000000002</v>
      </c>
      <c r="E51" s="31">
        <f t="shared" si="4"/>
        <v>5418400.0000000009</v>
      </c>
      <c r="F51" s="34" t="s">
        <v>22</v>
      </c>
      <c r="G51" s="19"/>
      <c r="H51" s="19"/>
      <c r="I51" s="19"/>
      <c r="J51" s="19"/>
      <c r="K51" s="277" t="s">
        <v>22</v>
      </c>
    </row>
    <row r="52" spans="1:11" x14ac:dyDescent="0.2">
      <c r="A52" s="12" t="s">
        <v>43</v>
      </c>
      <c r="B52" s="170">
        <f>B31-B35-B39</f>
        <v>2116.9000000000005</v>
      </c>
      <c r="C52" s="26">
        <f>E31-E35-E39</f>
        <v>0</v>
      </c>
      <c r="D52" s="30">
        <f t="shared" ref="D52:D65" si="5">B52+C52</f>
        <v>2116.9000000000005</v>
      </c>
      <c r="E52" s="31">
        <f t="shared" si="4"/>
        <v>705859.13600000017</v>
      </c>
      <c r="F52" s="34"/>
      <c r="G52" s="19"/>
      <c r="H52" s="19"/>
      <c r="I52" s="19"/>
      <c r="J52" s="19"/>
      <c r="K52" s="277" t="s">
        <v>22</v>
      </c>
    </row>
    <row r="53" spans="1:11" x14ac:dyDescent="0.2">
      <c r="A53" s="12" t="s">
        <v>35</v>
      </c>
      <c r="B53" s="170">
        <f>B32-B33</f>
        <v>1777.3000000000002</v>
      </c>
      <c r="C53" s="26">
        <f>E32-E33</f>
        <v>0</v>
      </c>
      <c r="D53" s="30">
        <f t="shared" si="5"/>
        <v>1777.3000000000002</v>
      </c>
      <c r="E53" s="31">
        <f t="shared" si="4"/>
        <v>592622.91200000001</v>
      </c>
      <c r="F53" s="34"/>
      <c r="G53" s="19"/>
      <c r="H53" s="19"/>
      <c r="I53" s="19"/>
      <c r="J53" s="19"/>
      <c r="K53" s="277" t="s">
        <v>22</v>
      </c>
    </row>
    <row r="54" spans="1:11" x14ac:dyDescent="0.2">
      <c r="A54" s="12" t="s">
        <v>32</v>
      </c>
      <c r="B54" s="170">
        <f>B33</f>
        <v>2379.6999999999998</v>
      </c>
      <c r="C54" s="26">
        <f>E33</f>
        <v>0</v>
      </c>
      <c r="D54" s="30">
        <f t="shared" si="5"/>
        <v>2379.6999999999998</v>
      </c>
      <c r="E54" s="31">
        <f t="shared" si="4"/>
        <v>793487.16799999995</v>
      </c>
      <c r="F54" s="34"/>
      <c r="G54" s="19"/>
      <c r="H54" s="19"/>
      <c r="I54" s="19"/>
      <c r="J54" s="19"/>
      <c r="K54" s="277" t="s">
        <v>22</v>
      </c>
    </row>
    <row r="55" spans="1:11" x14ac:dyDescent="0.2">
      <c r="A55" s="12" t="s">
        <v>33</v>
      </c>
      <c r="B55" s="170">
        <f>B34</f>
        <v>959.6</v>
      </c>
      <c r="C55" s="26">
        <f>E34</f>
        <v>0</v>
      </c>
      <c r="D55" s="30">
        <f t="shared" si="5"/>
        <v>959.6</v>
      </c>
      <c r="E55" s="31">
        <f t="shared" si="4"/>
        <v>319969.02400000003</v>
      </c>
      <c r="F55" s="19"/>
      <c r="G55" s="19"/>
      <c r="H55" s="19"/>
      <c r="I55" s="19"/>
      <c r="J55" s="19"/>
      <c r="K55" s="277" t="s">
        <v>22</v>
      </c>
    </row>
    <row r="56" spans="1:11" x14ac:dyDescent="0.2">
      <c r="A56" s="12" t="s">
        <v>14</v>
      </c>
      <c r="B56" s="170">
        <f>B35</f>
        <v>2148.9</v>
      </c>
      <c r="C56" s="26">
        <f>E35</f>
        <v>0</v>
      </c>
      <c r="D56" s="30">
        <f t="shared" si="5"/>
        <v>2148.9</v>
      </c>
      <c r="E56" s="31">
        <f t="shared" si="4"/>
        <v>716529.21600000001</v>
      </c>
      <c r="F56" s="34"/>
      <c r="G56" s="19"/>
      <c r="H56" s="19"/>
      <c r="I56" s="19"/>
      <c r="J56" s="19"/>
      <c r="K56" s="277" t="s">
        <v>22</v>
      </c>
    </row>
    <row r="57" spans="1:11" x14ac:dyDescent="0.2">
      <c r="A57" s="12" t="s">
        <v>97</v>
      </c>
      <c r="B57" s="170">
        <f>B36-B37</f>
        <v>5952</v>
      </c>
      <c r="C57" s="26">
        <f>E36-E37</f>
        <v>0</v>
      </c>
      <c r="D57" s="30">
        <f t="shared" si="5"/>
        <v>5952</v>
      </c>
      <c r="E57" s="31">
        <f t="shared" si="4"/>
        <v>1984634.8799999999</v>
      </c>
      <c r="F57" s="34"/>
      <c r="G57" s="19"/>
      <c r="H57" s="19"/>
      <c r="I57" s="19"/>
      <c r="J57" s="19"/>
      <c r="K57" s="277" t="s">
        <v>22</v>
      </c>
    </row>
    <row r="58" spans="1:11" x14ac:dyDescent="0.2">
      <c r="A58" s="12" t="s">
        <v>96</v>
      </c>
      <c r="B58" s="170">
        <f t="shared" ref="B58:B65" si="6">B37</f>
        <v>1651.6</v>
      </c>
      <c r="C58" s="26">
        <f t="shared" ref="C58:C65" si="7">E37</f>
        <v>0</v>
      </c>
      <c r="D58" s="30">
        <f t="shared" si="5"/>
        <v>1651.6</v>
      </c>
      <c r="E58" s="31">
        <f t="shared" si="4"/>
        <v>550709.50399999996</v>
      </c>
      <c r="F58" s="34"/>
      <c r="G58" s="19" t="s">
        <v>22</v>
      </c>
      <c r="H58" s="19"/>
      <c r="I58" s="19"/>
      <c r="J58" s="19"/>
      <c r="K58" s="277" t="s">
        <v>22</v>
      </c>
    </row>
    <row r="59" spans="1:11" x14ac:dyDescent="0.2">
      <c r="A59" s="12" t="s">
        <v>19</v>
      </c>
      <c r="B59" s="170">
        <f t="shared" si="6"/>
        <v>19485.3</v>
      </c>
      <c r="C59" s="26">
        <f>E38</f>
        <v>64.099999999999994</v>
      </c>
      <c r="D59" s="30">
        <f>B59+C59</f>
        <v>19549.399999999998</v>
      </c>
      <c r="E59" s="31">
        <f t="shared" si="4"/>
        <v>6518551.9359999988</v>
      </c>
      <c r="F59" s="34"/>
      <c r="G59" s="19"/>
      <c r="H59" s="19"/>
      <c r="I59" s="19"/>
      <c r="J59" s="19"/>
      <c r="K59" s="277" t="s">
        <v>22</v>
      </c>
    </row>
    <row r="60" spans="1:11" x14ac:dyDescent="0.2">
      <c r="A60" s="12" t="s">
        <v>10</v>
      </c>
      <c r="B60" s="170">
        <f t="shared" si="6"/>
        <v>2216.8000000000002</v>
      </c>
      <c r="C60" s="26">
        <f t="shared" si="7"/>
        <v>0</v>
      </c>
      <c r="D60" s="30">
        <f t="shared" si="5"/>
        <v>2216.8000000000002</v>
      </c>
      <c r="E60" s="31">
        <f t="shared" si="4"/>
        <v>739169.79200000002</v>
      </c>
      <c r="F60" s="34"/>
      <c r="G60" s="19"/>
      <c r="H60" s="19"/>
      <c r="I60" s="19"/>
      <c r="J60" s="19"/>
      <c r="K60" s="277" t="s">
        <v>22</v>
      </c>
    </row>
    <row r="61" spans="1:11" x14ac:dyDescent="0.2">
      <c r="A61" s="12" t="s">
        <v>9</v>
      </c>
      <c r="B61" s="170">
        <f t="shared" si="6"/>
        <v>8567.7000000000007</v>
      </c>
      <c r="C61" s="26">
        <f t="shared" si="7"/>
        <v>0.5</v>
      </c>
      <c r="D61" s="30">
        <f t="shared" si="5"/>
        <v>8568.2000000000007</v>
      </c>
      <c r="E61" s="31">
        <f t="shared" si="4"/>
        <v>2856980.608</v>
      </c>
      <c r="F61" s="34"/>
      <c r="G61" s="19"/>
      <c r="H61" s="19"/>
      <c r="I61" s="19"/>
      <c r="J61" s="19"/>
      <c r="K61" s="277" t="s">
        <v>22</v>
      </c>
    </row>
    <row r="62" spans="1:11" x14ac:dyDescent="0.2">
      <c r="A62" s="12" t="s">
        <v>20</v>
      </c>
      <c r="B62" s="170">
        <f t="shared" si="6"/>
        <v>928.9</v>
      </c>
      <c r="C62" s="26">
        <f t="shared" si="7"/>
        <v>0</v>
      </c>
      <c r="D62" s="30">
        <f t="shared" si="5"/>
        <v>928.9</v>
      </c>
      <c r="E62" s="31">
        <f t="shared" si="4"/>
        <v>309732.41599999997</v>
      </c>
      <c r="F62" s="34"/>
      <c r="G62" s="19"/>
      <c r="H62" s="19"/>
      <c r="I62" s="19"/>
      <c r="J62" s="19"/>
      <c r="K62" s="277" t="s">
        <v>22</v>
      </c>
    </row>
    <row r="63" spans="1:11" x14ac:dyDescent="0.2">
      <c r="A63" s="12" t="s">
        <v>48</v>
      </c>
      <c r="B63" s="170">
        <f t="shared" si="6"/>
        <v>2414.5</v>
      </c>
      <c r="C63" s="26">
        <f t="shared" si="7"/>
        <v>0</v>
      </c>
      <c r="D63" s="30">
        <f t="shared" si="5"/>
        <v>2414.5</v>
      </c>
      <c r="E63" s="31">
        <f>D63*D19</f>
        <v>805090.88</v>
      </c>
      <c r="F63" s="34"/>
      <c r="G63" s="19"/>
      <c r="H63" s="19"/>
      <c r="I63" s="19"/>
      <c r="J63" s="19"/>
      <c r="K63" s="277" t="s">
        <v>22</v>
      </c>
    </row>
    <row r="64" spans="1:11" x14ac:dyDescent="0.2">
      <c r="A64" s="12" t="s">
        <v>28</v>
      </c>
      <c r="B64" s="170">
        <f t="shared" si="6"/>
        <v>19895.2</v>
      </c>
      <c r="C64" s="26">
        <f t="shared" si="7"/>
        <v>0.9</v>
      </c>
      <c r="D64" s="30">
        <f t="shared" si="5"/>
        <v>19896.100000000002</v>
      </c>
      <c r="E64" s="31">
        <f t="shared" si="4"/>
        <v>6634155.5840000007</v>
      </c>
      <c r="F64" s="34"/>
      <c r="G64" s="19"/>
      <c r="H64" s="19"/>
      <c r="I64" s="19"/>
      <c r="J64" s="19"/>
      <c r="K64" s="277"/>
    </row>
    <row r="65" spans="1:13" x14ac:dyDescent="0.2">
      <c r="A65" s="12" t="s">
        <v>11</v>
      </c>
      <c r="B65" s="170">
        <f t="shared" si="6"/>
        <v>2496.6</v>
      </c>
      <c r="C65" s="26">
        <f t="shared" si="7"/>
        <v>0</v>
      </c>
      <c r="D65" s="30">
        <f t="shared" si="5"/>
        <v>2496.6</v>
      </c>
      <c r="E65" s="31">
        <f t="shared" si="4"/>
        <v>832466.304</v>
      </c>
      <c r="F65" s="152"/>
      <c r="G65" s="23" t="s">
        <v>22</v>
      </c>
      <c r="H65" s="23"/>
      <c r="I65" s="23"/>
      <c r="J65" s="164"/>
      <c r="K65" s="277" t="s">
        <v>22</v>
      </c>
      <c r="L65" s="277" t="s">
        <v>22</v>
      </c>
    </row>
    <row r="66" spans="1:13" x14ac:dyDescent="0.2">
      <c r="A66" s="118" t="s">
        <v>46</v>
      </c>
      <c r="B66" s="171">
        <f>SUM(B49:B65)</f>
        <v>134209.5</v>
      </c>
      <c r="C66" s="33">
        <f>SUM(C49:C65)</f>
        <v>268.60000000000002</v>
      </c>
      <c r="D66" s="33">
        <f>SUM(D49:D65)</f>
        <v>134478.1</v>
      </c>
      <c r="E66" s="25">
        <f>SUM(E49:E65)</f>
        <v>44840377.663999997</v>
      </c>
      <c r="F66" s="152"/>
      <c r="G66" s="152"/>
      <c r="H66" s="23"/>
      <c r="I66" s="23"/>
      <c r="J66" s="23"/>
      <c r="K66" s="23"/>
      <c r="L66" s="23"/>
      <c r="M66" s="23"/>
    </row>
    <row r="67" spans="1:13" x14ac:dyDescent="0.2">
      <c r="A67" s="151"/>
      <c r="B67" s="152"/>
      <c r="C67" s="152"/>
      <c r="D67" s="152" t="s">
        <v>22</v>
      </c>
      <c r="E67" s="152"/>
      <c r="F67" s="20" t="s">
        <v>22</v>
      </c>
      <c r="G67" s="19"/>
      <c r="H67" s="34"/>
    </row>
    <row r="68" spans="1:13" x14ac:dyDescent="0.2">
      <c r="A68" s="11"/>
      <c r="B68" s="34"/>
      <c r="C68" s="34"/>
      <c r="D68" s="356"/>
      <c r="E68" s="356"/>
      <c r="F68" s="19"/>
    </row>
    <row r="69" spans="1:13" ht="60" customHeight="1" x14ac:dyDescent="0.25">
      <c r="A69" s="359" t="s">
        <v>104</v>
      </c>
      <c r="B69" s="360"/>
      <c r="C69" s="18"/>
      <c r="D69" s="241"/>
      <c r="E69" s="241" t="s">
        <v>22</v>
      </c>
      <c r="G69" s="340"/>
      <c r="H69" s="339" t="s">
        <v>22</v>
      </c>
    </row>
    <row r="70" spans="1:13" ht="51" x14ac:dyDescent="0.2">
      <c r="A70" s="115" t="s">
        <v>2</v>
      </c>
      <c r="B70" s="115" t="s">
        <v>130</v>
      </c>
      <c r="C70" s="129" t="s">
        <v>131</v>
      </c>
      <c r="D70" s="129" t="s">
        <v>132</v>
      </c>
      <c r="E70" s="129" t="s">
        <v>133</v>
      </c>
      <c r="F70" s="130" t="s">
        <v>108</v>
      </c>
      <c r="G70" s="115" t="s">
        <v>136</v>
      </c>
      <c r="H70" s="9" t="s">
        <v>22</v>
      </c>
    </row>
    <row r="71" spans="1:13" x14ac:dyDescent="0.2">
      <c r="A71" s="12" t="s">
        <v>42</v>
      </c>
      <c r="B71" s="26">
        <f>G28-G29-G36-G38-G41-G42-G43</f>
        <v>0</v>
      </c>
      <c r="C71" s="17">
        <f t="shared" ref="C71:C87" si="8">B71*D5</f>
        <v>0</v>
      </c>
      <c r="D71" s="17">
        <v>0</v>
      </c>
      <c r="E71" s="17">
        <v>0</v>
      </c>
      <c r="F71" s="17">
        <v>0</v>
      </c>
      <c r="G71" s="31">
        <v>0</v>
      </c>
    </row>
    <row r="72" spans="1:13" x14ac:dyDescent="0.2">
      <c r="A72" s="12" t="s">
        <v>45</v>
      </c>
      <c r="B72" s="26">
        <f>G29-G30-G31-G40</f>
        <v>0</v>
      </c>
      <c r="C72" s="17">
        <f t="shared" si="8"/>
        <v>0</v>
      </c>
      <c r="D72" s="17">
        <v>0</v>
      </c>
      <c r="E72" s="17">
        <v>0</v>
      </c>
      <c r="F72" s="17">
        <v>0</v>
      </c>
      <c r="G72" s="31">
        <v>0</v>
      </c>
    </row>
    <row r="73" spans="1:13" x14ac:dyDescent="0.2">
      <c r="A73" s="12" t="s">
        <v>44</v>
      </c>
      <c r="B73" s="26">
        <f>G30-G32-G34</f>
        <v>0</v>
      </c>
      <c r="C73" s="17">
        <f t="shared" si="8"/>
        <v>0</v>
      </c>
      <c r="D73" s="17">
        <v>0</v>
      </c>
      <c r="E73" s="17">
        <v>0</v>
      </c>
      <c r="F73" s="17">
        <v>0</v>
      </c>
      <c r="G73" s="31">
        <v>0</v>
      </c>
    </row>
    <row r="74" spans="1:13" x14ac:dyDescent="0.2">
      <c r="A74" s="12" t="s">
        <v>43</v>
      </c>
      <c r="B74" s="26">
        <f>G31-G35-G39</f>
        <v>0</v>
      </c>
      <c r="C74" s="17">
        <f t="shared" si="8"/>
        <v>0</v>
      </c>
      <c r="D74" s="17">
        <v>0</v>
      </c>
      <c r="E74" s="17">
        <v>0</v>
      </c>
      <c r="F74" s="17">
        <v>0</v>
      </c>
      <c r="G74" s="31">
        <v>0</v>
      </c>
    </row>
    <row r="75" spans="1:13" x14ac:dyDescent="0.2">
      <c r="A75" s="12" t="s">
        <v>35</v>
      </c>
      <c r="B75" s="26">
        <f>G32-G33</f>
        <v>0</v>
      </c>
      <c r="C75" s="17">
        <f t="shared" si="8"/>
        <v>0</v>
      </c>
      <c r="D75" s="17">
        <v>0</v>
      </c>
      <c r="E75" s="17">
        <v>0</v>
      </c>
      <c r="F75" s="17">
        <v>0</v>
      </c>
      <c r="G75" s="31">
        <v>0</v>
      </c>
    </row>
    <row r="76" spans="1:13" x14ac:dyDescent="0.2">
      <c r="A76" s="12" t="s">
        <v>32</v>
      </c>
      <c r="B76" s="26">
        <f>G33</f>
        <v>0</v>
      </c>
      <c r="C76" s="17">
        <f t="shared" si="8"/>
        <v>0</v>
      </c>
      <c r="D76" s="17">
        <v>0</v>
      </c>
      <c r="E76" s="17">
        <v>0</v>
      </c>
      <c r="F76" s="17">
        <v>0</v>
      </c>
      <c r="G76" s="31">
        <v>0</v>
      </c>
    </row>
    <row r="77" spans="1:13" x14ac:dyDescent="0.2">
      <c r="A77" s="12" t="s">
        <v>33</v>
      </c>
      <c r="B77" s="26">
        <f>G34</f>
        <v>0</v>
      </c>
      <c r="C77" s="17">
        <f t="shared" si="8"/>
        <v>0</v>
      </c>
      <c r="D77" s="17">
        <v>0</v>
      </c>
      <c r="E77" s="17">
        <v>0</v>
      </c>
      <c r="F77" s="17">
        <v>0</v>
      </c>
      <c r="G77" s="31">
        <v>0</v>
      </c>
    </row>
    <row r="78" spans="1:13" x14ac:dyDescent="0.2">
      <c r="A78" s="12" t="s">
        <v>14</v>
      </c>
      <c r="B78" s="26">
        <f>G35</f>
        <v>0</v>
      </c>
      <c r="C78" s="17">
        <f t="shared" si="8"/>
        <v>0</v>
      </c>
      <c r="D78" s="17">
        <v>0</v>
      </c>
      <c r="E78" s="17">
        <v>0</v>
      </c>
      <c r="F78" s="17">
        <v>0</v>
      </c>
      <c r="G78" s="31">
        <v>0</v>
      </c>
    </row>
    <row r="79" spans="1:13" x14ac:dyDescent="0.2">
      <c r="A79" s="12" t="s">
        <v>97</v>
      </c>
      <c r="B79" s="26">
        <f>G36-G37</f>
        <v>0</v>
      </c>
      <c r="C79" s="17">
        <f t="shared" si="8"/>
        <v>0</v>
      </c>
      <c r="D79" s="17">
        <v>0</v>
      </c>
      <c r="E79" s="17">
        <v>0</v>
      </c>
      <c r="F79" s="17">
        <v>0</v>
      </c>
      <c r="G79" s="31">
        <v>0</v>
      </c>
    </row>
    <row r="80" spans="1:13" x14ac:dyDescent="0.2">
      <c r="A80" s="12" t="s">
        <v>96</v>
      </c>
      <c r="B80" s="26">
        <f t="shared" ref="B80:B87" si="9">G37</f>
        <v>0</v>
      </c>
      <c r="C80" s="17">
        <f t="shared" si="8"/>
        <v>0</v>
      </c>
      <c r="D80" s="17">
        <v>0</v>
      </c>
      <c r="E80" s="17">
        <v>0</v>
      </c>
      <c r="F80" s="17">
        <v>0</v>
      </c>
      <c r="G80" s="31">
        <v>0</v>
      </c>
    </row>
    <row r="81" spans="1:10" x14ac:dyDescent="0.2">
      <c r="A81" s="12" t="s">
        <v>19</v>
      </c>
      <c r="B81" s="26">
        <f t="shared" si="9"/>
        <v>0</v>
      </c>
      <c r="C81" s="17">
        <f t="shared" si="8"/>
        <v>0</v>
      </c>
      <c r="D81" s="17">
        <v>0</v>
      </c>
      <c r="E81" s="17">
        <v>0</v>
      </c>
      <c r="F81" s="17">
        <v>0</v>
      </c>
      <c r="G81" s="31">
        <v>0</v>
      </c>
    </row>
    <row r="82" spans="1:10" x14ac:dyDescent="0.2">
      <c r="A82" s="12" t="s">
        <v>10</v>
      </c>
      <c r="B82" s="26">
        <f t="shared" si="9"/>
        <v>0</v>
      </c>
      <c r="C82" s="17">
        <f t="shared" si="8"/>
        <v>0</v>
      </c>
      <c r="D82" s="17">
        <v>0</v>
      </c>
      <c r="E82" s="17">
        <v>0</v>
      </c>
      <c r="F82" s="17">
        <v>0</v>
      </c>
      <c r="G82" s="31">
        <v>0</v>
      </c>
    </row>
    <row r="83" spans="1:10" x14ac:dyDescent="0.2">
      <c r="A83" s="12" t="s">
        <v>9</v>
      </c>
      <c r="B83" s="26">
        <f t="shared" si="9"/>
        <v>0</v>
      </c>
      <c r="C83" s="17">
        <f t="shared" si="8"/>
        <v>0</v>
      </c>
      <c r="D83" s="17">
        <v>0</v>
      </c>
      <c r="E83" s="17">
        <v>0</v>
      </c>
      <c r="F83" s="17">
        <v>0</v>
      </c>
      <c r="G83" s="31">
        <v>0</v>
      </c>
    </row>
    <row r="84" spans="1:10" x14ac:dyDescent="0.2">
      <c r="A84" s="12" t="s">
        <v>20</v>
      </c>
      <c r="B84" s="26">
        <f t="shared" si="9"/>
        <v>0</v>
      </c>
      <c r="C84" s="17">
        <f t="shared" si="8"/>
        <v>0</v>
      </c>
      <c r="D84" s="17">
        <v>0</v>
      </c>
      <c r="E84" s="17">
        <v>0</v>
      </c>
      <c r="F84" s="17">
        <v>0</v>
      </c>
      <c r="G84" s="31">
        <v>0</v>
      </c>
    </row>
    <row r="85" spans="1:10" x14ac:dyDescent="0.2">
      <c r="A85" s="12" t="s">
        <v>48</v>
      </c>
      <c r="B85" s="26">
        <f t="shared" si="9"/>
        <v>0</v>
      </c>
      <c r="C85" s="17">
        <f t="shared" si="8"/>
        <v>0</v>
      </c>
      <c r="D85" s="17">
        <v>0</v>
      </c>
      <c r="E85" s="17">
        <v>0</v>
      </c>
      <c r="F85" s="17">
        <v>0</v>
      </c>
      <c r="G85" s="31">
        <v>0</v>
      </c>
    </row>
    <row r="86" spans="1:10" x14ac:dyDescent="0.2">
      <c r="A86" s="12" t="s">
        <v>28</v>
      </c>
      <c r="B86" s="26">
        <f t="shared" si="9"/>
        <v>0</v>
      </c>
      <c r="C86" s="17">
        <f t="shared" si="8"/>
        <v>0</v>
      </c>
      <c r="D86" s="17">
        <v>0</v>
      </c>
      <c r="E86" s="17">
        <v>0</v>
      </c>
      <c r="F86" s="17">
        <v>0</v>
      </c>
      <c r="G86" s="31">
        <v>0</v>
      </c>
      <c r="H86" s="277" t="s">
        <v>22</v>
      </c>
    </row>
    <row r="87" spans="1:10" x14ac:dyDescent="0.2">
      <c r="A87" s="12" t="s">
        <v>11</v>
      </c>
      <c r="B87" s="26">
        <f t="shared" si="9"/>
        <v>0</v>
      </c>
      <c r="C87" s="17">
        <f t="shared" si="8"/>
        <v>0</v>
      </c>
      <c r="D87" s="17">
        <v>0</v>
      </c>
      <c r="E87" s="17">
        <v>0</v>
      </c>
      <c r="F87" s="308">
        <v>0</v>
      </c>
      <c r="G87" s="31">
        <v>0</v>
      </c>
      <c r="H87" s="277"/>
    </row>
    <row r="88" spans="1:10" x14ac:dyDescent="0.2">
      <c r="A88" s="118" t="s">
        <v>46</v>
      </c>
      <c r="B88" s="33">
        <f>SUM(B71:B87)</f>
        <v>0</v>
      </c>
      <c r="C88" s="25">
        <f>SUM(C71:C86)</f>
        <v>0</v>
      </c>
      <c r="D88" s="25">
        <f>SUM(D71:D87)</f>
        <v>0</v>
      </c>
      <c r="E88" s="25">
        <f>SUM(E71:E87)</f>
        <v>0</v>
      </c>
      <c r="F88" s="25">
        <f>SUM(F71:F87)</f>
        <v>0</v>
      </c>
      <c r="G88" s="25">
        <f>SUM(G71:G87)</f>
        <v>0</v>
      </c>
      <c r="H88" s="18"/>
      <c r="I88" s="19"/>
      <c r="J88" s="34"/>
    </row>
    <row r="89" spans="1:10" x14ac:dyDescent="0.2">
      <c r="A89" s="11"/>
      <c r="B89" s="34"/>
      <c r="C89" s="34"/>
      <c r="D89" s="34"/>
      <c r="E89" s="36"/>
      <c r="F89" s="11"/>
      <c r="G89" s="11"/>
      <c r="H89" s="11"/>
      <c r="I89" s="11"/>
      <c r="J89" s="11"/>
    </row>
    <row r="90" spans="1:10" ht="80.099999999999994" customHeight="1" x14ac:dyDescent="0.25">
      <c r="A90" s="352" t="s">
        <v>105</v>
      </c>
      <c r="B90" s="352"/>
      <c r="C90" s="352"/>
      <c r="D90" s="352"/>
      <c r="E90" s="11"/>
      <c r="F90" s="11"/>
      <c r="G90" s="11"/>
      <c r="H90" s="11"/>
      <c r="I90" s="11"/>
      <c r="J90" s="11"/>
    </row>
    <row r="91" spans="1:10" ht="38.25" x14ac:dyDescent="0.2">
      <c r="A91" s="14" t="s">
        <v>56</v>
      </c>
      <c r="B91" s="14" t="s">
        <v>106</v>
      </c>
      <c r="C91" s="14" t="s">
        <v>150</v>
      </c>
      <c r="D91" s="14" t="s">
        <v>57</v>
      </c>
      <c r="E91" s="11"/>
      <c r="F91" s="11"/>
      <c r="G91" s="11"/>
      <c r="H91" s="11"/>
      <c r="I91" s="11"/>
      <c r="J91" s="11"/>
    </row>
    <row r="92" spans="1:10" x14ac:dyDescent="0.2">
      <c r="A92" s="12" t="s">
        <v>26</v>
      </c>
      <c r="B92" s="12">
        <v>0</v>
      </c>
      <c r="C92" s="31">
        <f t="shared" ref="C92:C107" si="10">C6</f>
        <v>0</v>
      </c>
      <c r="D92" s="31">
        <f t="shared" ref="D92:D107" si="11">B92*C92</f>
        <v>0</v>
      </c>
      <c r="E92" s="11"/>
      <c r="F92" s="11"/>
      <c r="G92" s="11"/>
      <c r="H92" s="11"/>
      <c r="I92" s="11"/>
      <c r="J92" s="11"/>
    </row>
    <row r="93" spans="1:10" x14ac:dyDescent="0.2">
      <c r="A93" s="12" t="s">
        <v>31</v>
      </c>
      <c r="B93" s="12">
        <v>0</v>
      </c>
      <c r="C93" s="31">
        <f t="shared" si="10"/>
        <v>0</v>
      </c>
      <c r="D93" s="31">
        <f t="shared" si="11"/>
        <v>0</v>
      </c>
      <c r="E93" s="11"/>
      <c r="F93" s="11"/>
      <c r="G93" s="11"/>
      <c r="H93" s="11"/>
      <c r="I93" s="11"/>
      <c r="J93" s="11"/>
    </row>
    <row r="94" spans="1:10" x14ac:dyDescent="0.2">
      <c r="A94" s="12" t="s">
        <v>4</v>
      </c>
      <c r="B94" s="12">
        <v>0</v>
      </c>
      <c r="C94" s="31">
        <f t="shared" si="10"/>
        <v>0</v>
      </c>
      <c r="D94" s="31">
        <f t="shared" si="11"/>
        <v>0</v>
      </c>
      <c r="E94" s="11"/>
      <c r="F94" s="11" t="s">
        <v>22</v>
      </c>
      <c r="G94" s="11"/>
      <c r="H94" s="11"/>
      <c r="I94" s="11"/>
      <c r="J94" s="11"/>
    </row>
    <row r="95" spans="1:10" x14ac:dyDescent="0.2">
      <c r="A95" s="12" t="s">
        <v>7</v>
      </c>
      <c r="B95" s="12">
        <v>0</v>
      </c>
      <c r="C95" s="31">
        <f t="shared" si="10"/>
        <v>0</v>
      </c>
      <c r="D95" s="31">
        <f t="shared" si="11"/>
        <v>0</v>
      </c>
      <c r="E95" s="11"/>
      <c r="F95" s="11"/>
      <c r="G95" s="11"/>
      <c r="H95" s="11"/>
      <c r="I95" s="11"/>
      <c r="J95" s="11"/>
    </row>
    <row r="96" spans="1:10" x14ac:dyDescent="0.2">
      <c r="A96" s="12" t="s">
        <v>32</v>
      </c>
      <c r="B96" s="12">
        <v>0</v>
      </c>
      <c r="C96" s="31">
        <f t="shared" si="10"/>
        <v>0</v>
      </c>
      <c r="D96" s="31">
        <f t="shared" si="11"/>
        <v>0</v>
      </c>
      <c r="E96" s="11"/>
      <c r="F96" s="11"/>
      <c r="G96" s="11"/>
      <c r="H96" s="11"/>
      <c r="I96" s="11"/>
      <c r="J96" s="11"/>
    </row>
    <row r="97" spans="1:10" x14ac:dyDescent="0.2">
      <c r="A97" s="12" t="s">
        <v>33</v>
      </c>
      <c r="B97" s="12">
        <v>0</v>
      </c>
      <c r="C97" s="31">
        <f t="shared" si="10"/>
        <v>0</v>
      </c>
      <c r="D97" s="31">
        <f t="shared" si="11"/>
        <v>0</v>
      </c>
      <c r="E97" s="11"/>
      <c r="F97" s="11"/>
      <c r="G97" s="11"/>
      <c r="H97" s="11"/>
      <c r="I97" s="11"/>
      <c r="J97" s="11"/>
    </row>
    <row r="98" spans="1:10" x14ac:dyDescent="0.2">
      <c r="A98" s="12" t="s">
        <v>14</v>
      </c>
      <c r="B98" s="12">
        <v>0</v>
      </c>
      <c r="C98" s="31">
        <f t="shared" si="10"/>
        <v>0</v>
      </c>
      <c r="D98" s="31">
        <f t="shared" si="11"/>
        <v>0</v>
      </c>
      <c r="E98" s="11"/>
      <c r="F98" s="11"/>
      <c r="G98" s="11"/>
      <c r="H98" s="11"/>
      <c r="I98" s="11"/>
      <c r="J98" s="11"/>
    </row>
    <row r="99" spans="1:10" x14ac:dyDescent="0.2">
      <c r="A99" s="12" t="s">
        <v>41</v>
      </c>
      <c r="B99" s="12">
        <v>0</v>
      </c>
      <c r="C99" s="31">
        <f t="shared" si="10"/>
        <v>0</v>
      </c>
      <c r="D99" s="31">
        <f t="shared" si="11"/>
        <v>0</v>
      </c>
      <c r="E99" s="11"/>
      <c r="F99" s="11"/>
      <c r="G99" s="11"/>
      <c r="H99" s="11"/>
      <c r="I99" s="11"/>
      <c r="J99" s="11"/>
    </row>
    <row r="100" spans="1:10" x14ac:dyDescent="0.2">
      <c r="A100" s="12" t="s">
        <v>96</v>
      </c>
      <c r="B100" s="12">
        <v>0</v>
      </c>
      <c r="C100" s="31">
        <f t="shared" si="10"/>
        <v>0</v>
      </c>
      <c r="D100" s="31">
        <f t="shared" si="11"/>
        <v>0</v>
      </c>
      <c r="E100" s="11"/>
      <c r="F100" s="11"/>
      <c r="G100" s="11"/>
      <c r="H100" s="11"/>
      <c r="I100" s="11"/>
      <c r="J100" s="11"/>
    </row>
    <row r="101" spans="1:10" x14ac:dyDescent="0.2">
      <c r="A101" s="12" t="s">
        <v>19</v>
      </c>
      <c r="B101" s="12">
        <v>0</v>
      </c>
      <c r="C101" s="31">
        <f t="shared" si="10"/>
        <v>0</v>
      </c>
      <c r="D101" s="31">
        <f t="shared" si="11"/>
        <v>0</v>
      </c>
      <c r="E101" s="11"/>
      <c r="F101" s="11"/>
      <c r="G101" s="11"/>
      <c r="H101" s="11"/>
      <c r="I101" s="11"/>
      <c r="J101" s="11"/>
    </row>
    <row r="102" spans="1:10" x14ac:dyDescent="0.2">
      <c r="A102" s="12" t="s">
        <v>10</v>
      </c>
      <c r="B102" s="12">
        <v>0</v>
      </c>
      <c r="C102" s="31">
        <f t="shared" si="10"/>
        <v>0</v>
      </c>
      <c r="D102" s="31">
        <f t="shared" si="11"/>
        <v>0</v>
      </c>
      <c r="E102" s="11"/>
      <c r="F102" s="11"/>
      <c r="G102" s="11"/>
      <c r="H102" s="11"/>
      <c r="I102" s="11"/>
      <c r="J102" s="11"/>
    </row>
    <row r="103" spans="1:10" x14ac:dyDescent="0.2">
      <c r="A103" s="12" t="s">
        <v>9</v>
      </c>
      <c r="B103" s="12">
        <v>0</v>
      </c>
      <c r="C103" s="31">
        <f t="shared" si="10"/>
        <v>0</v>
      </c>
      <c r="D103" s="31">
        <f t="shared" si="11"/>
        <v>0</v>
      </c>
      <c r="E103" s="11"/>
      <c r="F103" s="11"/>
      <c r="G103" s="11"/>
      <c r="H103" s="11"/>
      <c r="I103" s="11"/>
      <c r="J103" s="11"/>
    </row>
    <row r="104" spans="1:10" x14ac:dyDescent="0.2">
      <c r="A104" s="147" t="s">
        <v>20</v>
      </c>
      <c r="B104" s="12">
        <v>0</v>
      </c>
      <c r="C104" s="31">
        <f t="shared" si="10"/>
        <v>0</v>
      </c>
      <c r="D104" s="31">
        <f t="shared" si="11"/>
        <v>0</v>
      </c>
      <c r="E104" s="11"/>
      <c r="F104" s="11"/>
      <c r="G104" s="11"/>
      <c r="H104" s="11"/>
      <c r="I104" s="11"/>
      <c r="J104" s="11"/>
    </row>
    <row r="105" spans="1:10" x14ac:dyDescent="0.2">
      <c r="A105" s="147" t="s">
        <v>48</v>
      </c>
      <c r="B105" s="12">
        <v>0</v>
      </c>
      <c r="C105" s="31">
        <f t="shared" si="10"/>
        <v>0</v>
      </c>
      <c r="D105" s="31">
        <f t="shared" si="11"/>
        <v>0</v>
      </c>
      <c r="E105" s="11"/>
      <c r="F105" s="11"/>
      <c r="G105" s="11"/>
      <c r="H105" s="11"/>
      <c r="I105" s="11"/>
      <c r="J105" s="11"/>
    </row>
    <row r="106" spans="1:10" x14ac:dyDescent="0.2">
      <c r="A106" s="147" t="s">
        <v>28</v>
      </c>
      <c r="B106" s="12">
        <v>0</v>
      </c>
      <c r="C106" s="31">
        <f t="shared" si="10"/>
        <v>0</v>
      </c>
      <c r="D106" s="31">
        <f t="shared" si="11"/>
        <v>0</v>
      </c>
      <c r="E106" s="11"/>
      <c r="F106" s="11"/>
      <c r="G106" s="11"/>
      <c r="H106" s="11"/>
      <c r="I106" s="11"/>
      <c r="J106" s="11"/>
    </row>
    <row r="107" spans="1:10" x14ac:dyDescent="0.2">
      <c r="A107" s="147" t="s">
        <v>11</v>
      </c>
      <c r="B107" s="12">
        <v>0</v>
      </c>
      <c r="C107" s="31">
        <f t="shared" si="10"/>
        <v>0</v>
      </c>
      <c r="D107" s="31">
        <f t="shared" si="11"/>
        <v>0</v>
      </c>
      <c r="E107" s="11"/>
      <c r="F107" s="11"/>
      <c r="G107" s="11"/>
      <c r="H107" s="11"/>
      <c r="I107" s="11"/>
      <c r="J107" s="11"/>
    </row>
    <row r="108" spans="1:10" x14ac:dyDescent="0.2">
      <c r="A108" s="118" t="s">
        <v>46</v>
      </c>
      <c r="B108" s="12" t="s">
        <v>22</v>
      </c>
      <c r="C108" s="12"/>
      <c r="D108" s="43">
        <f>SUM(D92:D106)</f>
        <v>0</v>
      </c>
      <c r="E108" s="11"/>
      <c r="F108" s="11"/>
      <c r="G108" s="11"/>
      <c r="H108" s="11"/>
      <c r="I108" s="11"/>
      <c r="J108" s="11"/>
    </row>
    <row r="109" spans="1:10" x14ac:dyDescent="0.2">
      <c r="A109" s="11" t="s">
        <v>151</v>
      </c>
      <c r="B109" s="11"/>
      <c r="C109" s="11"/>
      <c r="D109" s="11"/>
      <c r="E109" s="11"/>
      <c r="F109" s="11"/>
      <c r="G109" s="11"/>
      <c r="H109" s="11"/>
      <c r="I109" s="11"/>
      <c r="J109" s="11"/>
    </row>
    <row r="110" spans="1:10" x14ac:dyDescent="0.2">
      <c r="A110" s="11"/>
      <c r="B110" s="11" t="s">
        <v>22</v>
      </c>
      <c r="C110" s="11"/>
      <c r="D110" s="11"/>
      <c r="E110" s="11"/>
    </row>
    <row r="111" spans="1:10" x14ac:dyDescent="0.2">
      <c r="B111" s="224" t="s">
        <v>22</v>
      </c>
    </row>
    <row r="112" spans="1:10" x14ac:dyDescent="0.2">
      <c r="B112" s="224" t="s">
        <v>22</v>
      </c>
    </row>
  </sheetData>
  <mergeCells count="7">
    <mergeCell ref="A90:D90"/>
    <mergeCell ref="A3:B3"/>
    <mergeCell ref="A26:B26"/>
    <mergeCell ref="J46:K46"/>
    <mergeCell ref="A47:B47"/>
    <mergeCell ref="D68:E68"/>
    <mergeCell ref="A69:B6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6"/>
  <sheetViews>
    <sheetView zoomScale="115" zoomScaleNormal="115" workbookViewId="0"/>
  </sheetViews>
  <sheetFormatPr defaultColWidth="9.140625" defaultRowHeight="12.75" x14ac:dyDescent="0.2"/>
  <cols>
    <col min="1" max="1" width="31" style="224" customWidth="1"/>
    <col min="2" max="2" width="12.85546875" style="224" customWidth="1"/>
    <col min="3" max="3" width="14.42578125" style="224" customWidth="1"/>
    <col min="4" max="4" width="15.5703125" style="224" customWidth="1"/>
    <col min="5" max="5" width="17.140625" style="224" customWidth="1"/>
    <col min="6" max="6" width="17.5703125" style="224" customWidth="1"/>
    <col min="7" max="7" width="20" style="224" customWidth="1"/>
    <col min="8" max="8" width="18.42578125" style="224" customWidth="1"/>
    <col min="9" max="9" width="18.140625" style="224" customWidth="1"/>
    <col min="10" max="10" width="18.42578125" style="224" customWidth="1"/>
    <col min="11" max="12" width="16.7109375" style="224" customWidth="1"/>
    <col min="13" max="13" width="12.7109375" style="224" customWidth="1"/>
    <col min="14" max="14" width="16.7109375" style="224" customWidth="1"/>
    <col min="15" max="15" width="15.7109375" style="224" customWidth="1"/>
    <col min="16" max="16" width="12.7109375" style="224" customWidth="1"/>
    <col min="17" max="16384" width="9.140625" style="224"/>
  </cols>
  <sheetData>
    <row r="1" spans="1:16" ht="18.75" x14ac:dyDescent="0.3">
      <c r="A1" s="39" t="s">
        <v>366</v>
      </c>
      <c r="E1" s="224" t="s">
        <v>22</v>
      </c>
      <c r="F1" s="224" t="s">
        <v>22</v>
      </c>
      <c r="G1" s="224" t="s">
        <v>22</v>
      </c>
    </row>
    <row r="2" spans="1:16" x14ac:dyDescent="0.2">
      <c r="A2" s="10"/>
    </row>
    <row r="3" spans="1:16" ht="15.75" x14ac:dyDescent="0.25">
      <c r="A3" s="119" t="s">
        <v>0</v>
      </c>
      <c r="B3" s="11"/>
      <c r="C3" s="11"/>
      <c r="D3" s="68" t="s">
        <v>22</v>
      </c>
      <c r="E3" s="11"/>
      <c r="F3" s="11"/>
      <c r="G3" s="11"/>
      <c r="H3" s="11"/>
      <c r="I3" s="11"/>
      <c r="J3" s="11"/>
      <c r="K3" s="11"/>
      <c r="L3" s="11"/>
      <c r="M3" s="11"/>
      <c r="N3" s="11"/>
      <c r="O3" s="11"/>
      <c r="P3" s="11"/>
    </row>
    <row r="4" spans="1:16" ht="12.75" customHeight="1" x14ac:dyDescent="0.2">
      <c r="A4" s="12" t="s">
        <v>1</v>
      </c>
      <c r="B4" s="121">
        <v>0.2</v>
      </c>
      <c r="C4" s="11"/>
      <c r="D4" s="38" t="s">
        <v>22</v>
      </c>
      <c r="E4" s="16" t="s">
        <v>22</v>
      </c>
      <c r="F4" s="16" t="s">
        <v>22</v>
      </c>
      <c r="G4" s="16" t="s">
        <v>22</v>
      </c>
      <c r="H4" s="16" t="s">
        <v>22</v>
      </c>
      <c r="I4" s="16" t="s">
        <v>22</v>
      </c>
      <c r="J4" s="16" t="s">
        <v>22</v>
      </c>
      <c r="K4" s="11"/>
      <c r="L4" s="11"/>
      <c r="M4" s="11"/>
      <c r="N4" s="11"/>
      <c r="O4" s="16" t="s">
        <v>22</v>
      </c>
      <c r="P4" s="11"/>
    </row>
    <row r="5" spans="1:16" ht="12.75" customHeight="1" x14ac:dyDescent="0.2">
      <c r="A5" s="120" t="s">
        <v>352</v>
      </c>
      <c r="B5" s="98">
        <v>0.77200000000000002</v>
      </c>
      <c r="C5" s="11"/>
      <c r="D5" s="11" t="s">
        <v>22</v>
      </c>
      <c r="E5" s="44" t="s">
        <v>22</v>
      </c>
      <c r="F5" s="45" t="s">
        <v>22</v>
      </c>
      <c r="G5" s="45" t="s">
        <v>22</v>
      </c>
      <c r="H5" s="45" t="s">
        <v>22</v>
      </c>
      <c r="I5" s="45" t="s">
        <v>22</v>
      </c>
      <c r="J5" s="16" t="s">
        <v>22</v>
      </c>
      <c r="K5" s="16" t="s">
        <v>22</v>
      </c>
      <c r="L5" s="16"/>
      <c r="M5" s="16"/>
      <c r="N5" s="16"/>
      <c r="O5" s="44" t="s">
        <v>22</v>
      </c>
      <c r="P5" s="11"/>
    </row>
    <row r="6" spans="1:16" ht="12.75" customHeight="1" x14ac:dyDescent="0.2">
      <c r="A6" s="120" t="s">
        <v>358</v>
      </c>
      <c r="B6" s="98">
        <v>0.77</v>
      </c>
      <c r="C6" s="11"/>
      <c r="D6" s="11"/>
      <c r="E6" s="44"/>
      <c r="F6" s="45"/>
      <c r="G6" s="45"/>
      <c r="H6" s="45"/>
      <c r="I6" s="45"/>
      <c r="J6" s="16"/>
      <c r="K6" s="16"/>
      <c r="L6" s="16"/>
      <c r="M6" s="16"/>
      <c r="N6" s="16"/>
      <c r="O6" s="44"/>
      <c r="P6" s="11"/>
    </row>
    <row r="7" spans="1:16" ht="12.75" customHeight="1" x14ac:dyDescent="0.2">
      <c r="A7" s="12" t="s">
        <v>3</v>
      </c>
      <c r="B7" s="122">
        <v>0.92600000000000005</v>
      </c>
      <c r="C7" s="11"/>
      <c r="D7" s="11" t="s">
        <v>22</v>
      </c>
      <c r="E7" s="46" t="s">
        <v>22</v>
      </c>
      <c r="F7" s="41" t="s">
        <v>22</v>
      </c>
      <c r="G7" s="47" t="s">
        <v>22</v>
      </c>
      <c r="H7" s="48" t="s">
        <v>22</v>
      </c>
      <c r="I7" s="48" t="s">
        <v>22</v>
      </c>
      <c r="J7" s="48" t="s">
        <v>22</v>
      </c>
      <c r="K7" s="49" t="s">
        <v>22</v>
      </c>
      <c r="L7" s="49"/>
      <c r="M7" s="49"/>
      <c r="N7" s="49"/>
      <c r="O7" s="50" t="s">
        <v>22</v>
      </c>
      <c r="P7" s="11"/>
    </row>
    <row r="8" spans="1:16" ht="12.75" customHeight="1" x14ac:dyDescent="0.2">
      <c r="A8" s="12" t="s">
        <v>142</v>
      </c>
      <c r="B8" s="146">
        <v>140994.71000000002</v>
      </c>
      <c r="C8" s="223" t="s">
        <v>22</v>
      </c>
      <c r="E8" s="44" t="s">
        <v>22</v>
      </c>
      <c r="F8" s="51" t="s">
        <v>22</v>
      </c>
      <c r="G8" s="41" t="s">
        <v>22</v>
      </c>
      <c r="H8" s="242" t="s">
        <v>22</v>
      </c>
      <c r="I8" s="41" t="s">
        <v>22</v>
      </c>
      <c r="J8" s="47" t="s">
        <v>22</v>
      </c>
      <c r="K8" s="48"/>
      <c r="L8" s="48"/>
      <c r="M8" s="48"/>
      <c r="N8" s="48"/>
      <c r="O8" s="44" t="s">
        <v>22</v>
      </c>
      <c r="P8" s="11"/>
    </row>
    <row r="9" spans="1:16" ht="12.75" customHeight="1" x14ac:dyDescent="0.2">
      <c r="A9" s="12" t="s">
        <v>21</v>
      </c>
      <c r="B9" s="123">
        <v>0.95306138534988694</v>
      </c>
      <c r="C9" s="11" t="s">
        <v>22</v>
      </c>
      <c r="D9" s="52" t="s">
        <v>22</v>
      </c>
      <c r="E9" s="44" t="s">
        <v>22</v>
      </c>
      <c r="F9" s="51" t="s">
        <v>22</v>
      </c>
      <c r="G9" s="47" t="s">
        <v>22</v>
      </c>
      <c r="H9" s="47" t="s">
        <v>22</v>
      </c>
      <c r="I9" s="47" t="s">
        <v>22</v>
      </c>
      <c r="J9" s="47" t="s">
        <v>22</v>
      </c>
      <c r="K9" s="48" t="s">
        <v>22</v>
      </c>
      <c r="L9" s="48"/>
      <c r="M9" s="48"/>
      <c r="N9" s="48"/>
      <c r="O9" s="44" t="s">
        <v>22</v>
      </c>
      <c r="P9" s="11"/>
    </row>
    <row r="10" spans="1:16" x14ac:dyDescent="0.2">
      <c r="A10" s="11" t="s">
        <v>356</v>
      </c>
      <c r="B10" s="11"/>
      <c r="C10" s="11"/>
      <c r="D10" s="11" t="s">
        <v>22</v>
      </c>
      <c r="E10" s="52"/>
      <c r="F10" s="38"/>
      <c r="G10" s="52"/>
      <c r="H10" s="36" t="s">
        <v>22</v>
      </c>
      <c r="I10" s="11"/>
      <c r="J10" s="11"/>
      <c r="K10" s="11"/>
      <c r="L10" s="11"/>
      <c r="M10" s="11"/>
      <c r="N10" s="11"/>
      <c r="O10" s="11" t="s">
        <v>22</v>
      </c>
      <c r="P10" s="11"/>
    </row>
    <row r="11" spans="1:16" x14ac:dyDescent="0.2">
      <c r="A11" s="11"/>
      <c r="B11" s="18"/>
      <c r="C11" s="18"/>
      <c r="D11" s="18"/>
      <c r="E11" s="21" t="s">
        <v>22</v>
      </c>
      <c r="F11" s="22"/>
      <c r="G11" s="22"/>
      <c r="H11" s="22"/>
      <c r="I11" s="23"/>
      <c r="J11" s="23"/>
      <c r="K11" s="23"/>
      <c r="L11" s="23"/>
      <c r="M11" s="23"/>
      <c r="N11" s="23"/>
      <c r="O11" s="24"/>
      <c r="P11" s="11"/>
    </row>
    <row r="12" spans="1:16" ht="15.75" x14ac:dyDescent="0.25">
      <c r="A12" s="112" t="s">
        <v>110</v>
      </c>
      <c r="B12" s="18"/>
      <c r="C12" s="18"/>
      <c r="D12" s="18"/>
      <c r="E12" s="23"/>
      <c r="F12" s="24"/>
      <c r="G12" s="11"/>
    </row>
    <row r="13" spans="1:16" ht="69.95" customHeight="1" x14ac:dyDescent="0.2">
      <c r="A13" s="115" t="s">
        <v>2</v>
      </c>
      <c r="B13" s="115" t="s">
        <v>53</v>
      </c>
      <c r="C13" s="115" t="s">
        <v>114</v>
      </c>
      <c r="D13" s="115" t="s">
        <v>152</v>
      </c>
      <c r="E13" s="115" t="s">
        <v>115</v>
      </c>
      <c r="F13" s="115" t="s">
        <v>75</v>
      </c>
      <c r="G13" s="11"/>
    </row>
    <row r="14" spans="1:16" x14ac:dyDescent="0.2">
      <c r="A14" s="12" t="s">
        <v>5</v>
      </c>
      <c r="B14" s="27">
        <f>J64</f>
        <v>134478.1</v>
      </c>
      <c r="C14" s="106">
        <f>'BRA Resource Clearing Results'!B5</f>
        <v>333.44</v>
      </c>
      <c r="D14" s="106">
        <f>'BRA Resource Clearing Results'!C5</f>
        <v>0</v>
      </c>
      <c r="E14" s="221">
        <f>'BRA Resource Clearing Results'!G71/B14</f>
        <v>0</v>
      </c>
      <c r="F14" s="107">
        <f t="shared" ref="F14:F22" si="0">C14+D14+E14</f>
        <v>333.44</v>
      </c>
      <c r="G14" s="11"/>
    </row>
    <row r="15" spans="1:16" x14ac:dyDescent="0.2">
      <c r="A15" s="12" t="s">
        <v>26</v>
      </c>
      <c r="B15" s="27">
        <f>SUMIF(B43:B63,"="&amp;A15,J43:J63)</f>
        <v>50666.325327099672</v>
      </c>
      <c r="C15" s="106">
        <f>'BRA Resource Clearing Results'!B6</f>
        <v>333.44</v>
      </c>
      <c r="D15" s="106">
        <f>'BRA Resource Clearing Results'!C6</f>
        <v>0</v>
      </c>
      <c r="E15" s="221">
        <f>E14+'BRA Resource Clearing Results'!G72/B15</f>
        <v>0</v>
      </c>
      <c r="F15" s="107">
        <f t="shared" si="0"/>
        <v>333.44</v>
      </c>
      <c r="G15" s="11"/>
    </row>
    <row r="16" spans="1:16" x14ac:dyDescent="0.2">
      <c r="A16" s="12" t="s">
        <v>31</v>
      </c>
      <c r="B16" s="27">
        <f>SUMIF(C43:C63,"="&amp;A16,J43:J63)</f>
        <v>27037.337445062283</v>
      </c>
      <c r="C16" s="106">
        <f>'BRA Resource Clearing Results'!B7</f>
        <v>333.44</v>
      </c>
      <c r="D16" s="106">
        <f>'BRA Resource Clearing Results'!C6+'BRA Resource Clearing Results'!C7</f>
        <v>0</v>
      </c>
      <c r="E16" s="221">
        <f>E15+'BRA Resource Clearing Results'!G73/B16</f>
        <v>0</v>
      </c>
      <c r="F16" s="107">
        <f>C16+D16+E16</f>
        <v>333.44</v>
      </c>
      <c r="G16" s="11"/>
    </row>
    <row r="17" spans="1:16" x14ac:dyDescent="0.2">
      <c r="A17" s="12" t="s">
        <v>4</v>
      </c>
      <c r="B17" s="27">
        <f>SUMIF(C43:C63,"="&amp;A17,J43:J63)</f>
        <v>10780.163105217252</v>
      </c>
      <c r="C17" s="106">
        <f>'BRA Resource Clearing Results'!B8</f>
        <v>333.44</v>
      </c>
      <c r="D17" s="106">
        <f>'BRA Resource Clearing Results'!C6+'BRA Resource Clearing Results'!C8</f>
        <v>0</v>
      </c>
      <c r="E17" s="221">
        <f>E15+'BRA Resource Clearing Results'!G74/B17</f>
        <v>0</v>
      </c>
      <c r="F17" s="107">
        <f t="shared" si="0"/>
        <v>333.44</v>
      </c>
      <c r="G17" s="11"/>
    </row>
    <row r="18" spans="1:16" x14ac:dyDescent="0.2">
      <c r="A18" s="12" t="s">
        <v>14</v>
      </c>
      <c r="B18" s="27">
        <f t="shared" ref="B18:B25" si="1">SUMIF($D$43:$D$63,"="&amp;A18,$J$43:$J$63)</f>
        <v>5195.4826197637312</v>
      </c>
      <c r="C18" s="106">
        <f>'BRA Resource Clearing Results'!B12</f>
        <v>333.44</v>
      </c>
      <c r="D18" s="106">
        <f>'BRA Resource Clearing Results'!C6+'BRA Resource Clearing Results'!C8+'BRA Resource Clearing Results'!C12</f>
        <v>0</v>
      </c>
      <c r="E18" s="221">
        <f>E17+'BRA Resource Clearing Results'!G78/B18</f>
        <v>0</v>
      </c>
      <c r="F18" s="107">
        <f>C18+D18+E18</f>
        <v>333.44</v>
      </c>
      <c r="G18" s="52"/>
    </row>
    <row r="19" spans="1:16" x14ac:dyDescent="0.2">
      <c r="A19" s="12" t="s">
        <v>19</v>
      </c>
      <c r="B19" s="27">
        <f t="shared" si="1"/>
        <v>17119.410881293839</v>
      </c>
      <c r="C19" s="106">
        <f>'BRA Resource Clearing Results'!B15</f>
        <v>333.44</v>
      </c>
      <c r="D19" s="106">
        <f>'BRA Resource Clearing Results'!C15</f>
        <v>0</v>
      </c>
      <c r="E19" s="221">
        <f>E14+'BRA Resource Clearing Results'!G81/B19</f>
        <v>0</v>
      </c>
      <c r="F19" s="107">
        <f>C19+D19+E19</f>
        <v>333.44</v>
      </c>
      <c r="G19" s="52"/>
    </row>
    <row r="20" spans="1:16" x14ac:dyDescent="0.2">
      <c r="A20" s="12" t="s">
        <v>10</v>
      </c>
      <c r="B20" s="27">
        <f t="shared" si="1"/>
        <v>5584.6804854535221</v>
      </c>
      <c r="C20" s="106">
        <f>'BRA Resource Clearing Results'!B16</f>
        <v>333.44</v>
      </c>
      <c r="D20" s="106">
        <f>'BRA Resource Clearing Results'!C6+'BRA Resource Clearing Results'!C8+'BRA Resource Clearing Results'!C16</f>
        <v>0</v>
      </c>
      <c r="E20" s="221">
        <f>E17+'BRA Resource Clearing Results'!G82/B20</f>
        <v>0</v>
      </c>
      <c r="F20" s="107">
        <f t="shared" si="0"/>
        <v>333.44</v>
      </c>
      <c r="G20" s="52"/>
    </row>
    <row r="21" spans="1:16" x14ac:dyDescent="0.2">
      <c r="A21" s="12" t="s">
        <v>9</v>
      </c>
      <c r="B21" s="27">
        <f t="shared" si="1"/>
        <v>7693.9387598267713</v>
      </c>
      <c r="C21" s="106">
        <f>'BRA Resource Clearing Results'!B17</f>
        <v>333.44</v>
      </c>
      <c r="D21" s="106">
        <f>'BRA Resource Clearing Results'!C6+'BRA Resource Clearing Results'!C17</f>
        <v>0</v>
      </c>
      <c r="E21" s="221">
        <f>E15+'BRA Resource Clearing Results'!G83/B21</f>
        <v>0</v>
      </c>
      <c r="F21" s="107">
        <f t="shared" si="0"/>
        <v>333.44</v>
      </c>
      <c r="G21" s="52"/>
      <c r="I21" s="224" t="s">
        <v>22</v>
      </c>
    </row>
    <row r="22" spans="1:16" x14ac:dyDescent="0.2">
      <c r="A22" s="12" t="s">
        <v>20</v>
      </c>
      <c r="B22" s="27">
        <f t="shared" si="1"/>
        <v>3049.1578819914539</v>
      </c>
      <c r="C22" s="106">
        <f>'BRA Resource Clearing Results'!B18</f>
        <v>333.44</v>
      </c>
      <c r="D22" s="106">
        <f>'BRA Resource Clearing Results'!C18</f>
        <v>0</v>
      </c>
      <c r="E22" s="221">
        <f>E14+'BRA Resource Clearing Results'!G84/B22</f>
        <v>0</v>
      </c>
      <c r="F22" s="107">
        <f t="shared" si="0"/>
        <v>333.44</v>
      </c>
      <c r="G22" s="52"/>
      <c r="I22" s="224" t="s">
        <v>22</v>
      </c>
    </row>
    <row r="23" spans="1:16" x14ac:dyDescent="0.2">
      <c r="A23" s="12" t="s">
        <v>48</v>
      </c>
      <c r="B23" s="27">
        <f t="shared" si="1"/>
        <v>4519.4609301528899</v>
      </c>
      <c r="C23" s="106">
        <f>'BRA Resource Clearing Results'!B19</f>
        <v>333.44</v>
      </c>
      <c r="D23" s="106">
        <f>'BRA Resource Clearing Results'!C19</f>
        <v>0</v>
      </c>
      <c r="E23" s="221">
        <f>E14+'BRA Resource Clearing Results'!G85/B23</f>
        <v>0</v>
      </c>
      <c r="F23" s="107">
        <f>C23+D23+E23</f>
        <v>333.44</v>
      </c>
      <c r="G23" s="52"/>
    </row>
    <row r="24" spans="1:16" x14ac:dyDescent="0.2">
      <c r="A24" s="11" t="s">
        <v>28</v>
      </c>
      <c r="B24" s="27">
        <f t="shared" si="1"/>
        <v>22962.674075697731</v>
      </c>
      <c r="C24" s="106">
        <f>'BRA Resource Clearing Results'!B20</f>
        <v>333.44</v>
      </c>
      <c r="D24" s="106">
        <f>'BRA Resource Clearing Results'!C20</f>
        <v>0</v>
      </c>
      <c r="E24" s="221">
        <f>E14+'BRA Resource Clearing Results'!G86/B24</f>
        <v>0</v>
      </c>
      <c r="F24" s="107">
        <f>C24+D24+E24</f>
        <v>333.44</v>
      </c>
      <c r="G24" s="52"/>
    </row>
    <row r="25" spans="1:16" x14ac:dyDescent="0.2">
      <c r="A25" s="12" t="s">
        <v>11</v>
      </c>
      <c r="B25" s="27">
        <f t="shared" si="1"/>
        <v>5071.9277417669709</v>
      </c>
      <c r="C25" s="106">
        <f>'BRA Resource Clearing Results'!B21</f>
        <v>333.44</v>
      </c>
      <c r="D25" s="106">
        <f>'BRA Resource Clearing Results'!C21</f>
        <v>0</v>
      </c>
      <c r="E25" s="221">
        <f>E16+'BRA Resource Clearing Results'!G87/B25</f>
        <v>0</v>
      </c>
      <c r="F25" s="107">
        <f>C25+D25+E25</f>
        <v>333.44</v>
      </c>
      <c r="G25" s="52"/>
    </row>
    <row r="26" spans="1:16" x14ac:dyDescent="0.2">
      <c r="A26" s="11" t="s">
        <v>153</v>
      </c>
      <c r="B26" s="18"/>
      <c r="C26" s="34"/>
      <c r="D26" s="34"/>
      <c r="E26" s="34"/>
      <c r="F26" s="36"/>
      <c r="G26" s="69"/>
      <c r="H26" s="18"/>
      <c r="I26" s="18"/>
      <c r="J26" s="34"/>
      <c r="K26" s="18"/>
      <c r="L26" s="18"/>
      <c r="M26" s="18"/>
      <c r="N26" s="18"/>
      <c r="O26" s="41"/>
      <c r="P26" s="11"/>
    </row>
    <row r="27" spans="1:16" x14ac:dyDescent="0.2">
      <c r="A27" s="11"/>
      <c r="B27" s="18"/>
      <c r="C27" s="34"/>
      <c r="D27" s="53" t="s">
        <v>22</v>
      </c>
      <c r="E27" s="53" t="s">
        <v>22</v>
      </c>
      <c r="F27" s="36"/>
      <c r="G27" s="11"/>
      <c r="H27" s="18"/>
      <c r="I27" s="18"/>
      <c r="J27" s="34"/>
      <c r="K27" s="18"/>
      <c r="L27" s="18"/>
      <c r="M27" s="18"/>
      <c r="N27" s="18"/>
      <c r="O27" s="41"/>
      <c r="P27" s="11"/>
    </row>
    <row r="28" spans="1:16" ht="31.5" x14ac:dyDescent="0.25">
      <c r="A28" s="124" t="s">
        <v>101</v>
      </c>
      <c r="B28" s="11"/>
      <c r="C28" s="138" t="s">
        <v>22</v>
      </c>
      <c r="D28" s="11"/>
      <c r="E28" s="38" t="s">
        <v>22</v>
      </c>
      <c r="F28" s="176" t="s">
        <v>22</v>
      </c>
      <c r="G28" s="176"/>
      <c r="H28" s="180" t="s">
        <v>143</v>
      </c>
      <c r="I28" s="11"/>
      <c r="J28" s="138" t="s">
        <v>22</v>
      </c>
      <c r="K28" s="11"/>
      <c r="L28" s="38" t="s">
        <v>22</v>
      </c>
      <c r="M28" s="176" t="s">
        <v>22</v>
      </c>
      <c r="N28" s="54"/>
      <c r="O28" s="11"/>
      <c r="P28" s="11"/>
    </row>
    <row r="29" spans="1:16" ht="80.099999999999994" customHeight="1" x14ac:dyDescent="0.2">
      <c r="A29" s="131" t="s">
        <v>52</v>
      </c>
      <c r="B29" s="115" t="s">
        <v>154</v>
      </c>
      <c r="C29" s="115" t="s">
        <v>70</v>
      </c>
      <c r="D29" s="115" t="s">
        <v>102</v>
      </c>
      <c r="E29" s="115" t="s">
        <v>112</v>
      </c>
      <c r="F29" s="115" t="s">
        <v>109</v>
      </c>
      <c r="G29" s="11"/>
      <c r="H29" s="131" t="s">
        <v>6</v>
      </c>
      <c r="I29" s="115" t="s">
        <v>144</v>
      </c>
      <c r="J29" s="115" t="s">
        <v>145</v>
      </c>
      <c r="K29" s="159"/>
      <c r="L29" s="159"/>
      <c r="M29" s="159"/>
    </row>
    <row r="30" spans="1:16" x14ac:dyDescent="0.2">
      <c r="A30" s="12" t="s">
        <v>35</v>
      </c>
      <c r="B30" s="12"/>
      <c r="C30" s="26">
        <f>'BRA Resource Clearing Results'!D53</f>
        <v>1777.3000000000002</v>
      </c>
      <c r="D30" s="17">
        <f>'BRA Resource Clearing Results'!C9</f>
        <v>0</v>
      </c>
      <c r="E30" s="12"/>
      <c r="F30" s="12"/>
      <c r="G30" s="11"/>
      <c r="H30" s="12" t="s">
        <v>10</v>
      </c>
      <c r="I30" s="116">
        <v>115</v>
      </c>
      <c r="J30" s="17">
        <f>I30*VLOOKUP(H30,$A$43:$L$63,9,0)*FPR*VLOOKUP(H30,$A$43:$L$63,12,0)</f>
        <v>33818.546606972159</v>
      </c>
      <c r="K30" s="218"/>
      <c r="L30" s="19"/>
      <c r="M30" s="11"/>
    </row>
    <row r="31" spans="1:16" x14ac:dyDescent="0.2">
      <c r="A31" s="12" t="s">
        <v>32</v>
      </c>
      <c r="B31" s="12"/>
      <c r="C31" s="26">
        <f>'BRA Resource Clearing Results'!D54</f>
        <v>2379.6999999999998</v>
      </c>
      <c r="D31" s="17">
        <f>'BRA Resource Clearing Results'!C9+'BRA Resource Clearing Results'!C10</f>
        <v>0</v>
      </c>
      <c r="E31" s="12"/>
      <c r="F31" s="12"/>
      <c r="G31" s="11"/>
      <c r="H31" s="42" t="s">
        <v>146</v>
      </c>
      <c r="I31" s="117">
        <f>SUM(I30)</f>
        <v>115</v>
      </c>
      <c r="J31" s="25">
        <f>SUM(J30)</f>
        <v>33818.546606972159</v>
      </c>
      <c r="K31" s="218"/>
      <c r="L31" s="19"/>
      <c r="M31" s="11"/>
    </row>
    <row r="32" spans="1:16" x14ac:dyDescent="0.2">
      <c r="A32" s="42" t="s">
        <v>7</v>
      </c>
      <c r="B32" s="105">
        <f>F16</f>
        <v>333.44</v>
      </c>
      <c r="C32" s="26">
        <f>C31+C30</f>
        <v>4157</v>
      </c>
      <c r="D32" s="108">
        <f>(C31*D31+C30*D30)/C32</f>
        <v>0</v>
      </c>
      <c r="E32" s="109">
        <f>('BRA Resource Clearing Results'!G75+'BRA Resource Clearing Results'!G76)/J62</f>
        <v>0</v>
      </c>
      <c r="F32" s="110">
        <f>B32+D32+E32</f>
        <v>333.44</v>
      </c>
      <c r="G32" s="11"/>
      <c r="H32" s="295"/>
      <c r="I32" s="337"/>
      <c r="J32" s="336"/>
      <c r="K32" s="177"/>
      <c r="L32" s="178"/>
      <c r="M32" s="11"/>
    </row>
    <row r="33" spans="1:16" x14ac:dyDescent="0.2">
      <c r="A33" s="12" t="s">
        <v>34</v>
      </c>
      <c r="B33" s="12"/>
      <c r="C33" s="26">
        <v>2893.4999999999991</v>
      </c>
      <c r="D33" s="17">
        <v>0</v>
      </c>
      <c r="E33" s="12"/>
      <c r="F33" s="12"/>
      <c r="G33" s="80" t="s">
        <v>22</v>
      </c>
      <c r="L33" s="19"/>
      <c r="M33" s="11"/>
    </row>
    <row r="34" spans="1:16" x14ac:dyDescent="0.2">
      <c r="A34" s="12" t="s">
        <v>33</v>
      </c>
      <c r="B34" s="12"/>
      <c r="C34" s="26">
        <f>'BRA Resource Clearing Results'!D55</f>
        <v>959.6</v>
      </c>
      <c r="D34" s="55">
        <f>'BRA Resource Clearing Results'!C11</f>
        <v>0</v>
      </c>
      <c r="E34" s="12"/>
      <c r="F34" s="12"/>
      <c r="G34" s="11"/>
      <c r="H34" s="11"/>
      <c r="L34" s="19"/>
      <c r="M34" s="11"/>
    </row>
    <row r="35" spans="1:16" x14ac:dyDescent="0.2">
      <c r="A35" s="42" t="s">
        <v>16</v>
      </c>
      <c r="B35" s="105">
        <f>F16</f>
        <v>333.44</v>
      </c>
      <c r="C35" s="26">
        <f>C33+C34</f>
        <v>3853.099999999999</v>
      </c>
      <c r="D35" s="108">
        <f>(C34*D34+C33*D33)/C35</f>
        <v>0</v>
      </c>
      <c r="E35" s="109">
        <f>'BRA Resource Clearing Results'!G77/'BRA Load Pricing Results'!J53</f>
        <v>0</v>
      </c>
      <c r="F35" s="110">
        <f>B35+D35+E35</f>
        <v>333.44</v>
      </c>
      <c r="G35" s="11"/>
      <c r="H35" s="11"/>
      <c r="L35" s="19"/>
      <c r="M35" s="11"/>
    </row>
    <row r="36" spans="1:16" x14ac:dyDescent="0.2">
      <c r="A36" s="12" t="s">
        <v>97</v>
      </c>
      <c r="B36" s="12"/>
      <c r="C36" s="26">
        <f>'BRA Resource Clearing Results'!D57</f>
        <v>5952</v>
      </c>
      <c r="D36" s="17">
        <f>'BRA Resource Clearing Results'!C13</f>
        <v>0</v>
      </c>
      <c r="E36" s="12"/>
      <c r="F36" s="12"/>
      <c r="G36" s="11"/>
      <c r="H36" s="19"/>
      <c r="L36" s="19"/>
      <c r="M36" s="11"/>
    </row>
    <row r="37" spans="1:16" x14ac:dyDescent="0.2">
      <c r="A37" s="12" t="s">
        <v>96</v>
      </c>
      <c r="B37" s="12"/>
      <c r="C37" s="26">
        <f>'BRA Resource Clearing Results'!D58</f>
        <v>1651.6</v>
      </c>
      <c r="D37" s="17">
        <f>'BRA Resource Clearing Results'!C13+'BRA Resource Clearing Results'!C14</f>
        <v>0</v>
      </c>
      <c r="E37" s="12"/>
      <c r="F37" s="12"/>
      <c r="G37" s="11"/>
      <c r="H37" s="11"/>
      <c r="L37" s="224" t="s">
        <v>22</v>
      </c>
    </row>
    <row r="38" spans="1:16" x14ac:dyDescent="0.2">
      <c r="A38" s="42" t="s">
        <v>41</v>
      </c>
      <c r="B38" s="105">
        <f>F14</f>
        <v>333.44</v>
      </c>
      <c r="C38" s="26">
        <f>C37+C36</f>
        <v>7603.6</v>
      </c>
      <c r="D38" s="108">
        <f>(C37*D37+C36*D36)/C38</f>
        <v>0</v>
      </c>
      <c r="E38" s="109">
        <f>('BRA Resource Clearing Results'!G79+'BRA Resource Clearing Results'!G80)/'BRA Load Pricing Results'!J46</f>
        <v>0</v>
      </c>
      <c r="F38" s="110">
        <f>B38+D38+E38</f>
        <v>333.44</v>
      </c>
      <c r="G38" s="11"/>
      <c r="H38" s="11"/>
    </row>
    <row r="39" spans="1:16" ht="12.75" customHeight="1" x14ac:dyDescent="0.2">
      <c r="A39" s="11" t="s">
        <v>155</v>
      </c>
      <c r="B39" s="11"/>
      <c r="C39" s="56"/>
      <c r="D39" s="56"/>
      <c r="E39" s="56"/>
      <c r="F39" s="56"/>
      <c r="G39" s="70"/>
      <c r="H39" s="11"/>
      <c r="I39" s="11"/>
      <c r="J39" s="11"/>
      <c r="K39" s="11"/>
      <c r="L39" s="11"/>
      <c r="M39" s="11"/>
      <c r="N39" s="11"/>
      <c r="O39" s="11"/>
      <c r="P39" s="11"/>
    </row>
    <row r="40" spans="1:16" x14ac:dyDescent="0.2">
      <c r="A40" s="11"/>
      <c r="B40" s="19"/>
      <c r="C40" s="19"/>
      <c r="D40" s="19" t="s">
        <v>22</v>
      </c>
      <c r="E40" s="28"/>
      <c r="F40" s="57" t="s">
        <v>22</v>
      </c>
      <c r="G40" s="249" t="s">
        <v>22</v>
      </c>
      <c r="H40" s="52"/>
      <c r="I40" s="52"/>
      <c r="J40" s="52"/>
      <c r="K40" s="52"/>
      <c r="L40" s="52"/>
      <c r="M40" s="52" t="s">
        <v>22</v>
      </c>
      <c r="N40" s="52"/>
      <c r="O40" s="58"/>
      <c r="P40" s="11"/>
    </row>
    <row r="41" spans="1:16" s="2" customFormat="1" ht="18" x14ac:dyDescent="0.25">
      <c r="A41" s="128" t="s">
        <v>37</v>
      </c>
      <c r="B41" s="68"/>
      <c r="C41" s="11"/>
      <c r="D41" s="11"/>
      <c r="E41" s="59"/>
      <c r="F41" s="59"/>
      <c r="G41" s="59"/>
      <c r="H41" s="59"/>
      <c r="I41" s="59"/>
      <c r="J41" s="59"/>
      <c r="K41" s="59"/>
      <c r="L41" s="59"/>
      <c r="M41" s="59"/>
      <c r="O41" s="11"/>
      <c r="P41" s="11"/>
    </row>
    <row r="42" spans="1:16" ht="54.95" customHeight="1" x14ac:dyDescent="0.2">
      <c r="A42" s="14" t="s">
        <v>6</v>
      </c>
      <c r="B42" s="14" t="s">
        <v>25</v>
      </c>
      <c r="C42" s="14" t="s">
        <v>24</v>
      </c>
      <c r="D42" s="14" t="s">
        <v>29</v>
      </c>
      <c r="E42" s="14" t="s">
        <v>357</v>
      </c>
      <c r="F42" s="14" t="s">
        <v>361</v>
      </c>
      <c r="G42" s="14" t="s">
        <v>369</v>
      </c>
      <c r="H42" s="14" t="s">
        <v>372</v>
      </c>
      <c r="I42" s="14" t="s">
        <v>23</v>
      </c>
      <c r="J42" s="14" t="s">
        <v>159</v>
      </c>
      <c r="K42" s="167" t="s">
        <v>30</v>
      </c>
      <c r="L42" s="167" t="s">
        <v>160</v>
      </c>
      <c r="M42" s="14" t="s">
        <v>6</v>
      </c>
    </row>
    <row r="43" spans="1:16" x14ac:dyDescent="0.2">
      <c r="A43" s="12" t="s">
        <v>15</v>
      </c>
      <c r="B43" s="63" t="s">
        <v>26</v>
      </c>
      <c r="C43" s="63" t="s">
        <v>31</v>
      </c>
      <c r="D43" s="63"/>
      <c r="E43" s="291">
        <v>2370</v>
      </c>
      <c r="F43" s="292">
        <f>(G43-H43)/E43</f>
        <v>0.9945147679324895</v>
      </c>
      <c r="G43" s="291">
        <v>2357</v>
      </c>
      <c r="H43" s="291"/>
      <c r="I43" s="292">
        <f t="shared" ref="I43:I63" si="2">OPL_ScalingFactor*F43</f>
        <v>0.9478336224766597</v>
      </c>
      <c r="J43" s="291">
        <f>(E43*I43*FPR)+(H43*OPL_ScalingFactor*FPR)</f>
        <v>2080.1346245597269</v>
      </c>
      <c r="K43" s="168">
        <f>F16</f>
        <v>333.44</v>
      </c>
      <c r="L43" s="238">
        <v>333.69147995552419</v>
      </c>
      <c r="M43" s="12" t="s">
        <v>15</v>
      </c>
      <c r="O43" s="280"/>
      <c r="P43" s="281"/>
    </row>
    <row r="44" spans="1:16" x14ac:dyDescent="0.2">
      <c r="A44" s="12" t="s">
        <v>156</v>
      </c>
      <c r="B44" s="63"/>
      <c r="C44" s="63"/>
      <c r="D44" s="63"/>
      <c r="E44" s="291">
        <v>11864.5</v>
      </c>
      <c r="F44" s="292">
        <f>(G44-H44)/E44</f>
        <v>0.96352985797968727</v>
      </c>
      <c r="G44" s="291">
        <v>14170.1</v>
      </c>
      <c r="H44" s="291">
        <v>2738.3</v>
      </c>
      <c r="I44" s="292">
        <f t="shared" si="2"/>
        <v>0.91830310127210057</v>
      </c>
      <c r="J44" s="291">
        <f>(E44*I44*FPR)+(H44*OPL_ScalingFactor*FPR)</f>
        <v>12505.606976441997</v>
      </c>
      <c r="K44" s="168">
        <f>F14</f>
        <v>333.44</v>
      </c>
      <c r="L44" s="238">
        <v>333.69147995552419</v>
      </c>
      <c r="M44" s="12" t="s">
        <v>156</v>
      </c>
      <c r="O44" s="280"/>
      <c r="P44" s="281"/>
    </row>
    <row r="45" spans="1:16" x14ac:dyDescent="0.2">
      <c r="A45" s="12" t="s">
        <v>18</v>
      </c>
      <c r="B45" s="63" t="s">
        <v>22</v>
      </c>
      <c r="C45" s="63"/>
      <c r="D45" s="63"/>
      <c r="E45" s="291">
        <v>8790</v>
      </c>
      <c r="F45" s="292">
        <f t="shared" ref="F45:F63" si="3">(G45-H45)/E45</f>
        <v>0.9781569965870307</v>
      </c>
      <c r="G45" s="291">
        <v>9010</v>
      </c>
      <c r="H45" s="291">
        <v>412</v>
      </c>
      <c r="I45" s="292">
        <f t="shared" si="2"/>
        <v>0.93224366225692012</v>
      </c>
      <c r="J45" s="291">
        <f t="shared" ref="J45:J63" si="4">(E45*I45*FPR)+(H45*OPL_ScalingFactor*FPR)</f>
        <v>7951.6389339342977</v>
      </c>
      <c r="K45" s="168">
        <f>F14</f>
        <v>333.44</v>
      </c>
      <c r="L45" s="238">
        <v>333.69147995552419</v>
      </c>
      <c r="M45" s="12" t="s">
        <v>18</v>
      </c>
      <c r="O45" s="280"/>
      <c r="P45" s="281"/>
    </row>
    <row r="46" spans="1:16" x14ac:dyDescent="0.2">
      <c r="A46" s="12" t="s">
        <v>41</v>
      </c>
      <c r="B46" s="63"/>
      <c r="C46" s="63"/>
      <c r="D46" s="63" t="s">
        <v>41</v>
      </c>
      <c r="E46" s="291">
        <v>12207.6</v>
      </c>
      <c r="F46" s="292">
        <f t="shared" si="3"/>
        <v>1.014728529768341</v>
      </c>
      <c r="G46" s="291">
        <v>12692</v>
      </c>
      <c r="H46" s="291">
        <v>304.60000000000002</v>
      </c>
      <c r="I46" s="292">
        <f t="shared" si="2"/>
        <v>0.96709857833506907</v>
      </c>
      <c r="J46" s="291">
        <f t="shared" si="4"/>
        <v>11201.13222524907</v>
      </c>
      <c r="K46" s="168">
        <f>F38</f>
        <v>333.44</v>
      </c>
      <c r="L46" s="238">
        <v>333.69147995552419</v>
      </c>
      <c r="M46" s="12" t="s">
        <v>41</v>
      </c>
      <c r="O46" s="280"/>
      <c r="P46" s="281"/>
    </row>
    <row r="47" spans="1:16" x14ac:dyDescent="0.2">
      <c r="A47" s="12" t="s">
        <v>10</v>
      </c>
      <c r="B47" s="63" t="s">
        <v>26</v>
      </c>
      <c r="C47" s="63" t="s">
        <v>4</v>
      </c>
      <c r="D47" s="63" t="s">
        <v>10</v>
      </c>
      <c r="E47" s="291">
        <v>6310</v>
      </c>
      <c r="F47" s="292">
        <f t="shared" si="3"/>
        <v>0.99857369255150552</v>
      </c>
      <c r="G47" s="291">
        <v>6328</v>
      </c>
      <c r="H47" s="291">
        <v>27</v>
      </c>
      <c r="I47" s="292">
        <f t="shared" si="2"/>
        <v>0.95170202679708993</v>
      </c>
      <c r="J47" s="291">
        <f t="shared" si="4"/>
        <v>5584.6804854535221</v>
      </c>
      <c r="K47" s="168">
        <f>F20</f>
        <v>333.44</v>
      </c>
      <c r="L47" s="238">
        <v>333.69147995552419</v>
      </c>
      <c r="M47" s="12" t="s">
        <v>10</v>
      </c>
      <c r="O47" s="280"/>
      <c r="P47" s="281"/>
    </row>
    <row r="48" spans="1:16" x14ac:dyDescent="0.2">
      <c r="A48" s="12" t="s">
        <v>19</v>
      </c>
      <c r="B48" s="63"/>
      <c r="C48" s="63"/>
      <c r="D48" s="63" t="s">
        <v>19</v>
      </c>
      <c r="E48" s="291">
        <v>19040</v>
      </c>
      <c r="F48" s="292">
        <f t="shared" si="3"/>
        <v>0.97190126050420167</v>
      </c>
      <c r="G48" s="291">
        <v>19398</v>
      </c>
      <c r="H48" s="291">
        <v>893</v>
      </c>
      <c r="I48" s="292">
        <f t="shared" si="2"/>
        <v>0.92628156175943577</v>
      </c>
      <c r="J48" s="291">
        <f t="shared" si="4"/>
        <v>17119.410881293839</v>
      </c>
      <c r="K48" s="168">
        <f>F19</f>
        <v>333.44</v>
      </c>
      <c r="L48" s="238">
        <v>333.69147995552419</v>
      </c>
      <c r="M48" s="12" t="s">
        <v>19</v>
      </c>
      <c r="O48" s="280"/>
      <c r="P48" s="281"/>
    </row>
    <row r="49" spans="1:16" x14ac:dyDescent="0.2">
      <c r="A49" s="12" t="s">
        <v>20</v>
      </c>
      <c r="B49" s="63"/>
      <c r="C49" s="63"/>
      <c r="D49" s="63" t="s">
        <v>20</v>
      </c>
      <c r="E49" s="291">
        <v>3190</v>
      </c>
      <c r="F49" s="292">
        <f t="shared" si="3"/>
        <v>0.98996865203761752</v>
      </c>
      <c r="G49" s="291">
        <v>3455</v>
      </c>
      <c r="H49" s="291">
        <v>297</v>
      </c>
      <c r="I49" s="292">
        <f t="shared" si="2"/>
        <v>0.94350089496393197</v>
      </c>
      <c r="J49" s="291">
        <f t="shared" si="4"/>
        <v>3049.1578819914539</v>
      </c>
      <c r="K49" s="168">
        <f>F22</f>
        <v>333.44</v>
      </c>
      <c r="L49" s="238">
        <v>333.69147995552419</v>
      </c>
      <c r="M49" s="12" t="s">
        <v>20</v>
      </c>
      <c r="O49" s="282"/>
      <c r="P49" s="281"/>
    </row>
    <row r="50" spans="1:16" x14ac:dyDescent="0.2">
      <c r="A50" s="12" t="s">
        <v>370</v>
      </c>
      <c r="B50" s="63"/>
      <c r="C50" s="63"/>
      <c r="D50" s="63" t="s">
        <v>48</v>
      </c>
      <c r="E50" s="291">
        <v>5060</v>
      </c>
      <c r="F50" s="292">
        <f t="shared" si="3"/>
        <v>1.0118577075098814</v>
      </c>
      <c r="G50" s="291">
        <v>5121</v>
      </c>
      <c r="H50" s="291">
        <v>1</v>
      </c>
      <c r="I50" s="292">
        <f t="shared" si="2"/>
        <v>0.96436250849632821</v>
      </c>
      <c r="J50" s="291">
        <f t="shared" si="4"/>
        <v>4519.4609301528899</v>
      </c>
      <c r="K50" s="168">
        <f>F23</f>
        <v>333.44</v>
      </c>
      <c r="L50" s="238">
        <v>333.69147995552419</v>
      </c>
      <c r="M50" s="12" t="s">
        <v>370</v>
      </c>
      <c r="O50" s="282"/>
      <c r="P50" s="281"/>
    </row>
    <row r="51" spans="1:16" x14ac:dyDescent="0.2">
      <c r="A51" s="12" t="s">
        <v>40</v>
      </c>
      <c r="B51" s="63"/>
      <c r="C51" s="63"/>
      <c r="D51" s="63"/>
      <c r="E51" s="291">
        <v>2640</v>
      </c>
      <c r="F51" s="292">
        <f t="shared" si="3"/>
        <v>0.99583333333333335</v>
      </c>
      <c r="G51" s="291">
        <v>2629</v>
      </c>
      <c r="H51" s="291"/>
      <c r="I51" s="292">
        <f t="shared" si="2"/>
        <v>0.94909029624426244</v>
      </c>
      <c r="J51" s="291">
        <f t="shared" si="4"/>
        <v>2320.1841018105738</v>
      </c>
      <c r="K51" s="168">
        <f>F14</f>
        <v>333.44</v>
      </c>
      <c r="L51" s="238">
        <v>333.69147995552419</v>
      </c>
      <c r="M51" s="12" t="s">
        <v>40</v>
      </c>
      <c r="O51" s="282"/>
      <c r="P51" s="281"/>
    </row>
    <row r="52" spans="1:16" x14ac:dyDescent="0.2">
      <c r="A52" s="12" t="s">
        <v>28</v>
      </c>
      <c r="B52" s="63"/>
      <c r="C52" s="63"/>
      <c r="D52" s="63" t="s">
        <v>28</v>
      </c>
      <c r="E52" s="291">
        <v>22356.1</v>
      </c>
      <c r="F52" s="292">
        <f t="shared" si="3"/>
        <v>0.94600131507731688</v>
      </c>
      <c r="G52" s="291">
        <v>26019</v>
      </c>
      <c r="H52" s="291">
        <v>4870.1000000000004</v>
      </c>
      <c r="I52" s="292">
        <f t="shared" si="2"/>
        <v>0.90159732389040248</v>
      </c>
      <c r="J52" s="291">
        <f t="shared" si="4"/>
        <v>22962.674075697731</v>
      </c>
      <c r="K52" s="168">
        <f>F24</f>
        <v>333.44</v>
      </c>
      <c r="L52" s="238">
        <v>333.69147995552419</v>
      </c>
      <c r="M52" s="12" t="s">
        <v>28</v>
      </c>
      <c r="O52" s="282"/>
      <c r="P52" s="281"/>
    </row>
    <row r="53" spans="1:16" x14ac:dyDescent="0.2">
      <c r="A53" s="12" t="s">
        <v>16</v>
      </c>
      <c r="B53" s="63" t="s">
        <v>26</v>
      </c>
      <c r="C53" s="63" t="s">
        <v>31</v>
      </c>
      <c r="D53" s="63" t="s">
        <v>16</v>
      </c>
      <c r="E53" s="291">
        <v>3760</v>
      </c>
      <c r="F53" s="292">
        <f t="shared" si="3"/>
        <v>0.99707446808510636</v>
      </c>
      <c r="G53" s="291">
        <v>3749</v>
      </c>
      <c r="H53" s="291"/>
      <c r="I53" s="292">
        <f t="shared" si="2"/>
        <v>0.95027317385019305</v>
      </c>
      <c r="J53" s="291">
        <f t="shared" si="4"/>
        <v>3308.6231257846484</v>
      </c>
      <c r="K53" s="168">
        <f>F35</f>
        <v>333.44</v>
      </c>
      <c r="L53" s="238">
        <v>333.69147995552419</v>
      </c>
      <c r="M53" s="12" t="s">
        <v>16</v>
      </c>
      <c r="O53" s="282"/>
      <c r="P53" s="281"/>
    </row>
    <row r="54" spans="1:16" x14ac:dyDescent="0.2">
      <c r="A54" s="12" t="s">
        <v>371</v>
      </c>
      <c r="B54" s="63"/>
      <c r="C54" s="63"/>
      <c r="D54" s="63"/>
      <c r="E54" s="291">
        <v>2390.3000000000002</v>
      </c>
      <c r="F54" s="292">
        <f t="shared" si="3"/>
        <v>1.0094967158934025</v>
      </c>
      <c r="G54" s="291">
        <v>2413</v>
      </c>
      <c r="H54" s="291"/>
      <c r="I54" s="292">
        <f t="shared" si="2"/>
        <v>0.96211233855552747</v>
      </c>
      <c r="J54" s="291">
        <f t="shared" si="4"/>
        <v>2129.5565757584309</v>
      </c>
      <c r="K54" s="168">
        <f>F14</f>
        <v>333.44</v>
      </c>
      <c r="L54" s="238">
        <v>333.69147995552419</v>
      </c>
      <c r="M54" s="12" t="s">
        <v>99</v>
      </c>
      <c r="O54" s="282"/>
      <c r="P54" s="281"/>
    </row>
    <row r="55" spans="1:16" x14ac:dyDescent="0.2">
      <c r="A55" s="12" t="s">
        <v>11</v>
      </c>
      <c r="B55" s="63" t="s">
        <v>26</v>
      </c>
      <c r="C55" s="63" t="s">
        <v>31</v>
      </c>
      <c r="D55" s="63" t="s">
        <v>11</v>
      </c>
      <c r="E55" s="291">
        <v>5810</v>
      </c>
      <c r="F55" s="292">
        <f t="shared" si="3"/>
        <v>0.98915662650602409</v>
      </c>
      <c r="G55" s="291">
        <v>5747</v>
      </c>
      <c r="H55" s="291"/>
      <c r="I55" s="292">
        <f t="shared" si="2"/>
        <v>0.94272698478585204</v>
      </c>
      <c r="J55" s="291">
        <f t="shared" si="4"/>
        <v>5071.9277417669709</v>
      </c>
      <c r="K55" s="168">
        <f>F16</f>
        <v>333.44</v>
      </c>
      <c r="L55" s="238">
        <v>333.69147995552419</v>
      </c>
      <c r="M55" s="12" t="s">
        <v>11</v>
      </c>
      <c r="O55" s="282"/>
      <c r="P55" s="281"/>
    </row>
    <row r="56" spans="1:16" x14ac:dyDescent="0.2">
      <c r="A56" s="12" t="s">
        <v>12</v>
      </c>
      <c r="B56" s="63" t="s">
        <v>26</v>
      </c>
      <c r="C56" s="63"/>
      <c r="D56" s="63"/>
      <c r="E56" s="291">
        <v>2960</v>
      </c>
      <c r="F56" s="292">
        <f t="shared" si="3"/>
        <v>1.0260135135135136</v>
      </c>
      <c r="G56" s="291">
        <v>3037</v>
      </c>
      <c r="H56" s="291"/>
      <c r="I56" s="292">
        <f t="shared" si="2"/>
        <v>0.97785386057689416</v>
      </c>
      <c r="J56" s="291">
        <f t="shared" si="4"/>
        <v>2680.2583176868438</v>
      </c>
      <c r="K56" s="168">
        <f>F15</f>
        <v>333.44</v>
      </c>
      <c r="L56" s="238">
        <v>333.69147995552419</v>
      </c>
      <c r="M56" s="12" t="s">
        <v>12</v>
      </c>
      <c r="O56" s="282"/>
      <c r="P56" s="281"/>
    </row>
    <row r="57" spans="1:16" x14ac:dyDescent="0.2">
      <c r="A57" s="12" t="s">
        <v>170</v>
      </c>
      <c r="B57" s="63"/>
      <c r="C57" s="63"/>
      <c r="D57" s="63"/>
      <c r="E57" s="291">
        <v>60</v>
      </c>
      <c r="F57" s="292">
        <f t="shared" si="3"/>
        <v>1</v>
      </c>
      <c r="G57" s="291">
        <v>60</v>
      </c>
      <c r="H57" s="291"/>
      <c r="I57" s="292">
        <f t="shared" si="2"/>
        <v>0.95306138534988694</v>
      </c>
      <c r="J57" s="291">
        <f t="shared" si="4"/>
        <v>52.952090570039722</v>
      </c>
      <c r="K57" s="168">
        <f>F14</f>
        <v>333.44</v>
      </c>
      <c r="L57" s="238">
        <v>333.69147995552419</v>
      </c>
      <c r="M57" s="12" t="s">
        <v>170</v>
      </c>
      <c r="O57" s="282"/>
      <c r="P57" s="281"/>
    </row>
    <row r="58" spans="1:16" x14ac:dyDescent="0.2">
      <c r="A58" s="12" t="s">
        <v>8</v>
      </c>
      <c r="B58" s="63" t="s">
        <v>26</v>
      </c>
      <c r="C58" s="63" t="s">
        <v>31</v>
      </c>
      <c r="D58" s="63"/>
      <c r="E58" s="291">
        <v>8120</v>
      </c>
      <c r="F58" s="292">
        <f t="shared" si="3"/>
        <v>1.0082512315270935</v>
      </c>
      <c r="G58" s="291">
        <v>8258</v>
      </c>
      <c r="H58" s="291">
        <v>71</v>
      </c>
      <c r="I58" s="292">
        <f t="shared" si="2"/>
        <v>0.96092531549994131</v>
      </c>
      <c r="J58" s="291">
        <f t="shared" si="4"/>
        <v>7287.972732123133</v>
      </c>
      <c r="K58" s="168">
        <f>F16</f>
        <v>333.44</v>
      </c>
      <c r="L58" s="238">
        <v>333.69147995552419</v>
      </c>
      <c r="M58" s="12" t="s">
        <v>8</v>
      </c>
      <c r="O58" s="282"/>
      <c r="P58" s="281"/>
    </row>
    <row r="59" spans="1:16" x14ac:dyDescent="0.2">
      <c r="A59" s="12" t="s">
        <v>13</v>
      </c>
      <c r="B59" s="63" t="s">
        <v>26</v>
      </c>
      <c r="C59" s="63"/>
      <c r="D59" s="63"/>
      <c r="E59" s="291">
        <v>2760</v>
      </c>
      <c r="F59" s="292">
        <f t="shared" si="3"/>
        <v>1.0159420289855072</v>
      </c>
      <c r="G59" s="291">
        <v>2804</v>
      </c>
      <c r="H59" s="291"/>
      <c r="I59" s="292">
        <f t="shared" si="2"/>
        <v>0.96825511758010252</v>
      </c>
      <c r="J59" s="291">
        <f t="shared" si="4"/>
        <v>2474.627699306523</v>
      </c>
      <c r="K59" s="168">
        <f>F15</f>
        <v>333.44</v>
      </c>
      <c r="L59" s="238">
        <v>333.69147995552419</v>
      </c>
      <c r="M59" s="12" t="s">
        <v>13</v>
      </c>
      <c r="O59" s="282"/>
      <c r="P59" s="281"/>
    </row>
    <row r="60" spans="1:16" x14ac:dyDescent="0.2">
      <c r="A60" s="12" t="s">
        <v>14</v>
      </c>
      <c r="B60" s="63" t="s">
        <v>26</v>
      </c>
      <c r="C60" s="63" t="s">
        <v>4</v>
      </c>
      <c r="D60" s="63" t="s">
        <v>14</v>
      </c>
      <c r="E60" s="291">
        <v>5810</v>
      </c>
      <c r="F60" s="292">
        <f t="shared" si="3"/>
        <v>1.0132530120481928</v>
      </c>
      <c r="G60" s="291">
        <v>5887</v>
      </c>
      <c r="H60" s="291"/>
      <c r="I60" s="292">
        <f t="shared" si="2"/>
        <v>0.96569231937259636</v>
      </c>
      <c r="J60" s="291">
        <f t="shared" si="4"/>
        <v>5195.4826197637312</v>
      </c>
      <c r="K60" s="168">
        <f>F18</f>
        <v>333.44</v>
      </c>
      <c r="L60" s="238">
        <v>333.69147995552419</v>
      </c>
      <c r="M60" s="12" t="s">
        <v>14</v>
      </c>
      <c r="O60" s="282"/>
      <c r="P60" s="281"/>
    </row>
    <row r="61" spans="1:16" x14ac:dyDescent="0.2">
      <c r="A61" s="12" t="s">
        <v>9</v>
      </c>
      <c r="B61" s="63" t="s">
        <v>26</v>
      </c>
      <c r="C61" s="63"/>
      <c r="D61" s="63" t="s">
        <v>9</v>
      </c>
      <c r="E61" s="291">
        <v>7100</v>
      </c>
      <c r="F61" s="292">
        <f t="shared" si="3"/>
        <v>1.0126760563380282</v>
      </c>
      <c r="G61" s="291">
        <v>8718</v>
      </c>
      <c r="H61" s="291">
        <v>1528</v>
      </c>
      <c r="I61" s="292">
        <f t="shared" si="2"/>
        <v>0.96514244516418124</v>
      </c>
      <c r="J61" s="291">
        <f t="shared" si="4"/>
        <v>7693.9387598267713</v>
      </c>
      <c r="K61" s="168">
        <f>F21</f>
        <v>333.44</v>
      </c>
      <c r="L61" s="238">
        <v>333.69147995552419</v>
      </c>
      <c r="M61" s="12" t="s">
        <v>9</v>
      </c>
      <c r="O61" s="282"/>
      <c r="P61" s="281"/>
    </row>
    <row r="62" spans="1:16" x14ac:dyDescent="0.2">
      <c r="A62" s="12" t="s">
        <v>7</v>
      </c>
      <c r="B62" s="63" t="s">
        <v>26</v>
      </c>
      <c r="C62" s="63" t="s">
        <v>31</v>
      </c>
      <c r="D62" s="63" t="s">
        <v>7</v>
      </c>
      <c r="E62" s="291">
        <v>9700</v>
      </c>
      <c r="F62" s="292">
        <f t="shared" si="3"/>
        <v>0.99886597938144328</v>
      </c>
      <c r="G62" s="291">
        <v>10135</v>
      </c>
      <c r="H62" s="291">
        <v>446</v>
      </c>
      <c r="I62" s="292">
        <f t="shared" si="2"/>
        <v>0.95198059408814995</v>
      </c>
      <c r="J62" s="291">
        <f t="shared" si="4"/>
        <v>8944.4906321225444</v>
      </c>
      <c r="K62" s="168">
        <f>F32</f>
        <v>333.44</v>
      </c>
      <c r="L62" s="238">
        <v>333.69147995552419</v>
      </c>
      <c r="M62" s="12" t="s">
        <v>7</v>
      </c>
      <c r="O62" s="282"/>
      <c r="P62" s="281"/>
    </row>
    <row r="63" spans="1:16" x14ac:dyDescent="0.2">
      <c r="A63" s="12" t="s">
        <v>17</v>
      </c>
      <c r="B63" s="63" t="s">
        <v>26</v>
      </c>
      <c r="C63" s="63" t="s">
        <v>31</v>
      </c>
      <c r="D63" s="63"/>
      <c r="E63" s="291">
        <v>390</v>
      </c>
      <c r="F63" s="292">
        <f t="shared" si="3"/>
        <v>1</v>
      </c>
      <c r="G63" s="291">
        <v>390</v>
      </c>
      <c r="H63" s="291"/>
      <c r="I63" s="292">
        <f t="shared" si="2"/>
        <v>0.95306138534988694</v>
      </c>
      <c r="J63" s="291">
        <f t="shared" si="4"/>
        <v>344.18858870525821</v>
      </c>
      <c r="K63" s="168">
        <f>F16</f>
        <v>333.44</v>
      </c>
      <c r="L63" s="238">
        <v>333.69147995552419</v>
      </c>
      <c r="M63" s="12" t="s">
        <v>17</v>
      </c>
      <c r="O63" s="282"/>
      <c r="P63" s="281"/>
    </row>
    <row r="64" spans="1:16" ht="12.75" customHeight="1" x14ac:dyDescent="0.2">
      <c r="A64" s="67" t="s">
        <v>63</v>
      </c>
      <c r="B64" s="11"/>
      <c r="C64" s="11"/>
      <c r="D64" s="11"/>
      <c r="E64" s="125">
        <f>SUM(E43:E63)</f>
        <v>142688.5</v>
      </c>
      <c r="F64" s="42"/>
      <c r="G64" s="126">
        <f>SUM(G43:G63)</f>
        <v>152377.1</v>
      </c>
      <c r="H64" s="126">
        <f>SUM(H43:H63)</f>
        <v>11588</v>
      </c>
      <c r="I64" s="42"/>
      <c r="J64" s="127">
        <f>SUM(J43:J63)</f>
        <v>134478.1</v>
      </c>
      <c r="K64" s="179"/>
      <c r="L64" s="243" t="s">
        <v>22</v>
      </c>
      <c r="M64" s="243"/>
      <c r="O64" s="281"/>
    </row>
    <row r="65" spans="1:16" x14ac:dyDescent="0.2">
      <c r="A65" s="67" t="s">
        <v>157</v>
      </c>
      <c r="B65" s="11"/>
      <c r="C65" s="11"/>
      <c r="D65" s="11"/>
      <c r="E65" s="11"/>
      <c r="F65" s="11"/>
      <c r="G65" s="71" t="s">
        <v>22</v>
      </c>
      <c r="H65" s="71"/>
      <c r="I65" s="11"/>
      <c r="J65" s="80"/>
      <c r="K65" s="11"/>
      <c r="L65" s="244"/>
      <c r="M65" s="244"/>
      <c r="N65" s="11"/>
      <c r="O65" s="11"/>
      <c r="P65" s="11"/>
    </row>
    <row r="66" spans="1:16" ht="12.75" customHeight="1" x14ac:dyDescent="0.2">
      <c r="A66" s="203" t="s">
        <v>158</v>
      </c>
      <c r="B66" s="153"/>
      <c r="C66" s="153"/>
      <c r="D66" s="153"/>
      <c r="E66" s="153"/>
      <c r="F66" s="361"/>
      <c r="G66" s="361"/>
      <c r="H66" s="320"/>
      <c r="I66" s="153"/>
      <c r="J66" s="153"/>
      <c r="K66" s="153"/>
      <c r="L66" s="244"/>
      <c r="M66" s="244"/>
      <c r="N66" s="153"/>
      <c r="O66" s="153"/>
      <c r="P66" s="11"/>
    </row>
    <row r="67" spans="1:16" x14ac:dyDescent="0.2">
      <c r="A67" s="203" t="s">
        <v>360</v>
      </c>
      <c r="C67" s="237"/>
      <c r="D67" s="237"/>
      <c r="E67" s="283"/>
      <c r="F67" s="237"/>
      <c r="G67" s="237"/>
      <c r="I67" s="237"/>
      <c r="L67" s="284" t="s">
        <v>22</v>
      </c>
    </row>
    <row r="68" spans="1:16" x14ac:dyDescent="0.2">
      <c r="C68" s="237"/>
      <c r="D68" s="237"/>
      <c r="E68" s="283"/>
      <c r="F68" s="237"/>
      <c r="G68" s="237"/>
      <c r="H68" s="285"/>
      <c r="I68" s="237"/>
      <c r="J68" s="237"/>
      <c r="K68" s="286"/>
      <c r="L68" s="286"/>
      <c r="M68" s="287" t="s">
        <v>22</v>
      </c>
      <c r="N68" s="286"/>
    </row>
    <row r="69" spans="1:16" x14ac:dyDescent="0.2">
      <c r="G69" s="286"/>
      <c r="H69" s="285"/>
      <c r="M69" s="288" t="s">
        <v>22</v>
      </c>
    </row>
    <row r="70" spans="1:16" ht="15" x14ac:dyDescent="0.25">
      <c r="A70" s="8"/>
      <c r="E70" s="285"/>
      <c r="H70" s="285"/>
    </row>
    <row r="71" spans="1:16" x14ac:dyDescent="0.2">
      <c r="E71" s="285"/>
      <c r="F71" s="285"/>
      <c r="G71" s="285"/>
      <c r="H71" s="285"/>
    </row>
    <row r="72" spans="1:16" x14ac:dyDescent="0.2">
      <c r="E72" s="285"/>
      <c r="F72" s="285"/>
      <c r="G72" s="285"/>
    </row>
    <row r="81" spans="2:4" x14ac:dyDescent="0.2">
      <c r="B81" s="224" t="s">
        <v>22</v>
      </c>
    </row>
    <row r="82" spans="2:4" x14ac:dyDescent="0.2">
      <c r="B82" s="224" t="s">
        <v>22</v>
      </c>
    </row>
    <row r="83" spans="2:4" x14ac:dyDescent="0.2">
      <c r="B83" s="224" t="s">
        <v>22</v>
      </c>
      <c r="C83" s="224" t="s">
        <v>22</v>
      </c>
      <c r="D83" s="224" t="s">
        <v>22</v>
      </c>
    </row>
    <row r="84" spans="2:4" x14ac:dyDescent="0.2">
      <c r="B84" s="224" t="s">
        <v>22</v>
      </c>
    </row>
    <row r="85" spans="2:4" x14ac:dyDescent="0.2">
      <c r="B85" s="224" t="s">
        <v>22</v>
      </c>
    </row>
    <row r="86" spans="2:4" x14ac:dyDescent="0.2">
      <c r="B86" s="224" t="s">
        <v>22</v>
      </c>
    </row>
  </sheetData>
  <mergeCells count="1">
    <mergeCell ref="F66:G6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53"/>
  <sheetViews>
    <sheetView zoomScaleNormal="100" workbookViewId="0"/>
  </sheetViews>
  <sheetFormatPr defaultRowHeight="12.75" x14ac:dyDescent="0.2"/>
  <cols>
    <col min="1" max="1" width="17.5703125" customWidth="1"/>
    <col min="2" max="3" width="12.7109375" customWidth="1"/>
    <col min="4" max="4" width="15.42578125" customWidth="1"/>
    <col min="5" max="10" width="15.7109375" customWidth="1"/>
    <col min="11" max="11" width="17.28515625" bestFit="1" customWidth="1"/>
    <col min="12" max="26" width="15.7109375" customWidth="1"/>
    <col min="27" max="27" width="17.28515625" customWidth="1"/>
    <col min="28" max="36" width="15.7109375" customWidth="1"/>
    <col min="39" max="39" width="12.85546875" customWidth="1"/>
    <col min="41" max="41" width="12.7109375" customWidth="1"/>
  </cols>
  <sheetData>
    <row r="1" spans="1:32" ht="18.75" x14ac:dyDescent="0.3">
      <c r="A1" s="39" t="s">
        <v>367</v>
      </c>
      <c r="B1" s="3"/>
      <c r="C1" s="3"/>
      <c r="E1" s="3"/>
      <c r="F1" s="3"/>
      <c r="G1" s="3"/>
      <c r="H1" s="3"/>
      <c r="I1" s="3"/>
      <c r="J1" s="3"/>
      <c r="K1" s="3"/>
      <c r="L1" s="3"/>
      <c r="M1" s="3"/>
      <c r="N1" s="3"/>
      <c r="O1" s="3"/>
      <c r="P1" s="3"/>
      <c r="Q1" s="3"/>
      <c r="R1" s="3"/>
      <c r="S1" s="3"/>
      <c r="T1" s="3"/>
      <c r="U1" s="3"/>
      <c r="V1" s="3"/>
      <c r="W1" s="3"/>
      <c r="X1" s="3"/>
      <c r="Y1" s="3"/>
    </row>
    <row r="2" spans="1:32" ht="19.5" thickBot="1" x14ac:dyDescent="0.35">
      <c r="A2" s="1" t="s">
        <v>22</v>
      </c>
      <c r="B2" s="3"/>
      <c r="C2" s="3"/>
      <c r="D2" s="80"/>
      <c r="E2" s="4" t="s">
        <v>22</v>
      </c>
      <c r="F2" s="3"/>
      <c r="G2" s="9"/>
      <c r="H2" s="3"/>
      <c r="I2" s="3"/>
      <c r="J2" s="3"/>
      <c r="K2" s="3"/>
      <c r="L2" s="3"/>
      <c r="M2" s="3"/>
      <c r="N2" s="3"/>
      <c r="O2" s="3"/>
      <c r="P2" s="3"/>
      <c r="Q2" s="3"/>
      <c r="R2" s="3"/>
      <c r="S2" s="3"/>
      <c r="T2" s="3"/>
      <c r="U2" s="3"/>
      <c r="V2" s="3"/>
      <c r="W2" s="3"/>
      <c r="X2" s="3"/>
      <c r="Y2" s="3"/>
    </row>
    <row r="3" spans="1:32" ht="16.5" thickBot="1" x14ac:dyDescent="0.3">
      <c r="A3" s="113" t="s">
        <v>58</v>
      </c>
      <c r="B3" s="68"/>
      <c r="C3" s="68"/>
      <c r="E3" s="80"/>
      <c r="F3" s="80"/>
      <c r="G3" s="11"/>
      <c r="H3" s="72"/>
      <c r="I3" s="73"/>
      <c r="J3" s="137" t="s">
        <v>22</v>
      </c>
      <c r="K3" s="72"/>
      <c r="L3" s="72"/>
      <c r="M3" s="11"/>
      <c r="N3" s="11"/>
      <c r="O3" s="11"/>
      <c r="P3" s="11"/>
      <c r="Q3" s="11"/>
      <c r="R3" s="11"/>
      <c r="S3" s="11"/>
      <c r="T3" s="11"/>
      <c r="U3" s="11"/>
      <c r="V3" s="11"/>
      <c r="W3" s="11"/>
      <c r="X3" s="11"/>
      <c r="Y3" s="72"/>
      <c r="Z3" s="11"/>
      <c r="AA3" s="11"/>
      <c r="AB3" s="11"/>
      <c r="AC3" s="11"/>
      <c r="AD3" s="11"/>
      <c r="AE3" s="11"/>
      <c r="AF3" s="11"/>
    </row>
    <row r="4" spans="1:32" ht="114.75" x14ac:dyDescent="0.2">
      <c r="A4" s="135" t="s">
        <v>2</v>
      </c>
      <c r="B4" s="74" t="s">
        <v>59</v>
      </c>
      <c r="C4" s="74" t="s">
        <v>60</v>
      </c>
      <c r="D4" s="74" t="s">
        <v>76</v>
      </c>
      <c r="E4" s="74" t="s">
        <v>61</v>
      </c>
      <c r="F4" s="74" t="s">
        <v>87</v>
      </c>
      <c r="G4" s="74" t="s">
        <v>67</v>
      </c>
      <c r="H4" s="74" t="s">
        <v>88</v>
      </c>
      <c r="I4" s="191" t="s">
        <v>90</v>
      </c>
      <c r="J4" s="293"/>
      <c r="K4" s="11"/>
      <c r="L4" s="52"/>
      <c r="M4" s="16"/>
      <c r="N4" s="11"/>
      <c r="O4" s="11"/>
      <c r="P4" s="11"/>
      <c r="Q4" s="11"/>
      <c r="R4" s="11"/>
      <c r="S4" s="11"/>
      <c r="T4" s="11"/>
      <c r="U4" s="11"/>
      <c r="V4" s="11"/>
      <c r="W4" s="11"/>
      <c r="X4" s="11"/>
      <c r="Y4" s="11"/>
      <c r="Z4" s="11"/>
      <c r="AA4" s="11"/>
    </row>
    <row r="5" spans="1:32" x14ac:dyDescent="0.2">
      <c r="A5" s="75" t="s">
        <v>26</v>
      </c>
      <c r="B5" s="77">
        <f>'BRA Load Pricing Results'!B15</f>
        <v>50666.325327099672</v>
      </c>
      <c r="C5" s="77">
        <f>'BRA Resource Clearing Results'!F29</f>
        <v>51665.7</v>
      </c>
      <c r="D5" s="239">
        <v>-999.37467290032509</v>
      </c>
      <c r="E5" s="76">
        <f>'BRA Resource Clearing Results'!B92</f>
        <v>0</v>
      </c>
      <c r="F5" s="26">
        <f>D5-E5</f>
        <v>-999.37467290032509</v>
      </c>
      <c r="G5" s="26">
        <f>IF(F5&gt;0,IF(F5&gt;='BRA ICTRs'!B50,'BRA ICTRs'!B48,'BRA ICTRs'!#REF!),0)</f>
        <v>0</v>
      </c>
      <c r="H5" s="26">
        <f>IF(F5&gt;0,IF(F5&gt;='BRA ICTRs'!B50,'BRA ICTRs'!B15+'BRA ICTRs'!B34,'BRA ICTRs'!B15+'BRA ICTRs'!B34),0)</f>
        <v>0</v>
      </c>
      <c r="I5" s="192">
        <f>F5-G5-H5</f>
        <v>-999.37467290032509</v>
      </c>
      <c r="J5" s="165"/>
      <c r="K5" s="219"/>
      <c r="L5" s="11"/>
      <c r="M5" s="222"/>
      <c r="N5" s="11"/>
      <c r="O5" s="11"/>
      <c r="P5" s="11"/>
      <c r="Q5" s="11"/>
      <c r="R5" s="11"/>
      <c r="S5" s="11"/>
      <c r="T5" s="11"/>
      <c r="U5" s="11"/>
      <c r="V5" s="11"/>
      <c r="W5" s="11"/>
      <c r="X5" s="11"/>
      <c r="Y5" s="11"/>
      <c r="Z5" s="11"/>
      <c r="AA5" s="11"/>
    </row>
    <row r="6" spans="1:32" x14ac:dyDescent="0.2">
      <c r="A6" s="75" t="s">
        <v>31</v>
      </c>
      <c r="B6" s="77">
        <f>'BRA Load Pricing Results'!B16</f>
        <v>27037.337445062283</v>
      </c>
      <c r="C6" s="77">
        <f>'BRA Resource Clearing Results'!F30</f>
        <v>23863.200000000001</v>
      </c>
      <c r="D6" s="239">
        <v>3174.1374450622825</v>
      </c>
      <c r="E6" s="76">
        <f>'BRA Resource Clearing Results'!B93</f>
        <v>0</v>
      </c>
      <c r="F6" s="26">
        <f>D6-E6</f>
        <v>3174.1374450622825</v>
      </c>
      <c r="G6" s="26">
        <f>IF(F6&gt;0,'BRA ICTRs'!C48,0)</f>
        <v>40</v>
      </c>
      <c r="H6" s="26">
        <f>'BRA ICTRs'!C15+'BRA ICTRs'!C34</f>
        <v>948</v>
      </c>
      <c r="I6" s="192">
        <f>F6-G6-H6</f>
        <v>2186.1374450622825</v>
      </c>
      <c r="J6" s="165"/>
      <c r="K6" s="219"/>
      <c r="L6" s="11"/>
      <c r="M6" s="222"/>
      <c r="N6" s="11"/>
      <c r="O6" s="11"/>
      <c r="P6" s="11"/>
      <c r="Q6" s="11"/>
      <c r="R6" s="11"/>
      <c r="S6" s="11"/>
      <c r="T6" s="11"/>
      <c r="U6" s="11"/>
      <c r="V6" s="11"/>
      <c r="W6" s="11"/>
      <c r="X6" s="11"/>
      <c r="Y6" s="11"/>
      <c r="Z6" s="11"/>
      <c r="AA6" s="11"/>
    </row>
    <row r="7" spans="1:32" x14ac:dyDescent="0.2">
      <c r="A7" s="75" t="s">
        <v>4</v>
      </c>
      <c r="B7" s="310">
        <f>'BRA Load Pricing Results'!B17</f>
        <v>10780.163105217252</v>
      </c>
      <c r="C7" s="310">
        <f>'BRA Resource Clearing Results'!F31</f>
        <v>6482.6</v>
      </c>
      <c r="D7" s="239">
        <f>B7-C7</f>
        <v>4297.5631052172521</v>
      </c>
      <c r="E7" s="76">
        <f>'BRA Resource Clearing Results'!B94</f>
        <v>0</v>
      </c>
      <c r="F7" s="26">
        <f t="shared" ref="F7:F18" si="0">D7-E7</f>
        <v>4297.5631052172521</v>
      </c>
      <c r="G7" s="26">
        <f>IF(F7&gt;0,'BRA ICTRs'!D48,0)</f>
        <v>0</v>
      </c>
      <c r="H7" s="26">
        <f>'BRA ICTRs'!D15+'BRA ICTRs'!D34</f>
        <v>1722</v>
      </c>
      <c r="I7" s="192">
        <f>F7-G7-H7</f>
        <v>2575.5631052172521</v>
      </c>
      <c r="J7" s="165"/>
      <c r="K7" s="219"/>
      <c r="L7" s="11"/>
      <c r="M7" s="19"/>
      <c r="N7" s="11"/>
      <c r="O7" s="11"/>
      <c r="P7" s="11"/>
      <c r="Q7" s="11"/>
      <c r="R7" s="11"/>
      <c r="S7" s="11"/>
      <c r="T7" s="11"/>
      <c r="U7" s="11"/>
      <c r="V7" s="11"/>
      <c r="W7" s="11"/>
      <c r="X7" s="11"/>
      <c r="Y7" s="11"/>
      <c r="Z7" s="11"/>
      <c r="AA7" s="11"/>
    </row>
    <row r="8" spans="1:32" x14ac:dyDescent="0.2">
      <c r="A8" s="75" t="s">
        <v>38</v>
      </c>
      <c r="B8" s="77">
        <f>'BRA Load Pricing Results'!J62</f>
        <v>8944.4906321225444</v>
      </c>
      <c r="C8" s="77">
        <f>'BRA Load Pricing Results'!C32</f>
        <v>4157</v>
      </c>
      <c r="D8" s="239">
        <v>4787.4906321225444</v>
      </c>
      <c r="E8" s="76">
        <f>IF('BRA Resource Clearing Results'!D95+'BRA Resource Clearing Results'!D96=0,0,('BRA Resource Clearing Results'!D95+'BRA Resource Clearing Results'!D96)/'BRA Load Pricing Results'!D32)</f>
        <v>0</v>
      </c>
      <c r="F8" s="26">
        <f t="shared" si="0"/>
        <v>4787.4906321225444</v>
      </c>
      <c r="G8" s="26">
        <f>'BRA ICTRs'!E48+'BRA ICTRs'!F48</f>
        <v>1709</v>
      </c>
      <c r="H8" s="26">
        <f>'BRA ICTRs'!E34+'BRA ICTRs'!F34+'BRA ICTRs'!E15+'BRA ICTRs'!F15</f>
        <v>1289.4000000000001</v>
      </c>
      <c r="I8" s="192">
        <f t="shared" ref="I8:I13" si="1">F8-G8-H8</f>
        <v>1789.0906321225443</v>
      </c>
      <c r="J8" s="165"/>
      <c r="K8" s="219"/>
      <c r="L8" s="11"/>
      <c r="M8" s="19"/>
      <c r="N8" s="11"/>
      <c r="O8" s="11"/>
      <c r="P8" s="11"/>
      <c r="Q8" s="11"/>
      <c r="R8" s="11"/>
      <c r="S8" s="11"/>
      <c r="T8" s="11"/>
      <c r="U8" s="11"/>
      <c r="V8" s="11"/>
      <c r="W8" s="11"/>
      <c r="X8" s="11"/>
      <c r="Y8" s="11"/>
      <c r="Z8" s="11"/>
      <c r="AA8" s="11"/>
    </row>
    <row r="9" spans="1:32" x14ac:dyDescent="0.2">
      <c r="A9" s="75" t="s">
        <v>36</v>
      </c>
      <c r="B9" s="77">
        <f>'BRA Load Pricing Results'!J53</f>
        <v>3308.6231257846484</v>
      </c>
      <c r="C9" s="77">
        <f>'BRA Load Pricing Results'!C35</f>
        <v>3853.099999999999</v>
      </c>
      <c r="D9" s="239">
        <f>B9-C9</f>
        <v>-544.47687421535056</v>
      </c>
      <c r="E9" s="76">
        <f>IF('BRA Resource Clearing Results'!D97=0,0,('BRA Resource Clearing Results'!D97/'BRA Load Pricing Results'!D35))</f>
        <v>0</v>
      </c>
      <c r="F9" s="26">
        <f t="shared" si="0"/>
        <v>-544.47687421535056</v>
      </c>
      <c r="G9" s="26">
        <f>IF(F9&gt;0,IF(F9&gt;='BRA ICTRs'!G50,'BRA ICTRs'!G48,'BRA ICTRs'!#REF!),0)</f>
        <v>0</v>
      </c>
      <c r="H9" s="26">
        <f>'BRA ICTRs'!G15+'BRA ICTRs'!G34</f>
        <v>0</v>
      </c>
      <c r="I9" s="192">
        <f>F9-G9-H9</f>
        <v>-544.47687421535056</v>
      </c>
      <c r="J9" s="165"/>
      <c r="K9" s="219"/>
      <c r="L9" s="11"/>
      <c r="M9" s="19"/>
      <c r="N9" s="11"/>
      <c r="O9" s="11"/>
      <c r="P9" s="11"/>
      <c r="Q9" s="11"/>
      <c r="R9" s="11"/>
      <c r="S9" s="11"/>
      <c r="T9" s="11"/>
      <c r="U9" s="11"/>
      <c r="V9" s="11"/>
      <c r="W9" s="11"/>
      <c r="X9" s="11"/>
      <c r="Y9" s="11"/>
      <c r="Z9" s="11"/>
      <c r="AA9" s="11"/>
    </row>
    <row r="10" spans="1:32" x14ac:dyDescent="0.2">
      <c r="A10" s="75" t="s">
        <v>14</v>
      </c>
      <c r="B10" s="77">
        <f>'BRA Load Pricing Results'!J60</f>
        <v>5195.4826197637312</v>
      </c>
      <c r="C10" s="77">
        <f>'BRA Resource Clearing Results'!F35</f>
        <v>2148.9</v>
      </c>
      <c r="D10" s="239">
        <f t="shared" ref="D10:D12" si="2">B10-C10</f>
        <v>3046.5826197637311</v>
      </c>
      <c r="E10" s="76">
        <f>'BRA Resource Clearing Results'!B98</f>
        <v>0</v>
      </c>
      <c r="F10" s="26">
        <f>D10-E10</f>
        <v>3046.5826197637311</v>
      </c>
      <c r="G10" s="26">
        <f>IF(F10&gt;0,'BRA ICTRs'!H48,0)</f>
        <v>0</v>
      </c>
      <c r="H10" s="26">
        <f>'BRA ICTRs'!H15+'BRA ICTRs'!H34</f>
        <v>175</v>
      </c>
      <c r="I10" s="192">
        <f t="shared" si="1"/>
        <v>2871.5826197637311</v>
      </c>
      <c r="J10" s="165"/>
      <c r="K10" s="219"/>
      <c r="L10" s="11"/>
      <c r="M10" s="19"/>
      <c r="N10" s="11"/>
      <c r="O10" s="11"/>
      <c r="P10" s="11"/>
      <c r="Q10" s="11"/>
      <c r="R10" s="11"/>
      <c r="S10" s="11"/>
      <c r="T10" s="11"/>
      <c r="U10" s="11"/>
      <c r="V10" s="11"/>
      <c r="W10" s="11"/>
      <c r="X10" s="11"/>
      <c r="Y10" s="11"/>
      <c r="Z10" s="11"/>
      <c r="AA10" s="11"/>
    </row>
    <row r="11" spans="1:32" x14ac:dyDescent="0.2">
      <c r="A11" s="75" t="s">
        <v>98</v>
      </c>
      <c r="B11" s="77">
        <f>'BRA Load Pricing Results'!J46</f>
        <v>11201.13222524907</v>
      </c>
      <c r="C11" s="77">
        <f>'BRA Load Pricing Results'!C38</f>
        <v>7603.6</v>
      </c>
      <c r="D11" s="239">
        <v>3597.5322252490696</v>
      </c>
      <c r="E11" s="76">
        <f>IF('BRA Resource Clearing Results'!D99+'BRA Resource Clearing Results'!D100=0,0,('BRA Resource Clearing Results'!D99+'BRA Resource Clearing Results'!D100)/'BRA Load Pricing Results'!D38)</f>
        <v>0</v>
      </c>
      <c r="F11" s="26">
        <f t="shared" si="0"/>
        <v>3597.5322252490696</v>
      </c>
      <c r="G11" s="26">
        <v>0</v>
      </c>
      <c r="H11" s="26">
        <v>0</v>
      </c>
      <c r="I11" s="192">
        <f t="shared" si="1"/>
        <v>3597.5322252490696</v>
      </c>
      <c r="J11" s="165"/>
      <c r="K11" s="219"/>
      <c r="L11" s="11"/>
      <c r="M11" s="19"/>
      <c r="N11" s="11"/>
      <c r="O11" s="11"/>
      <c r="P11" s="11"/>
      <c r="Q11" s="11"/>
      <c r="R11" s="11"/>
      <c r="S11" s="11"/>
      <c r="T11" s="11"/>
      <c r="U11" s="11"/>
      <c r="V11" s="11"/>
      <c r="W11" s="11"/>
      <c r="X11" s="11"/>
      <c r="Y11" s="11"/>
      <c r="Z11" s="11"/>
      <c r="AA11" s="11"/>
    </row>
    <row r="12" spans="1:32" x14ac:dyDescent="0.2">
      <c r="A12" s="75" t="s">
        <v>19</v>
      </c>
      <c r="B12" s="77">
        <f>'BRA Load Pricing Results'!J48</f>
        <v>17119.410881293839</v>
      </c>
      <c r="C12" s="77">
        <f>'BRA Resource Clearing Results'!F38</f>
        <v>19549.399999999998</v>
      </c>
      <c r="D12" s="239">
        <f t="shared" si="2"/>
        <v>-2429.9891187061585</v>
      </c>
      <c r="E12" s="76">
        <f>'BRA Resource Clearing Results'!B101</f>
        <v>0</v>
      </c>
      <c r="F12" s="26">
        <f t="shared" si="0"/>
        <v>-2429.9891187061585</v>
      </c>
      <c r="G12" s="26">
        <f>IF(F12&gt;0,IF(F12&gt;='BRA ICTRs'!K50,'BRA ICTRs'!K48,'BRA ICTRs'!#REF!),0)</f>
        <v>0</v>
      </c>
      <c r="H12" s="26">
        <f>'BRA ICTRs'!K15+'BRA ICTRs'!K34</f>
        <v>0</v>
      </c>
      <c r="I12" s="192">
        <f>F12-G12-H12</f>
        <v>-2429.9891187061585</v>
      </c>
      <c r="J12" s="165"/>
      <c r="K12" s="219"/>
      <c r="L12" s="11"/>
      <c r="M12" s="19"/>
      <c r="N12" s="11"/>
      <c r="O12" s="11"/>
      <c r="P12" s="11"/>
      <c r="Q12" s="11"/>
      <c r="R12" s="11"/>
      <c r="S12" s="11"/>
      <c r="T12" s="11"/>
      <c r="U12" s="11"/>
      <c r="V12" s="11"/>
      <c r="W12" s="11"/>
      <c r="X12" s="11"/>
      <c r="Y12" s="11"/>
      <c r="Z12" s="11"/>
      <c r="AA12" s="11"/>
    </row>
    <row r="13" spans="1:32" x14ac:dyDescent="0.2">
      <c r="A13" s="75" t="s">
        <v>10</v>
      </c>
      <c r="B13" s="310">
        <f>'BRA Load Pricing Results'!J47</f>
        <v>5584.6804854535221</v>
      </c>
      <c r="C13" s="310">
        <f>'BRA Resource Clearing Results'!F39</f>
        <v>2216.8000000000002</v>
      </c>
      <c r="D13" s="239">
        <f>B13-C13</f>
        <v>3367.8804854535219</v>
      </c>
      <c r="E13" s="76">
        <f>'BRA Resource Clearing Results'!B102</f>
        <v>0</v>
      </c>
      <c r="F13" s="26">
        <f>D13-E13</f>
        <v>3367.8804854535219</v>
      </c>
      <c r="G13" s="26">
        <f>IF(F13&gt;0,'BRA ICTRs'!I48,0)</f>
        <v>65.7</v>
      </c>
      <c r="H13" s="26">
        <f>'BRA ICTRs'!I15+'BRA ICTRs'!I34</f>
        <v>306</v>
      </c>
      <c r="I13" s="192">
        <f t="shared" si="1"/>
        <v>2996.1804854535221</v>
      </c>
      <c r="J13" s="165"/>
      <c r="K13" s="219"/>
      <c r="L13" s="11"/>
      <c r="M13" s="19"/>
      <c r="N13" s="11"/>
      <c r="O13" s="11"/>
      <c r="P13" s="11"/>
      <c r="Q13" s="11"/>
      <c r="R13" s="11"/>
      <c r="S13" s="11"/>
      <c r="T13" s="11"/>
      <c r="U13" s="11"/>
      <c r="V13" s="11"/>
      <c r="W13" s="11"/>
      <c r="X13" s="11"/>
      <c r="Y13" s="11"/>
      <c r="Z13" s="11"/>
      <c r="AA13" s="11"/>
    </row>
    <row r="14" spans="1:32" x14ac:dyDescent="0.2">
      <c r="A14" s="154" t="s">
        <v>9</v>
      </c>
      <c r="B14" s="155">
        <f>'BRA Load Pricing Results'!J61</f>
        <v>7693.9387598267713</v>
      </c>
      <c r="C14" s="155">
        <f>'BRA Resource Clearing Results'!D61</f>
        <v>8568.2000000000007</v>
      </c>
      <c r="D14" s="239">
        <v>-874.26124017322945</v>
      </c>
      <c r="E14" s="76">
        <f>'BRA Resource Clearing Results'!B103</f>
        <v>0</v>
      </c>
      <c r="F14" s="276">
        <f t="shared" ref="F14:F15" si="3">D14-E14</f>
        <v>-874.26124017322945</v>
      </c>
      <c r="G14" s="276">
        <v>0</v>
      </c>
      <c r="H14" s="276">
        <v>0</v>
      </c>
      <c r="I14" s="193">
        <f t="shared" ref="I14:I15" si="4">F14-G14-H14</f>
        <v>-874.26124017322945</v>
      </c>
      <c r="J14" s="165"/>
      <c r="K14" s="219"/>
      <c r="L14" s="11"/>
      <c r="M14" s="19"/>
      <c r="N14" s="11"/>
      <c r="O14" s="11"/>
      <c r="P14" s="11"/>
      <c r="Q14" s="11"/>
      <c r="R14" s="11"/>
      <c r="S14" s="11"/>
      <c r="T14" s="11"/>
      <c r="U14" s="11"/>
      <c r="V14" s="11"/>
      <c r="W14" s="11"/>
      <c r="X14" s="11"/>
      <c r="Y14" s="11"/>
      <c r="Z14" s="11"/>
      <c r="AA14" s="11"/>
    </row>
    <row r="15" spans="1:32" x14ac:dyDescent="0.2">
      <c r="A15" s="75" t="s">
        <v>20</v>
      </c>
      <c r="B15" s="77">
        <f>'BRA Load Pricing Results'!J49</f>
        <v>3049.1578819914539</v>
      </c>
      <c r="C15" s="77">
        <f>'BRA Resource Clearing Results'!D62</f>
        <v>928.9</v>
      </c>
      <c r="D15" s="239">
        <v>2120.2578819914538</v>
      </c>
      <c r="E15" s="76">
        <f>'BRA Resource Clearing Results'!B104</f>
        <v>0</v>
      </c>
      <c r="F15" s="26">
        <f t="shared" si="3"/>
        <v>2120.2578819914538</v>
      </c>
      <c r="G15" s="26">
        <v>0</v>
      </c>
      <c r="H15" s="26">
        <v>0</v>
      </c>
      <c r="I15" s="192">
        <f t="shared" si="4"/>
        <v>2120.2578819914538</v>
      </c>
      <c r="J15" s="165"/>
      <c r="K15" s="219"/>
      <c r="L15" s="11"/>
      <c r="M15" s="19"/>
      <c r="N15" s="11"/>
      <c r="O15" s="11"/>
      <c r="P15" s="11"/>
      <c r="Q15" s="11"/>
      <c r="R15" s="11"/>
      <c r="S15" s="11"/>
      <c r="T15" s="11"/>
      <c r="U15" s="11"/>
      <c r="V15" s="11"/>
      <c r="W15" s="11"/>
      <c r="X15" s="11"/>
      <c r="Y15" s="11"/>
      <c r="Z15" s="11"/>
      <c r="AA15" s="11"/>
    </row>
    <row r="16" spans="1:32" x14ac:dyDescent="0.2">
      <c r="A16" s="75" t="s">
        <v>48</v>
      </c>
      <c r="B16" s="77">
        <f>'BRA Load Pricing Results'!J50</f>
        <v>4519.4609301528899</v>
      </c>
      <c r="C16" s="77">
        <f>'BRA Resource Clearing Results'!D63</f>
        <v>2414.5</v>
      </c>
      <c r="D16" s="239">
        <v>2104.9609301528899</v>
      </c>
      <c r="E16" s="76">
        <f>'BRA Resource Clearing Results'!B105</f>
        <v>0</v>
      </c>
      <c r="F16" s="26">
        <f t="shared" si="0"/>
        <v>2104.9609301528899</v>
      </c>
      <c r="G16" s="26">
        <f>IF(F16&gt;0,'BRA ICTRs'!J48,0)</f>
        <v>155</v>
      </c>
      <c r="H16" s="26">
        <f>'BRA ICTRs'!J15+'BRA ICTRs'!J34</f>
        <v>0</v>
      </c>
      <c r="I16" s="192">
        <f>F16-G16-H16</f>
        <v>1949.9609301528899</v>
      </c>
      <c r="J16" s="165"/>
      <c r="K16" s="219"/>
      <c r="L16" s="11"/>
      <c r="M16" s="19"/>
      <c r="N16" s="11"/>
      <c r="O16" s="11"/>
      <c r="P16" s="11"/>
      <c r="Q16" s="11"/>
      <c r="R16" s="11"/>
      <c r="S16" s="11"/>
      <c r="T16" s="11"/>
      <c r="U16" s="11"/>
      <c r="V16" s="11"/>
      <c r="W16" s="11"/>
      <c r="X16" s="11"/>
      <c r="Y16" s="11"/>
      <c r="Z16" s="11"/>
      <c r="AA16" s="11"/>
    </row>
    <row r="17" spans="1:41" x14ac:dyDescent="0.2">
      <c r="A17" s="75" t="s">
        <v>28</v>
      </c>
      <c r="B17" s="310">
        <f>'BRA Load Pricing Results'!J52</f>
        <v>22962.674075697731</v>
      </c>
      <c r="C17" s="310">
        <f>'BRA Resource Clearing Results'!D64</f>
        <v>19896.100000000002</v>
      </c>
      <c r="D17" s="239">
        <f>B17-C17</f>
        <v>3066.5740756977284</v>
      </c>
      <c r="E17" s="76">
        <f>'BRA Resource Clearing Results'!B106</f>
        <v>0</v>
      </c>
      <c r="F17" s="26">
        <f t="shared" si="0"/>
        <v>3066.5740756977284</v>
      </c>
      <c r="G17" s="26">
        <f>IF(F17&gt;0,'BRA ICTRs'!L48,0)</f>
        <v>0</v>
      </c>
      <c r="H17" s="26">
        <f>'BRA ICTRs'!L15+'BRA ICTRs'!L34</f>
        <v>2059</v>
      </c>
      <c r="I17" s="192">
        <f>F17-G17-H17</f>
        <v>1007.5740756977284</v>
      </c>
      <c r="J17" s="165"/>
      <c r="K17" s="219"/>
      <c r="L17" s="11"/>
      <c r="M17" s="19"/>
      <c r="N17" s="11"/>
      <c r="O17" s="11"/>
      <c r="P17" s="11"/>
      <c r="Q17" s="11"/>
      <c r="R17" s="11"/>
      <c r="S17" s="11"/>
      <c r="T17" s="11"/>
      <c r="U17" s="11"/>
      <c r="V17" s="11"/>
      <c r="W17" s="11"/>
      <c r="X17" s="11"/>
      <c r="Y17" s="11"/>
      <c r="Z17" s="11"/>
      <c r="AA17" s="11"/>
    </row>
    <row r="18" spans="1:41" ht="13.5" thickBot="1" x14ac:dyDescent="0.25">
      <c r="A18" s="156" t="s">
        <v>11</v>
      </c>
      <c r="B18" s="77">
        <f>'BRA Load Pricing Results'!J55</f>
        <v>5071.9277417669709</v>
      </c>
      <c r="C18" s="157">
        <f>'BRA Resource Clearing Results'!D65</f>
        <v>2496.6</v>
      </c>
      <c r="D18" s="240">
        <v>2575.327741766971</v>
      </c>
      <c r="E18" s="307">
        <f>'BRA Resource Clearing Results'!B107</f>
        <v>0</v>
      </c>
      <c r="F18" s="158">
        <f t="shared" si="0"/>
        <v>2575.327741766971</v>
      </c>
      <c r="G18" s="158">
        <v>0</v>
      </c>
      <c r="H18" s="158">
        <v>0</v>
      </c>
      <c r="I18" s="194">
        <f>F18-G18-H18</f>
        <v>2575.327741766971</v>
      </c>
      <c r="J18" s="165"/>
      <c r="K18" s="219"/>
      <c r="L18" s="11"/>
      <c r="M18" s="19"/>
      <c r="N18" s="11"/>
      <c r="O18" s="11"/>
      <c r="P18" s="11"/>
      <c r="Q18" s="11"/>
      <c r="R18" s="11"/>
      <c r="S18" s="11"/>
      <c r="T18" s="11"/>
      <c r="U18" s="11"/>
      <c r="V18" s="11"/>
      <c r="W18" s="11"/>
      <c r="X18" s="11"/>
      <c r="Y18" s="11"/>
      <c r="Z18" s="11"/>
      <c r="AA18" s="11"/>
    </row>
    <row r="19" spans="1:41" x14ac:dyDescent="0.2">
      <c r="A19" s="11" t="s">
        <v>77</v>
      </c>
      <c r="B19" s="11"/>
      <c r="C19" s="11"/>
      <c r="E19" s="11"/>
      <c r="F19" s="34"/>
      <c r="G19" s="35"/>
      <c r="H19" s="48"/>
      <c r="I19" s="35"/>
      <c r="J19" s="22"/>
      <c r="K19" s="79"/>
      <c r="L19" s="220"/>
      <c r="M19" s="11"/>
      <c r="N19" s="19"/>
      <c r="O19" s="11"/>
      <c r="P19" s="11"/>
      <c r="Q19" s="11"/>
      <c r="R19" s="11"/>
      <c r="S19" s="11"/>
      <c r="T19" s="11"/>
      <c r="U19" s="11"/>
      <c r="V19" s="11"/>
      <c r="W19" s="11"/>
      <c r="X19" s="11"/>
      <c r="Y19" s="11"/>
      <c r="Z19" s="11"/>
      <c r="AA19" s="11"/>
      <c r="AB19" s="11"/>
      <c r="AC19" s="11"/>
      <c r="AD19" s="11"/>
      <c r="AE19" s="11"/>
      <c r="AF19" s="11"/>
    </row>
    <row r="20" spans="1:41" ht="12.75" customHeight="1" thickBot="1" x14ac:dyDescent="0.25">
      <c r="A20" s="78"/>
      <c r="B20" s="11"/>
      <c r="C20" s="11"/>
      <c r="D20" s="34"/>
      <c r="E20" s="80"/>
      <c r="F20" s="34"/>
      <c r="G20" s="35"/>
      <c r="H20" s="48"/>
      <c r="I20" s="35"/>
      <c r="J20" s="22"/>
      <c r="K20" s="79"/>
      <c r="L20" s="11"/>
      <c r="M20" s="11"/>
      <c r="N20" s="19"/>
      <c r="O20" s="11"/>
      <c r="P20" s="11"/>
      <c r="Q20" s="11"/>
      <c r="R20" s="11"/>
      <c r="S20" s="11"/>
      <c r="T20" s="11"/>
      <c r="U20" s="11"/>
      <c r="V20" s="11"/>
      <c r="W20" s="11"/>
      <c r="X20" s="11"/>
      <c r="Y20" s="11"/>
      <c r="Z20" s="11"/>
      <c r="AA20" s="11"/>
      <c r="AB20" s="11"/>
      <c r="AC20" s="11"/>
      <c r="AD20" s="11"/>
      <c r="AE20" s="11"/>
      <c r="AF20" s="11"/>
    </row>
    <row r="21" spans="1:41" ht="15" customHeight="1" thickBot="1" x14ac:dyDescent="0.25">
      <c r="A21" s="364" t="s">
        <v>74</v>
      </c>
      <c r="B21" s="365"/>
      <c r="C21" s="365"/>
      <c r="D21" s="366"/>
      <c r="E21" s="8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row>
    <row r="22" spans="1:41" x14ac:dyDescent="0.2">
      <c r="A22" s="367"/>
      <c r="B22" s="368"/>
      <c r="C22" s="368"/>
      <c r="D22" s="369"/>
      <c r="E22" s="362" t="s">
        <v>26</v>
      </c>
      <c r="F22" s="363"/>
      <c r="G22" s="362" t="s">
        <v>31</v>
      </c>
      <c r="H22" s="363"/>
      <c r="I22" s="362" t="s">
        <v>4</v>
      </c>
      <c r="J22" s="363"/>
      <c r="K22" s="362" t="s">
        <v>38</v>
      </c>
      <c r="L22" s="363"/>
      <c r="M22" s="362" t="s">
        <v>36</v>
      </c>
      <c r="N22" s="363"/>
      <c r="O22" s="362" t="s">
        <v>14</v>
      </c>
      <c r="P22" s="363"/>
      <c r="Q22" s="362" t="s">
        <v>98</v>
      </c>
      <c r="R22" s="363"/>
      <c r="S22" s="362" t="s">
        <v>19</v>
      </c>
      <c r="T22" s="363"/>
      <c r="U22" s="362" t="s">
        <v>10</v>
      </c>
      <c r="V22" s="363"/>
      <c r="W22" s="362" t="s">
        <v>9</v>
      </c>
      <c r="X22" s="363"/>
      <c r="Y22" s="362" t="s">
        <v>20</v>
      </c>
      <c r="Z22" s="363"/>
      <c r="AA22" s="362" t="s">
        <v>48</v>
      </c>
      <c r="AB22" s="363"/>
      <c r="AC22" s="362" t="s">
        <v>28</v>
      </c>
      <c r="AD22" s="363"/>
      <c r="AE22" s="362" t="s">
        <v>11</v>
      </c>
      <c r="AF22" s="363"/>
      <c r="AG22" s="11"/>
      <c r="AH22" s="11"/>
      <c r="AI22" s="11"/>
      <c r="AJ22" s="11"/>
    </row>
    <row r="23" spans="1:41" ht="30.75" customHeight="1" thickBot="1" x14ac:dyDescent="0.25">
      <c r="A23" s="370"/>
      <c r="B23" s="371"/>
      <c r="C23" s="371"/>
      <c r="D23" s="372"/>
      <c r="E23" s="96" t="s">
        <v>39</v>
      </c>
      <c r="F23" s="82">
        <f>'BRA Resource Clearing Results'!C6</f>
        <v>0</v>
      </c>
      <c r="G23" s="96" t="s">
        <v>39</v>
      </c>
      <c r="H23" s="82">
        <f>'BRA Resource Clearing Results'!C7</f>
        <v>0</v>
      </c>
      <c r="I23" s="96" t="s">
        <v>39</v>
      </c>
      <c r="J23" s="82">
        <f>'BRA Resource Clearing Results'!C8</f>
        <v>0</v>
      </c>
      <c r="K23" s="96" t="s">
        <v>39</v>
      </c>
      <c r="L23" s="82">
        <f>'BRA Load Pricing Results'!D32</f>
        <v>0</v>
      </c>
      <c r="M23" s="96" t="s">
        <v>39</v>
      </c>
      <c r="N23" s="97">
        <f>'BRA Load Pricing Results'!D35</f>
        <v>0</v>
      </c>
      <c r="O23" s="96" t="s">
        <v>39</v>
      </c>
      <c r="P23" s="97">
        <f>'BRA Resource Clearing Results'!C12</f>
        <v>0</v>
      </c>
      <c r="Q23" s="96" t="s">
        <v>39</v>
      </c>
      <c r="R23" s="97">
        <f>'BRA Load Pricing Results'!D38</f>
        <v>0</v>
      </c>
      <c r="S23" s="96" t="s">
        <v>39</v>
      </c>
      <c r="T23" s="97">
        <f>'BRA Resource Clearing Results'!C15</f>
        <v>0</v>
      </c>
      <c r="U23" s="96" t="s">
        <v>39</v>
      </c>
      <c r="V23" s="97">
        <f>'BRA Resource Clearing Results'!C16</f>
        <v>0</v>
      </c>
      <c r="W23" s="96" t="s">
        <v>39</v>
      </c>
      <c r="X23" s="97">
        <f>'BRA Resource Clearing Results'!C17</f>
        <v>0</v>
      </c>
      <c r="Y23" s="96" t="s">
        <v>39</v>
      </c>
      <c r="Z23" s="97">
        <f>'BRA Resource Clearing Results'!C18</f>
        <v>0</v>
      </c>
      <c r="AA23" s="96" t="s">
        <v>39</v>
      </c>
      <c r="AB23" s="97">
        <f>'BRA Resource Clearing Results'!C19</f>
        <v>0</v>
      </c>
      <c r="AC23" s="96" t="s">
        <v>39</v>
      </c>
      <c r="AD23" s="97">
        <f>'BRA Resource Clearing Results'!C20</f>
        <v>0</v>
      </c>
      <c r="AE23" s="96" t="s">
        <v>39</v>
      </c>
      <c r="AF23" s="97">
        <f>'BRA Resource Clearing Results'!C21</f>
        <v>0</v>
      </c>
      <c r="AG23" s="11"/>
      <c r="AH23" s="11"/>
      <c r="AI23" s="11"/>
      <c r="AJ23" s="72"/>
    </row>
    <row r="24" spans="1:41" ht="63.75" x14ac:dyDescent="0.2">
      <c r="A24" s="60" t="s">
        <v>6</v>
      </c>
      <c r="B24" s="61" t="s">
        <v>25</v>
      </c>
      <c r="C24" s="61" t="s">
        <v>24</v>
      </c>
      <c r="D24" s="62" t="s">
        <v>29</v>
      </c>
      <c r="E24" s="60" t="s">
        <v>119</v>
      </c>
      <c r="F24" s="62" t="s">
        <v>120</v>
      </c>
      <c r="G24" s="60" t="s">
        <v>119</v>
      </c>
      <c r="H24" s="62" t="s">
        <v>120</v>
      </c>
      <c r="I24" s="60" t="s">
        <v>119</v>
      </c>
      <c r="J24" s="62" t="s">
        <v>120</v>
      </c>
      <c r="K24" s="60" t="s">
        <v>121</v>
      </c>
      <c r="L24" s="62" t="s">
        <v>120</v>
      </c>
      <c r="M24" s="60" t="s">
        <v>119</v>
      </c>
      <c r="N24" s="62" t="s">
        <v>122</v>
      </c>
      <c r="O24" s="60" t="s">
        <v>119</v>
      </c>
      <c r="P24" s="62" t="s">
        <v>122</v>
      </c>
      <c r="Q24" s="60" t="s">
        <v>119</v>
      </c>
      <c r="R24" s="62" t="s">
        <v>122</v>
      </c>
      <c r="S24" s="60" t="s">
        <v>119</v>
      </c>
      <c r="T24" s="62" t="s">
        <v>122</v>
      </c>
      <c r="U24" s="60" t="s">
        <v>119</v>
      </c>
      <c r="V24" s="62" t="s">
        <v>122</v>
      </c>
      <c r="W24" s="60" t="s">
        <v>119</v>
      </c>
      <c r="X24" s="62" t="s">
        <v>120</v>
      </c>
      <c r="Y24" s="60" t="s">
        <v>119</v>
      </c>
      <c r="Z24" s="62" t="s">
        <v>122</v>
      </c>
      <c r="AA24" s="60" t="s">
        <v>119</v>
      </c>
      <c r="AB24" s="62" t="s">
        <v>120</v>
      </c>
      <c r="AC24" s="60" t="s">
        <v>119</v>
      </c>
      <c r="AD24" s="62" t="s">
        <v>120</v>
      </c>
      <c r="AE24" s="60" t="s">
        <v>119</v>
      </c>
      <c r="AF24" s="62" t="s">
        <v>120</v>
      </c>
      <c r="AG24" s="60" t="s">
        <v>71</v>
      </c>
      <c r="AH24" s="61" t="s">
        <v>123</v>
      </c>
      <c r="AI24" s="186" t="s">
        <v>47</v>
      </c>
      <c r="AJ24" s="187" t="s">
        <v>124</v>
      </c>
      <c r="AK24" s="5"/>
    </row>
    <row r="25" spans="1:41" x14ac:dyDescent="0.2">
      <c r="A25" s="29" t="s">
        <v>15</v>
      </c>
      <c r="B25" s="63" t="s">
        <v>26</v>
      </c>
      <c r="C25" s="63" t="s">
        <v>31</v>
      </c>
      <c r="D25" s="64"/>
      <c r="E25" s="83">
        <f>IF(B25="MAAC",$I$5*'BRA Load Pricing Results'!J43/'BRA Load Pricing Results'!$B$15,0)</f>
        <v>-41.029892075005506</v>
      </c>
      <c r="F25" s="84">
        <f>E25*$F$23</f>
        <v>0</v>
      </c>
      <c r="G25" s="83">
        <f>IF(C25="EMAAC",$I$6*'BRA Load Pricing Results'!J43/'BRA Load Pricing Results'!$B$16,0)</f>
        <v>168.1918644082713</v>
      </c>
      <c r="H25" s="84">
        <f>G25*$H$23</f>
        <v>0</v>
      </c>
      <c r="I25" s="83">
        <f>IF(C25="SWMAAC",$I$7*'BRA Load Pricing Results'!J43/'BRA Load Pricing Results'!$B$17,0)</f>
        <v>0</v>
      </c>
      <c r="J25" s="84">
        <f>I25*$J$23</f>
        <v>0</v>
      </c>
      <c r="K25" s="83">
        <f>IF(D25="PS",$I$8*'BRA Load Pricing Results'!J43/'BRA Load Pricing Results'!$J$62,0)</f>
        <v>0</v>
      </c>
      <c r="L25" s="84">
        <f>K25*$L$23</f>
        <v>0</v>
      </c>
      <c r="M25" s="83">
        <f>IF(D25="DPL",$I$9*'BRA Load Pricing Results'!J43/'BRA Load Pricing Results'!$J$53,0)</f>
        <v>0</v>
      </c>
      <c r="N25" s="84">
        <f>M25*$N$23</f>
        <v>0</v>
      </c>
      <c r="O25" s="83">
        <f>IF(D25="PEPCO",$I$10*'BRA Load Pricing Results'!J43/'BRA Load Pricing Results'!$J$60,0)</f>
        <v>0</v>
      </c>
      <c r="P25" s="84">
        <f>O25*$P$23</f>
        <v>0</v>
      </c>
      <c r="Q25" s="83">
        <f>IF(D25="ATSI",$I$11*'BRA Load Pricing Results'!J43/'BRA Load Pricing Results'!$J$46,0)</f>
        <v>0</v>
      </c>
      <c r="R25" s="84">
        <f>Q25*$R$23</f>
        <v>0</v>
      </c>
      <c r="S25" s="83">
        <f>IF(D25="COMED",$I$12*'BRA Load Pricing Results'!J43/'BRA Load Pricing Results'!$J$48,0)</f>
        <v>0</v>
      </c>
      <c r="T25" s="84">
        <f>S25*$T$23</f>
        <v>0</v>
      </c>
      <c r="U25" s="83">
        <f>IF(D25="BGE",$I$13*'BRA Load Pricing Results'!J43/'BRA Load Pricing Results'!$J$47,0)</f>
        <v>0</v>
      </c>
      <c r="V25" s="84">
        <f>U25*$V$23</f>
        <v>0</v>
      </c>
      <c r="W25" s="83">
        <f>IF(D25="PL",$I$14*'BRA Load Pricing Results'!J43/'BRA Load Pricing Results'!$J$61,0)</f>
        <v>0</v>
      </c>
      <c r="X25" s="84">
        <f>W25*$X$23</f>
        <v>0</v>
      </c>
      <c r="Y25" s="83">
        <f>IF(D25="DAYTON",$I$15*'BRA Load Pricing Results'!J43/'BRA Load Pricing Results'!$J$49,0)</f>
        <v>0</v>
      </c>
      <c r="Z25" s="84">
        <f>Y25*$Z$23</f>
        <v>0</v>
      </c>
      <c r="AA25" s="83">
        <f>IF(D25="DEOK",$I$16*'BRA Load Pricing Results'!J43/'BRA Load Pricing Results'!$J$50,0)</f>
        <v>0</v>
      </c>
      <c r="AB25" s="84">
        <f>AA25*$AB$23</f>
        <v>0</v>
      </c>
      <c r="AC25" s="83">
        <f>IF(D25=$AC$22,$I$17*'BRA Load Pricing Results'!J43/'BRA Load Pricing Results'!$J$52,0)</f>
        <v>0</v>
      </c>
      <c r="AD25" s="84">
        <f>AC25*$AD$23</f>
        <v>0</v>
      </c>
      <c r="AE25" s="83">
        <f>IF(D25=$AE$22,$I$18*'BRA Load Pricing Results'!J43/'BRA Load Pricing Results'!$J$55,0)</f>
        <v>0</v>
      </c>
      <c r="AF25" s="84">
        <f>AE25*$AF$23</f>
        <v>0</v>
      </c>
      <c r="AG25" s="85">
        <f>MAX(E25,G25,I25,K25,M25,O25,Q25,S25,U25,W25,Y25,AA25,AC25,AE25)</f>
        <v>168.1918644082713</v>
      </c>
      <c r="AH25" s="17">
        <f>F25+H25+J25+L25+N25+P25+R25+T25+V25+X25+Z25+AB25+AD25+AF25</f>
        <v>0</v>
      </c>
      <c r="AI25" s="166">
        <f>AH25/'BRA Load Pricing Results'!J43</f>
        <v>0</v>
      </c>
      <c r="AJ25" s="188">
        <f>IF(AG25=0,0,AH25/AG25)</f>
        <v>0</v>
      </c>
      <c r="AK25" s="185"/>
      <c r="AL25" s="52"/>
      <c r="AM25" s="183"/>
      <c r="AN25" s="183"/>
      <c r="AO25" s="184"/>
    </row>
    <row r="26" spans="1:41" x14ac:dyDescent="0.2">
      <c r="A26" s="29" t="s">
        <v>27</v>
      </c>
      <c r="B26" s="63"/>
      <c r="C26" s="63"/>
      <c r="D26" s="64"/>
      <c r="E26" s="83">
        <f>IF(B26="MAAC",$I$5*'BRA Load Pricing Results'!J44/'BRA Load Pricing Results'!$B$15,0)</f>
        <v>0</v>
      </c>
      <c r="F26" s="84">
        <f>E26*$F$23</f>
        <v>0</v>
      </c>
      <c r="G26" s="83">
        <f>IF(C26="EMAAC",$I$6*'BRA Load Pricing Results'!J44/'BRA Load Pricing Results'!$B$16,0)</f>
        <v>0</v>
      </c>
      <c r="H26" s="84">
        <f>G26*$H$23</f>
        <v>0</v>
      </c>
      <c r="I26" s="83">
        <f>IF(C26="SWMAAC",$I$7*'BRA Load Pricing Results'!J44/'BRA Load Pricing Results'!$B$17,0)</f>
        <v>0</v>
      </c>
      <c r="J26" s="84">
        <f>I26*$J$23</f>
        <v>0</v>
      </c>
      <c r="K26" s="83">
        <f>IF(D26="PS",$I$8*'BRA Load Pricing Results'!J44/'BRA Load Pricing Results'!$J$62,0)</f>
        <v>0</v>
      </c>
      <c r="L26" s="84">
        <f>K26*$L$23</f>
        <v>0</v>
      </c>
      <c r="M26" s="83">
        <f>IF(D26="DPL",$I$9*'BRA Load Pricing Results'!J44/'BRA Load Pricing Results'!$J$53,0)</f>
        <v>0</v>
      </c>
      <c r="N26" s="84">
        <f t="shared" ref="N26:N41" si="5">M26*$N$23</f>
        <v>0</v>
      </c>
      <c r="O26" s="83">
        <f>IF(D26="PEPCO",$I$10*'BRA Load Pricing Results'!J44/'BRA Load Pricing Results'!$J$60,0)</f>
        <v>0</v>
      </c>
      <c r="P26" s="84">
        <f>O26*$P$23</f>
        <v>0</v>
      </c>
      <c r="Q26" s="83">
        <f>IF(D26="ATSI",$I$11*'BRA Load Pricing Results'!J44/'BRA Load Pricing Results'!$J$46,0)</f>
        <v>0</v>
      </c>
      <c r="R26" s="84">
        <f t="shared" ref="R26:R45" si="6">Q26*$R$23</f>
        <v>0</v>
      </c>
      <c r="S26" s="83">
        <f>IF(D26="COMED",$I$12*'BRA Load Pricing Results'!J44/'BRA Load Pricing Results'!$J$48,0)</f>
        <v>0</v>
      </c>
      <c r="T26" s="84">
        <f t="shared" ref="T26:T45" si="7">S26*$T$23</f>
        <v>0</v>
      </c>
      <c r="U26" s="83">
        <f>IF(D26="BGE",$I$13*'BRA Load Pricing Results'!J44/'BRA Load Pricing Results'!$J$47,0)</f>
        <v>0</v>
      </c>
      <c r="V26" s="84">
        <f>U26*$V$23</f>
        <v>0</v>
      </c>
      <c r="W26" s="83">
        <f>IF(D26="PL",$I$14*'BRA Load Pricing Results'!J44/'BRA Load Pricing Results'!$J$61,0)</f>
        <v>0</v>
      </c>
      <c r="X26" s="84">
        <f>W26*$X$23</f>
        <v>0</v>
      </c>
      <c r="Y26" s="83">
        <f>IF(D26="DAYTON",$I$15*'BRA Load Pricing Results'!J44/'BRA Load Pricing Results'!$J$49,0)</f>
        <v>0</v>
      </c>
      <c r="Z26" s="84">
        <f t="shared" ref="Z26:Z44" si="8">Y26*$Z$23</f>
        <v>0</v>
      </c>
      <c r="AA26" s="83">
        <f>IF(D26="DEOK",$I$16*'BRA Load Pricing Results'!J44/'BRA Load Pricing Results'!$J$50,0)</f>
        <v>0</v>
      </c>
      <c r="AB26" s="84">
        <f t="shared" ref="AB26:AB42" si="9">AA26*$AB$23</f>
        <v>0</v>
      </c>
      <c r="AC26" s="83">
        <f>IF(D26=$AC$22,$I$17*'BRA Load Pricing Results'!J44/'BRA Load Pricing Results'!$J$52,0)</f>
        <v>0</v>
      </c>
      <c r="AD26" s="84">
        <f t="shared" ref="AD26:AD45" si="10">AC26*$AD$23</f>
        <v>0</v>
      </c>
      <c r="AE26" s="83">
        <f>IF(D26=$AE$22,$I$18*'BRA Load Pricing Results'!J44/'BRA Load Pricing Results'!$J$55,0)</f>
        <v>0</v>
      </c>
      <c r="AF26" s="84">
        <f t="shared" ref="AF26:AF45" si="11">AE26*$AF$23</f>
        <v>0</v>
      </c>
      <c r="AG26" s="85">
        <f t="shared" ref="AG26:AG45" si="12">MAX(E26,G26,I26,K26,M26,O26,Q26,S26,U26,W26,Y26,AA26,AC26,AE26)</f>
        <v>0</v>
      </c>
      <c r="AH26" s="17">
        <f t="shared" ref="AH26:AH45" si="13">F26+H26+J26+L26+N26+P26+R26+T26+V26+X26+Z26+AB26+AD26+AF26</f>
        <v>0</v>
      </c>
      <c r="AI26" s="166">
        <f>AH26/'BRA Load Pricing Results'!J44</f>
        <v>0</v>
      </c>
      <c r="AJ26" s="188">
        <f>IF(AG26=0,0,AH26/AG26)</f>
        <v>0</v>
      </c>
      <c r="AK26" s="185"/>
      <c r="AL26" s="52"/>
      <c r="AM26" s="183"/>
      <c r="AN26" s="183"/>
      <c r="AO26" s="184"/>
    </row>
    <row r="27" spans="1:41" x14ac:dyDescent="0.2">
      <c r="A27" s="29" t="s">
        <v>18</v>
      </c>
      <c r="B27" s="63" t="s">
        <v>22</v>
      </c>
      <c r="C27" s="63"/>
      <c r="D27" s="64"/>
      <c r="E27" s="83">
        <f>IF(B27="MAAC",$I$5*'BRA Load Pricing Results'!J45/'BRA Load Pricing Results'!$B$15,0)</f>
        <v>0</v>
      </c>
      <c r="F27" s="84">
        <f t="shared" ref="F27:F45" si="14">E27*$F$23</f>
        <v>0</v>
      </c>
      <c r="G27" s="83">
        <f>IF(C27="EMAAC",$I$6*'BRA Load Pricing Results'!J45/'BRA Load Pricing Results'!$B$16,0)</f>
        <v>0</v>
      </c>
      <c r="H27" s="84">
        <f>G27*$H$23</f>
        <v>0</v>
      </c>
      <c r="I27" s="83">
        <f>IF(C27="SWMAAC",$I$7*'BRA Load Pricing Results'!J45/'BRA Load Pricing Results'!$B$17,0)</f>
        <v>0</v>
      </c>
      <c r="J27" s="84">
        <f t="shared" ref="J27:J45" si="15">I27*$J$23</f>
        <v>0</v>
      </c>
      <c r="K27" s="83">
        <f>IF(D27="PS",$I$8*'BRA Load Pricing Results'!J45/'BRA Load Pricing Results'!$J$62,0)</f>
        <v>0</v>
      </c>
      <c r="L27" s="84">
        <f>K27*$L$23</f>
        <v>0</v>
      </c>
      <c r="M27" s="83">
        <f>IF(D27="DPL",$I$9*'BRA Load Pricing Results'!J45/'BRA Load Pricing Results'!$J$53,0)</f>
        <v>0</v>
      </c>
      <c r="N27" s="84">
        <f t="shared" si="5"/>
        <v>0</v>
      </c>
      <c r="O27" s="83">
        <f>IF(D27="PEPCO",$I$10*'BRA Load Pricing Results'!J45/'BRA Load Pricing Results'!$J$60,0)</f>
        <v>0</v>
      </c>
      <c r="P27" s="84">
        <f>O27*$P$23</f>
        <v>0</v>
      </c>
      <c r="Q27" s="83">
        <f>IF(D27="ATSI",$I$11*'BRA Load Pricing Results'!J45/'BRA Load Pricing Results'!$J$46,0)</f>
        <v>0</v>
      </c>
      <c r="R27" s="84">
        <f t="shared" si="6"/>
        <v>0</v>
      </c>
      <c r="S27" s="83">
        <f>IF(D27="COMED",$I$12*'BRA Load Pricing Results'!J45/'BRA Load Pricing Results'!$J$48,0)</f>
        <v>0</v>
      </c>
      <c r="T27" s="84">
        <f t="shared" si="7"/>
        <v>0</v>
      </c>
      <c r="U27" s="83">
        <f>IF(D27="BGE",$I$13*'BRA Load Pricing Results'!J45/'BRA Load Pricing Results'!$J$47,0)</f>
        <v>0</v>
      </c>
      <c r="V27" s="84">
        <f>U27*$V$23</f>
        <v>0</v>
      </c>
      <c r="W27" s="83">
        <f>IF(D27="PL",$I$14*'BRA Load Pricing Results'!J45/'BRA Load Pricing Results'!$J$61,0)</f>
        <v>0</v>
      </c>
      <c r="X27" s="84">
        <f>W27*$X$23</f>
        <v>0</v>
      </c>
      <c r="Y27" s="83">
        <f>IF(D27="DAYTON",$I$15*'BRA Load Pricing Results'!J45/'BRA Load Pricing Results'!$J$49,0)</f>
        <v>0</v>
      </c>
      <c r="Z27" s="84">
        <f t="shared" si="8"/>
        <v>0</v>
      </c>
      <c r="AA27" s="83">
        <f>IF(D27="DEOK",$I$16*'BRA Load Pricing Results'!J45/'BRA Load Pricing Results'!$J$50,0)</f>
        <v>0</v>
      </c>
      <c r="AB27" s="84">
        <f t="shared" si="9"/>
        <v>0</v>
      </c>
      <c r="AC27" s="83">
        <f>IF(D27=$AC$22,$I$17*'BRA Load Pricing Results'!J45/'BRA Load Pricing Results'!$J$52,0)</f>
        <v>0</v>
      </c>
      <c r="AD27" s="84">
        <f t="shared" si="10"/>
        <v>0</v>
      </c>
      <c r="AE27" s="83">
        <f>IF(D27=$AE$22,$I$18*'BRA Load Pricing Results'!J45/'BRA Load Pricing Results'!$J$55,0)</f>
        <v>0</v>
      </c>
      <c r="AF27" s="84">
        <f t="shared" si="11"/>
        <v>0</v>
      </c>
      <c r="AG27" s="85">
        <f t="shared" si="12"/>
        <v>0</v>
      </c>
      <c r="AH27" s="17">
        <f t="shared" si="13"/>
        <v>0</v>
      </c>
      <c r="AI27" s="166">
        <f>AH27/'BRA Load Pricing Results'!J45</f>
        <v>0</v>
      </c>
      <c r="AJ27" s="188">
        <f>IF(AG27=0,0,AH27/AG27)</f>
        <v>0</v>
      </c>
      <c r="AK27" s="185"/>
      <c r="AL27" s="52"/>
      <c r="AM27" s="183"/>
      <c r="AN27" s="183"/>
      <c r="AO27" s="184"/>
    </row>
    <row r="28" spans="1:41" x14ac:dyDescent="0.2">
      <c r="A28" s="29" t="s">
        <v>41</v>
      </c>
      <c r="B28" s="63"/>
      <c r="C28" s="63"/>
      <c r="D28" s="64" t="s">
        <v>41</v>
      </c>
      <c r="E28" s="83">
        <f>IF(B28="MAAC",$I$5*'BRA Load Pricing Results'!J46/'BRA Load Pricing Results'!$B$15,0)</f>
        <v>0</v>
      </c>
      <c r="F28" s="84">
        <f t="shared" si="14"/>
        <v>0</v>
      </c>
      <c r="G28" s="83">
        <f>IF(C28="EMAAC",$I$6*'BRA Load Pricing Results'!J46/'BRA Load Pricing Results'!$B$16,0)</f>
        <v>0</v>
      </c>
      <c r="H28" s="84">
        <f>G28*$H$23</f>
        <v>0</v>
      </c>
      <c r="I28" s="83">
        <f>IF(C28="SWMAAC",$I$7*'BRA Load Pricing Results'!J46/'BRA Load Pricing Results'!$B$17,0)</f>
        <v>0</v>
      </c>
      <c r="J28" s="84">
        <f t="shared" si="15"/>
        <v>0</v>
      </c>
      <c r="K28" s="83">
        <f>IF(D28="PS",$I$8*'BRA Load Pricing Results'!J46/'BRA Load Pricing Results'!$J$62,0)</f>
        <v>0</v>
      </c>
      <c r="L28" s="84">
        <f t="shared" ref="L28:L45" si="16">K28*$L$23</f>
        <v>0</v>
      </c>
      <c r="M28" s="83">
        <f>IF(D28="DPL",$I$9*'BRA Load Pricing Results'!J46/'BRA Load Pricing Results'!$J$53,0)</f>
        <v>0</v>
      </c>
      <c r="N28" s="84">
        <f t="shared" si="5"/>
        <v>0</v>
      </c>
      <c r="O28" s="83">
        <f>IF(D28="PEPCO",$I$10*'BRA Load Pricing Results'!J46/'BRA Load Pricing Results'!$J$60,0)</f>
        <v>0</v>
      </c>
      <c r="P28" s="84">
        <f t="shared" ref="P28:P41" si="17">O28*$P$23</f>
        <v>0</v>
      </c>
      <c r="Q28" s="83">
        <f>IF(D28="ATSI",$I$11*'BRA Load Pricing Results'!J46/'BRA Load Pricing Results'!$J$46,0)</f>
        <v>3597.5322252490696</v>
      </c>
      <c r="R28" s="84">
        <f>Q28*$R$23</f>
        <v>0</v>
      </c>
      <c r="S28" s="83">
        <f>IF(D28="COMED",$I$12*'BRA Load Pricing Results'!J46/'BRA Load Pricing Results'!$J$48,0)</f>
        <v>0</v>
      </c>
      <c r="T28" s="84">
        <f t="shared" si="7"/>
        <v>0</v>
      </c>
      <c r="U28" s="83">
        <f>IF(D28="BGE",$I$13*'BRA Load Pricing Results'!J46/'BRA Load Pricing Results'!$J$47,0)</f>
        <v>0</v>
      </c>
      <c r="V28" s="84">
        <f>U28*$V$23</f>
        <v>0</v>
      </c>
      <c r="W28" s="83">
        <f>IF(D28="PL",$I$14*'BRA Load Pricing Results'!J46/'BRA Load Pricing Results'!$J$61,0)</f>
        <v>0</v>
      </c>
      <c r="X28" s="84">
        <f>W28*$X$23</f>
        <v>0</v>
      </c>
      <c r="Y28" s="83">
        <f>IF(D28="DAYTON",$I$15*'BRA Load Pricing Results'!J46/'BRA Load Pricing Results'!$J$49,0)</f>
        <v>0</v>
      </c>
      <c r="Z28" s="84">
        <f t="shared" si="8"/>
        <v>0</v>
      </c>
      <c r="AA28" s="83">
        <f>IF(D28="DEOK",$I$16*'BRA Load Pricing Results'!J46/'BRA Load Pricing Results'!$J$50,0)</f>
        <v>0</v>
      </c>
      <c r="AB28" s="84">
        <f t="shared" si="9"/>
        <v>0</v>
      </c>
      <c r="AC28" s="83">
        <f>IF(D28=$AC$22,$I$17*'BRA Load Pricing Results'!J46/'BRA Load Pricing Results'!$J$52,0)</f>
        <v>0</v>
      </c>
      <c r="AD28" s="84">
        <f t="shared" si="10"/>
        <v>0</v>
      </c>
      <c r="AE28" s="83">
        <f>IF(D28=$AE$22,$I$18*'BRA Load Pricing Results'!J46/'BRA Load Pricing Results'!$J$55,0)</f>
        <v>0</v>
      </c>
      <c r="AF28" s="84">
        <f t="shared" si="11"/>
        <v>0</v>
      </c>
      <c r="AG28" s="85">
        <f t="shared" si="12"/>
        <v>3597.5322252490696</v>
      </c>
      <c r="AH28" s="17">
        <f t="shared" si="13"/>
        <v>0</v>
      </c>
      <c r="AI28" s="166">
        <f>AH28/'BRA Load Pricing Results'!J46</f>
        <v>0</v>
      </c>
      <c r="AJ28" s="188">
        <f>IF(AG28=0,0,AH28/AG28)</f>
        <v>0</v>
      </c>
      <c r="AK28" s="185"/>
      <c r="AL28" s="52"/>
      <c r="AM28" s="183"/>
      <c r="AN28" s="183"/>
      <c r="AO28" s="184"/>
    </row>
    <row r="29" spans="1:41" x14ac:dyDescent="0.2">
      <c r="A29" s="29" t="s">
        <v>10</v>
      </c>
      <c r="B29" s="63" t="s">
        <v>26</v>
      </c>
      <c r="C29" s="63" t="s">
        <v>4</v>
      </c>
      <c r="D29" s="64" t="s">
        <v>10</v>
      </c>
      <c r="E29" s="83">
        <f>IF(B29="MAAC",$I$5*'BRA Load Pricing Results'!J47/'BRA Load Pricing Results'!$B$15,0)</f>
        <v>-110.15577303802921</v>
      </c>
      <c r="F29" s="309">
        <f>E29*$F$23</f>
        <v>0</v>
      </c>
      <c r="G29" s="83">
        <f>IF(C29="EMAAC",$I$6*'BRA Load Pricing Results'!J47/'BRA Load Pricing Results'!$B$16,0)</f>
        <v>0</v>
      </c>
      <c r="H29" s="309">
        <f t="shared" ref="H29:H43" si="18">G29*$H$23</f>
        <v>0</v>
      </c>
      <c r="I29" s="83">
        <f>IF(C29="SWMAAC",$I$7*'BRA Load Pricing Results'!J47/'BRA Load Pricing Results'!$B$17,0)</f>
        <v>1334.2745255681352</v>
      </c>
      <c r="J29" s="309">
        <f>I29*$J$23</f>
        <v>0</v>
      </c>
      <c r="K29" s="83">
        <f>IF(D29="PS",$I$8*'BRA Load Pricing Results'!J47/'BRA Load Pricing Results'!$J$62,0)</f>
        <v>0</v>
      </c>
      <c r="L29" s="309">
        <f t="shared" si="16"/>
        <v>0</v>
      </c>
      <c r="M29" s="83">
        <f>IF(D29="DPL",$I$9*'BRA Load Pricing Results'!J47/'BRA Load Pricing Results'!$J$53,0)</f>
        <v>0</v>
      </c>
      <c r="N29" s="309">
        <f t="shared" si="5"/>
        <v>0</v>
      </c>
      <c r="O29" s="83">
        <f>IF(D29="PEPCO",$I$10*'BRA Load Pricing Results'!J47/'BRA Load Pricing Results'!$J$60,0)</f>
        <v>0</v>
      </c>
      <c r="P29" s="309">
        <f t="shared" si="17"/>
        <v>0</v>
      </c>
      <c r="Q29" s="83">
        <f>IF(D29="ATSI",$I$11*'BRA Load Pricing Results'!J47/'BRA Load Pricing Results'!$J$46,0)</f>
        <v>0</v>
      </c>
      <c r="R29" s="309">
        <f t="shared" si="6"/>
        <v>0</v>
      </c>
      <c r="S29" s="83">
        <f>IF(D29="COMED",$I$12*'BRA Load Pricing Results'!J47/'BRA Load Pricing Results'!$J$48,0)</f>
        <v>0</v>
      </c>
      <c r="T29" s="309">
        <f t="shared" si="7"/>
        <v>0</v>
      </c>
      <c r="U29" s="83">
        <f>IF(D29="BGE",$I$13*'BRA Load Pricing Results'!J47/'BRA Load Pricing Results'!$J$47,0)</f>
        <v>2996.1804854535221</v>
      </c>
      <c r="V29" s="309">
        <f>U29*$V$23</f>
        <v>0</v>
      </c>
      <c r="W29" s="83">
        <f>IF(D29="PL",$I$14*'BRA Load Pricing Results'!J47/'BRA Load Pricing Results'!$J$61,0)</f>
        <v>0</v>
      </c>
      <c r="X29" s="309">
        <f t="shared" ref="X29:X42" si="19">W29*$X$23</f>
        <v>0</v>
      </c>
      <c r="Y29" s="83">
        <f>IF(D29="DAYTON",$I$15*'BRA Load Pricing Results'!J47/'BRA Load Pricing Results'!$J$49,0)</f>
        <v>0</v>
      </c>
      <c r="Z29" s="309">
        <f t="shared" si="8"/>
        <v>0</v>
      </c>
      <c r="AA29" s="83">
        <f>IF(D29="DEOK",$I$16*'BRA Load Pricing Results'!J47/'BRA Load Pricing Results'!$J$50,0)</f>
        <v>0</v>
      </c>
      <c r="AB29" s="309">
        <f t="shared" si="9"/>
        <v>0</v>
      </c>
      <c r="AC29" s="83">
        <f>IF(D29=$AC$22,$I$17*'BRA Load Pricing Results'!J47/'BRA Load Pricing Results'!$J$52,0)</f>
        <v>0</v>
      </c>
      <c r="AD29" s="309">
        <f t="shared" si="10"/>
        <v>0</v>
      </c>
      <c r="AE29" s="83">
        <f>IF(D29=$AE$22,$I$18*'BRA Load Pricing Results'!J47/'BRA Load Pricing Results'!$J$55,0)</f>
        <v>0</v>
      </c>
      <c r="AF29" s="309">
        <f t="shared" si="11"/>
        <v>0</v>
      </c>
      <c r="AG29" s="85">
        <f t="shared" si="12"/>
        <v>2996.1804854535221</v>
      </c>
      <c r="AH29" s="17">
        <f>F29+H29+J29+L29+N29+P29+R29+T29+V29+X29+Z29+AB29+AD29+AF29</f>
        <v>0</v>
      </c>
      <c r="AI29" s="166">
        <f>AH29/'BRA Load Pricing Results'!J47</f>
        <v>0</v>
      </c>
      <c r="AJ29" s="188">
        <f>IF(AG29=0,0,AH29/AG29)</f>
        <v>0</v>
      </c>
      <c r="AK29" s="185"/>
      <c r="AL29" s="52"/>
      <c r="AM29" s="183"/>
      <c r="AN29" s="183"/>
      <c r="AO29" s="184"/>
    </row>
    <row r="30" spans="1:41" x14ac:dyDescent="0.2">
      <c r="A30" s="29" t="s">
        <v>19</v>
      </c>
      <c r="B30" s="63"/>
      <c r="C30" s="63"/>
      <c r="D30" s="64" t="s">
        <v>19</v>
      </c>
      <c r="E30" s="83">
        <f>IF(B30="MAAC",$I$5*'BRA Load Pricing Results'!J48/'BRA Load Pricing Results'!$B$15,0)</f>
        <v>0</v>
      </c>
      <c r="F30" s="84">
        <f t="shared" si="14"/>
        <v>0</v>
      </c>
      <c r="G30" s="83">
        <f>IF(C30="EMAAC",$I$6*'BRA Load Pricing Results'!J48/'BRA Load Pricing Results'!$B$16,0)</f>
        <v>0</v>
      </c>
      <c r="H30" s="84">
        <f t="shared" si="18"/>
        <v>0</v>
      </c>
      <c r="I30" s="83">
        <f>IF(C30="SWMAAC",$I$7*'BRA Load Pricing Results'!J48/'BRA Load Pricing Results'!$B$17,0)</f>
        <v>0</v>
      </c>
      <c r="J30" s="84">
        <f t="shared" si="15"/>
        <v>0</v>
      </c>
      <c r="K30" s="83">
        <f>IF(D30="PS",$I$8*'BRA Load Pricing Results'!J48/'BRA Load Pricing Results'!$J$62,0)</f>
        <v>0</v>
      </c>
      <c r="L30" s="84">
        <f t="shared" si="16"/>
        <v>0</v>
      </c>
      <c r="M30" s="83">
        <f>IF(D30="DPL",$I$9*'BRA Load Pricing Results'!J48/'BRA Load Pricing Results'!$J$53,0)</f>
        <v>0</v>
      </c>
      <c r="N30" s="84">
        <f t="shared" si="5"/>
        <v>0</v>
      </c>
      <c r="O30" s="83">
        <f>IF(D30="PEPCO",$I$10*'BRA Load Pricing Results'!J48/'BRA Load Pricing Results'!$J$60,0)</f>
        <v>0</v>
      </c>
      <c r="P30" s="84">
        <f t="shared" si="17"/>
        <v>0</v>
      </c>
      <c r="Q30" s="83">
        <f>IF(D30="ATSI",$I$11*'BRA Load Pricing Results'!J48/'BRA Load Pricing Results'!$J$46,0)</f>
        <v>0</v>
      </c>
      <c r="R30" s="84">
        <f t="shared" si="6"/>
        <v>0</v>
      </c>
      <c r="S30" s="86">
        <f>IF(D30="COMED",$I$12*'BRA Load Pricing Results'!J48/'BRA Load Pricing Results'!$J$48,0)</f>
        <v>-2429.9891187061585</v>
      </c>
      <c r="T30" s="84">
        <f>S30*$T$23</f>
        <v>0</v>
      </c>
      <c r="U30" s="83">
        <f>IF(D30="BGE",$I$13*'BRA Load Pricing Results'!J48/'BRA Load Pricing Results'!$J$47,0)</f>
        <v>0</v>
      </c>
      <c r="V30" s="84">
        <f t="shared" ref="V30:V45" si="20">U30*$V$23</f>
        <v>0</v>
      </c>
      <c r="W30" s="83">
        <f>IF(D30="PL",$I$14*'BRA Load Pricing Results'!J48/'BRA Load Pricing Results'!$J$61,0)</f>
        <v>0</v>
      </c>
      <c r="X30" s="84">
        <f t="shared" si="19"/>
        <v>0</v>
      </c>
      <c r="Y30" s="83">
        <f>IF(D30="DAYTON",$I$15*'BRA Load Pricing Results'!J48/'BRA Load Pricing Results'!$J$49,0)</f>
        <v>0</v>
      </c>
      <c r="Z30" s="84">
        <f t="shared" si="8"/>
        <v>0</v>
      </c>
      <c r="AA30" s="83">
        <f>IF(D30="DEOK",$I$16*'BRA Load Pricing Results'!J48/'BRA Load Pricing Results'!$J$50,0)</f>
        <v>0</v>
      </c>
      <c r="AB30" s="84">
        <f t="shared" si="9"/>
        <v>0</v>
      </c>
      <c r="AC30" s="83">
        <f>IF(D30=$AC$22,$I$17*'BRA Load Pricing Results'!J48/'BRA Load Pricing Results'!$J$52,0)</f>
        <v>0</v>
      </c>
      <c r="AD30" s="84">
        <f t="shared" si="10"/>
        <v>0</v>
      </c>
      <c r="AE30" s="83">
        <f>IF(D30=$AE$22,$I$18*'BRA Load Pricing Results'!J48/'BRA Load Pricing Results'!$J$55,0)</f>
        <v>0</v>
      </c>
      <c r="AF30" s="84">
        <f t="shared" si="11"/>
        <v>0</v>
      </c>
      <c r="AG30" s="85">
        <f t="shared" si="12"/>
        <v>0</v>
      </c>
      <c r="AH30" s="17">
        <f t="shared" si="13"/>
        <v>0</v>
      </c>
      <c r="AI30" s="166">
        <f>AH30/'BRA Load Pricing Results'!J48</f>
        <v>0</v>
      </c>
      <c r="AJ30" s="188">
        <f t="shared" ref="AJ30:AJ45" si="21">IF(AG30=0,0,AH30/AG30)</f>
        <v>0</v>
      </c>
      <c r="AK30" s="185"/>
      <c r="AL30" s="52"/>
      <c r="AM30" s="183"/>
      <c r="AN30" s="183"/>
      <c r="AO30" s="184"/>
    </row>
    <row r="31" spans="1:41" x14ac:dyDescent="0.2">
      <c r="A31" s="29" t="s">
        <v>20</v>
      </c>
      <c r="B31" s="63"/>
      <c r="C31" s="63"/>
      <c r="D31" s="64" t="s">
        <v>20</v>
      </c>
      <c r="E31" s="83">
        <f>IF(B31="MAAC",$I$5*'BRA Load Pricing Results'!J49/'BRA Load Pricing Results'!$B$15,0)</f>
        <v>0</v>
      </c>
      <c r="F31" s="84">
        <f t="shared" si="14"/>
        <v>0</v>
      </c>
      <c r="G31" s="83">
        <f>IF(C31="EMAAC",$I$6*'BRA Load Pricing Results'!J49/'BRA Load Pricing Results'!$B$16,0)</f>
        <v>0</v>
      </c>
      <c r="H31" s="84">
        <f>G31*$H$23</f>
        <v>0</v>
      </c>
      <c r="I31" s="83">
        <f>IF(C31="SWMAAC",$I$7*'BRA Load Pricing Results'!J49/'BRA Load Pricing Results'!$B$17,0)</f>
        <v>0</v>
      </c>
      <c r="J31" s="84">
        <f>I31*$J$23</f>
        <v>0</v>
      </c>
      <c r="K31" s="83">
        <f>IF(D31="PS",$I$8*'BRA Load Pricing Results'!J49/'BRA Load Pricing Results'!$J$62,0)</f>
        <v>0</v>
      </c>
      <c r="L31" s="84">
        <f t="shared" si="16"/>
        <v>0</v>
      </c>
      <c r="M31" s="83">
        <f>IF(D31="DPL",$I$9*'BRA Load Pricing Results'!J49/'BRA Load Pricing Results'!$J$53,0)</f>
        <v>0</v>
      </c>
      <c r="N31" s="84">
        <f t="shared" si="5"/>
        <v>0</v>
      </c>
      <c r="O31" s="83">
        <f>IF(D31="PEPCO",$I$10*'BRA Load Pricing Results'!J49/'BRA Load Pricing Results'!$J$60,0)</f>
        <v>0</v>
      </c>
      <c r="P31" s="84">
        <f t="shared" si="17"/>
        <v>0</v>
      </c>
      <c r="Q31" s="83">
        <f>IF(D31="ATSI",$I$11*'BRA Load Pricing Results'!J49/'BRA Load Pricing Results'!$J$46,0)</f>
        <v>0</v>
      </c>
      <c r="R31" s="84">
        <f t="shared" si="6"/>
        <v>0</v>
      </c>
      <c r="S31" s="83">
        <f>IF(D31="COMED",$I$12*'BRA Load Pricing Results'!J49/'BRA Load Pricing Results'!$J$48,0)</f>
        <v>0</v>
      </c>
      <c r="T31" s="84">
        <f t="shared" si="7"/>
        <v>0</v>
      </c>
      <c r="U31" s="83">
        <f>IF(D31="BGE",$I$13*'BRA Load Pricing Results'!J49/'BRA Load Pricing Results'!$J$47,0)</f>
        <v>0</v>
      </c>
      <c r="V31" s="84">
        <f t="shared" si="20"/>
        <v>0</v>
      </c>
      <c r="W31" s="83">
        <f>IF(D31="PL",$I$14*'BRA Load Pricing Results'!J49/'BRA Load Pricing Results'!$J$61,0)</f>
        <v>0</v>
      </c>
      <c r="X31" s="84">
        <f t="shared" si="19"/>
        <v>0</v>
      </c>
      <c r="Y31" s="83">
        <f>IF(D31="DAYTON",$I$15*'BRA Load Pricing Results'!J49/'BRA Load Pricing Results'!$J$49,0)</f>
        <v>2120.2578819914538</v>
      </c>
      <c r="Z31" s="84">
        <f t="shared" si="8"/>
        <v>0</v>
      </c>
      <c r="AA31" s="83">
        <f>IF(D31="DEOK",$I$16*'BRA Load Pricing Results'!J49/'BRA Load Pricing Results'!$J$50,0)</f>
        <v>0</v>
      </c>
      <c r="AB31" s="84">
        <f t="shared" si="9"/>
        <v>0</v>
      </c>
      <c r="AC31" s="83">
        <f>IF(D31=$AC$22,$I$17*'BRA Load Pricing Results'!J49/'BRA Load Pricing Results'!$J$52,0)</f>
        <v>0</v>
      </c>
      <c r="AD31" s="84">
        <f t="shared" si="10"/>
        <v>0</v>
      </c>
      <c r="AE31" s="83">
        <f>IF(D31=$AE$22,$I$18*'BRA Load Pricing Results'!J49/'BRA Load Pricing Results'!$J$55,0)</f>
        <v>0</v>
      </c>
      <c r="AF31" s="84">
        <f t="shared" si="11"/>
        <v>0</v>
      </c>
      <c r="AG31" s="85">
        <f t="shared" si="12"/>
        <v>2120.2578819914538</v>
      </c>
      <c r="AH31" s="17">
        <f t="shared" si="13"/>
        <v>0</v>
      </c>
      <c r="AI31" s="166">
        <f>AH31/'BRA Load Pricing Results'!J49</f>
        <v>0</v>
      </c>
      <c r="AJ31" s="188">
        <f t="shared" si="21"/>
        <v>0</v>
      </c>
      <c r="AK31" s="185"/>
      <c r="AL31" s="52"/>
      <c r="AM31" s="183"/>
      <c r="AN31" s="183"/>
      <c r="AO31" s="184"/>
    </row>
    <row r="32" spans="1:41" x14ac:dyDescent="0.2">
      <c r="A32" s="29" t="s">
        <v>48</v>
      </c>
      <c r="B32" s="63"/>
      <c r="C32" s="63"/>
      <c r="D32" s="64" t="s">
        <v>48</v>
      </c>
      <c r="E32" s="83">
        <f>IF(B32="MAAC",$I$5*'BRA Load Pricing Results'!J50/'BRA Load Pricing Results'!$B$15,0)</f>
        <v>0</v>
      </c>
      <c r="F32" s="84">
        <f t="shared" si="14"/>
        <v>0</v>
      </c>
      <c r="G32" s="83">
        <f>IF(C32="EMAAC",$I$6*'BRA Load Pricing Results'!J50/'BRA Load Pricing Results'!$B$16,0)</f>
        <v>0</v>
      </c>
      <c r="H32" s="84">
        <f>G32*$H$23</f>
        <v>0</v>
      </c>
      <c r="I32" s="83">
        <f>IF(C32="SWMAAC",$I$7*'BRA Load Pricing Results'!J50/'BRA Load Pricing Results'!$B$17,0)</f>
        <v>0</v>
      </c>
      <c r="J32" s="84">
        <f>I32*$J$23</f>
        <v>0</v>
      </c>
      <c r="K32" s="83">
        <f>IF(D32="PS",$I$8*'BRA Load Pricing Results'!J50/'BRA Load Pricing Results'!$J$62,0)</f>
        <v>0</v>
      </c>
      <c r="L32" s="84">
        <f>K32*$L$23</f>
        <v>0</v>
      </c>
      <c r="M32" s="83">
        <f>IF(D32="DPL",$I$9*'BRA Load Pricing Results'!J50/'BRA Load Pricing Results'!$J$53,0)</f>
        <v>0</v>
      </c>
      <c r="N32" s="84">
        <f>M32*$N$23</f>
        <v>0</v>
      </c>
      <c r="O32" s="83">
        <f>IF(D32="PEPCO",$I$10*'BRA Load Pricing Results'!J50/'BRA Load Pricing Results'!$J$60,0)</f>
        <v>0</v>
      </c>
      <c r="P32" s="84">
        <f>O32*$P$23</f>
        <v>0</v>
      </c>
      <c r="Q32" s="83">
        <f>IF(D32="ATSI",$I$11*'BRA Load Pricing Results'!J50/'BRA Load Pricing Results'!$J$46,0)</f>
        <v>0</v>
      </c>
      <c r="R32" s="84">
        <f t="shared" si="6"/>
        <v>0</v>
      </c>
      <c r="S32" s="83">
        <f>IF(D32="COMED",$I$12*'BRA Load Pricing Results'!J50/'BRA Load Pricing Results'!$J$48,0)</f>
        <v>0</v>
      </c>
      <c r="T32" s="84">
        <f t="shared" si="7"/>
        <v>0</v>
      </c>
      <c r="U32" s="83">
        <f>IF(D32="BGE",$I$13*'BRA Load Pricing Results'!J50/'BRA Load Pricing Results'!$J$47,0)</f>
        <v>0</v>
      </c>
      <c r="V32" s="84">
        <f t="shared" si="20"/>
        <v>0</v>
      </c>
      <c r="W32" s="83">
        <f>IF(D32="PL",$I$14*'BRA Load Pricing Results'!J50/'BRA Load Pricing Results'!$J$61,0)</f>
        <v>0</v>
      </c>
      <c r="X32" s="84">
        <f t="shared" si="19"/>
        <v>0</v>
      </c>
      <c r="Y32" s="83">
        <f>IF(D32="DAYTON",$I$15*'BRA Load Pricing Results'!J50/'BRA Load Pricing Results'!$J$49,0)</f>
        <v>0</v>
      </c>
      <c r="Z32" s="84">
        <f t="shared" si="8"/>
        <v>0</v>
      </c>
      <c r="AA32" s="83">
        <f>IF(D32="DEOK",$I$16*'BRA Load Pricing Results'!J50/'BRA Load Pricing Results'!$J$50,0)</f>
        <v>1949.9609301528899</v>
      </c>
      <c r="AB32" s="84">
        <f>AA32*$AB$23</f>
        <v>0</v>
      </c>
      <c r="AC32" s="83">
        <f>IF(D32=$AC$22,$I$17*'BRA Load Pricing Results'!J50/'BRA Load Pricing Results'!$J$52,0)</f>
        <v>0</v>
      </c>
      <c r="AD32" s="84">
        <f t="shared" si="10"/>
        <v>0</v>
      </c>
      <c r="AE32" s="83">
        <f>IF(D32=$AE$22,$I$18*'BRA Load Pricing Results'!J50/'BRA Load Pricing Results'!$J$55,0)</f>
        <v>0</v>
      </c>
      <c r="AF32" s="84">
        <f t="shared" si="11"/>
        <v>0</v>
      </c>
      <c r="AG32" s="85">
        <f t="shared" si="12"/>
        <v>1949.9609301528899</v>
      </c>
      <c r="AH32" s="17">
        <f t="shared" si="13"/>
        <v>0</v>
      </c>
      <c r="AI32" s="166">
        <f>AH32/'BRA Load Pricing Results'!J50</f>
        <v>0</v>
      </c>
      <c r="AJ32" s="188">
        <f t="shared" si="21"/>
        <v>0</v>
      </c>
      <c r="AK32" s="185"/>
      <c r="AL32" s="52"/>
      <c r="AM32" s="183"/>
      <c r="AN32" s="183"/>
      <c r="AO32" s="184"/>
    </row>
    <row r="33" spans="1:41" x14ac:dyDescent="0.2">
      <c r="A33" s="29" t="s">
        <v>40</v>
      </c>
      <c r="B33" s="63"/>
      <c r="C33" s="63"/>
      <c r="D33" s="64"/>
      <c r="E33" s="83">
        <f>IF(B33="MAAC",$I$5*'BRA Load Pricing Results'!J51/'BRA Load Pricing Results'!$B$15,0)</f>
        <v>0</v>
      </c>
      <c r="F33" s="84">
        <f t="shared" si="14"/>
        <v>0</v>
      </c>
      <c r="G33" s="83">
        <f>IF(C33="EMAAC",$I$6*'BRA Load Pricing Results'!J51/'BRA Load Pricing Results'!$B$16,0)</f>
        <v>0</v>
      </c>
      <c r="H33" s="84">
        <f>G33*$H$23</f>
        <v>0</v>
      </c>
      <c r="I33" s="83">
        <f>IF(C33="SWMAAC",$I$7*'BRA Load Pricing Results'!J51/'BRA Load Pricing Results'!$B$17,0)</f>
        <v>0</v>
      </c>
      <c r="J33" s="84">
        <f>I33*$J$23</f>
        <v>0</v>
      </c>
      <c r="K33" s="83">
        <f>IF(D33="PS",$I$8*'BRA Load Pricing Results'!J51/'BRA Load Pricing Results'!$J$62,0)</f>
        <v>0</v>
      </c>
      <c r="L33" s="84">
        <f>K33*$L$23</f>
        <v>0</v>
      </c>
      <c r="M33" s="83">
        <f>IF(D33="DPL",$I$9*'BRA Load Pricing Results'!J51/'BRA Load Pricing Results'!$J$53,0)</f>
        <v>0</v>
      </c>
      <c r="N33" s="84">
        <f>M33*$N$23</f>
        <v>0</v>
      </c>
      <c r="O33" s="83">
        <f>IF(D33="PEPCO",$I$10*'BRA Load Pricing Results'!#REF!/'BRA Load Pricing Results'!$J$60,0)</f>
        <v>0</v>
      </c>
      <c r="P33" s="84">
        <f>O33*$P$23</f>
        <v>0</v>
      </c>
      <c r="Q33" s="83">
        <f>IF(D33="ATSI",$I$11*'BRA Load Pricing Results'!J51/'BRA Load Pricing Results'!$J$46,0)</f>
        <v>0</v>
      </c>
      <c r="R33" s="84">
        <f t="shared" si="6"/>
        <v>0</v>
      </c>
      <c r="S33" s="83">
        <f>IF(D33="COMED",$I$12*'BRA Load Pricing Results'!J51/'BRA Load Pricing Results'!$J$48,0)</f>
        <v>0</v>
      </c>
      <c r="T33" s="84">
        <f t="shared" si="7"/>
        <v>0</v>
      </c>
      <c r="U33" s="83">
        <f>IF(D33="BGE",$I$13*'BRA Load Pricing Results'!J51/'BRA Load Pricing Results'!$J$47,0)</f>
        <v>0</v>
      </c>
      <c r="V33" s="84">
        <f t="shared" si="20"/>
        <v>0</v>
      </c>
      <c r="W33" s="83">
        <f>IF(D33="PL",$I$14*'BRA Load Pricing Results'!J51/'BRA Load Pricing Results'!$J$61,0)</f>
        <v>0</v>
      </c>
      <c r="X33" s="84">
        <f t="shared" si="19"/>
        <v>0</v>
      </c>
      <c r="Y33" s="83">
        <f>IF(D33="DAYTON",$I$15*'BRA Load Pricing Results'!J51/'BRA Load Pricing Results'!$J$49,0)</f>
        <v>0</v>
      </c>
      <c r="Z33" s="84">
        <f t="shared" si="8"/>
        <v>0</v>
      </c>
      <c r="AA33" s="83">
        <f>IF(D33="DEOK",$I$16*'BRA Load Pricing Results'!J51/'BRA Load Pricing Results'!$J$50,0)</f>
        <v>0</v>
      </c>
      <c r="AB33" s="84">
        <f t="shared" si="9"/>
        <v>0</v>
      </c>
      <c r="AC33" s="83">
        <f>IF(D33=$AC$22,$I$17*'BRA Load Pricing Results'!J51/'BRA Load Pricing Results'!$J$52,0)</f>
        <v>0</v>
      </c>
      <c r="AD33" s="84">
        <f t="shared" si="10"/>
        <v>0</v>
      </c>
      <c r="AE33" s="83">
        <f>IF(D33=$AE$22,$I$18*'BRA Load Pricing Results'!J51/'BRA Load Pricing Results'!$J$55,0)</f>
        <v>0</v>
      </c>
      <c r="AF33" s="84">
        <f t="shared" si="11"/>
        <v>0</v>
      </c>
      <c r="AG33" s="85">
        <f t="shared" si="12"/>
        <v>0</v>
      </c>
      <c r="AH33" s="17">
        <f t="shared" si="13"/>
        <v>0</v>
      </c>
      <c r="AI33" s="166">
        <f>AH33/'BRA Load Pricing Results'!J51</f>
        <v>0</v>
      </c>
      <c r="AJ33" s="188">
        <f t="shared" si="21"/>
        <v>0</v>
      </c>
      <c r="AK33" s="185"/>
      <c r="AL33" s="52"/>
      <c r="AM33" s="183"/>
      <c r="AN33" s="183"/>
      <c r="AO33" s="184"/>
    </row>
    <row r="34" spans="1:41" x14ac:dyDescent="0.2">
      <c r="A34" s="29" t="s">
        <v>28</v>
      </c>
      <c r="B34" s="63"/>
      <c r="C34" s="63"/>
      <c r="D34" s="64" t="s">
        <v>28</v>
      </c>
      <c r="E34" s="83">
        <f>IF(B34="MAAC",$I$5*'BRA Load Pricing Results'!J52/'BRA Load Pricing Results'!$B$15,0)</f>
        <v>0</v>
      </c>
      <c r="F34" s="309">
        <f t="shared" si="14"/>
        <v>0</v>
      </c>
      <c r="G34" s="83">
        <f>IF(C34="EMAAC",$I$6*'BRA Load Pricing Results'!J52/'BRA Load Pricing Results'!$B$16,0)</f>
        <v>0</v>
      </c>
      <c r="H34" s="309">
        <f t="shared" si="18"/>
        <v>0</v>
      </c>
      <c r="I34" s="83">
        <f>IF(C34="SWMAAC",$I$7*'BRA Load Pricing Results'!J52/'BRA Load Pricing Results'!$B$17,0)</f>
        <v>0</v>
      </c>
      <c r="J34" s="309">
        <f t="shared" si="15"/>
        <v>0</v>
      </c>
      <c r="K34" s="83">
        <f>IF(D34="PS",$I$8*'BRA Load Pricing Results'!J52/'BRA Load Pricing Results'!$J$62,0)</f>
        <v>0</v>
      </c>
      <c r="L34" s="309">
        <f t="shared" si="16"/>
        <v>0</v>
      </c>
      <c r="M34" s="83">
        <f>IF(D34="DPL",$I$9*'BRA Load Pricing Results'!J52/'BRA Load Pricing Results'!$J$53,0)</f>
        <v>0</v>
      </c>
      <c r="N34" s="309">
        <f t="shared" si="5"/>
        <v>0</v>
      </c>
      <c r="O34" s="83">
        <f>IF(D34="PEPCO",$I$10*'BRA Load Pricing Results'!J52/'BRA Load Pricing Results'!$J$60,0)</f>
        <v>0</v>
      </c>
      <c r="P34" s="309">
        <f t="shared" si="17"/>
        <v>0</v>
      </c>
      <c r="Q34" s="83">
        <f>IF(D34="ATSI",$I$11*'BRA Load Pricing Results'!J52/'BRA Load Pricing Results'!$J$46,0)</f>
        <v>0</v>
      </c>
      <c r="R34" s="309">
        <f t="shared" si="6"/>
        <v>0</v>
      </c>
      <c r="S34" s="83">
        <f>IF(D34="COMED",$I$12*'BRA Load Pricing Results'!J52/'BRA Load Pricing Results'!$J$48,0)</f>
        <v>0</v>
      </c>
      <c r="T34" s="309">
        <f>S34*$T$23</f>
        <v>0</v>
      </c>
      <c r="U34" s="83">
        <f>IF(D34="BGE",$I$13*'BRA Load Pricing Results'!J52/'BRA Load Pricing Results'!$J$47,0)</f>
        <v>0</v>
      </c>
      <c r="V34" s="309">
        <f t="shared" si="20"/>
        <v>0</v>
      </c>
      <c r="W34" s="83">
        <f>IF(D34="PL",$I$14*'BRA Load Pricing Results'!J52/'BRA Load Pricing Results'!$J$61,0)</f>
        <v>0</v>
      </c>
      <c r="X34" s="309">
        <f t="shared" si="19"/>
        <v>0</v>
      </c>
      <c r="Y34" s="83">
        <f>IF(D34="DAYTON",$I$15*'BRA Load Pricing Results'!J52/'BRA Load Pricing Results'!$J$49,0)</f>
        <v>0</v>
      </c>
      <c r="Z34" s="309">
        <f t="shared" si="8"/>
        <v>0</v>
      </c>
      <c r="AA34" s="83">
        <f>IF(D34="DEOK",$I$16*'BRA Load Pricing Results'!J52/'BRA Load Pricing Results'!$J$50,0)</f>
        <v>0</v>
      </c>
      <c r="AB34" s="309">
        <f t="shared" si="9"/>
        <v>0</v>
      </c>
      <c r="AC34" s="83">
        <f>IF(D34=$AC$22,$I$17*'BRA Load Pricing Results'!J52/'BRA Load Pricing Results'!$J$52,0)</f>
        <v>1007.5740756977284</v>
      </c>
      <c r="AD34" s="309">
        <f>AC34*$AD$23</f>
        <v>0</v>
      </c>
      <c r="AE34" s="83">
        <f>IF(D34=$AE$22,$I$18*'BRA Load Pricing Results'!J52/'BRA Load Pricing Results'!$J$55,0)</f>
        <v>0</v>
      </c>
      <c r="AF34" s="309">
        <f t="shared" si="11"/>
        <v>0</v>
      </c>
      <c r="AG34" s="85">
        <f t="shared" si="12"/>
        <v>1007.5740756977284</v>
      </c>
      <c r="AH34" s="17">
        <f>F34+H34+J34+L34+N34+P34+R34+T34+V34+X34+Z34+AB34+AD34+AF34</f>
        <v>0</v>
      </c>
      <c r="AI34" s="166">
        <f>AH34/'BRA Load Pricing Results'!J52</f>
        <v>0</v>
      </c>
      <c r="AJ34" s="188">
        <f t="shared" si="21"/>
        <v>0</v>
      </c>
      <c r="AK34" s="185"/>
      <c r="AL34" s="52"/>
      <c r="AM34" s="183"/>
      <c r="AN34" s="183"/>
      <c r="AO34" s="184"/>
    </row>
    <row r="35" spans="1:41" x14ac:dyDescent="0.2">
      <c r="A35" s="29" t="s">
        <v>16</v>
      </c>
      <c r="B35" s="63" t="s">
        <v>26</v>
      </c>
      <c r="C35" s="63" t="s">
        <v>31</v>
      </c>
      <c r="D35" s="64" t="s">
        <v>16</v>
      </c>
      <c r="E35" s="83">
        <f>IF(B35="MAAC",$I$5*'BRA Load Pricing Results'!J53/'BRA Load Pricing Results'!$B$15,0)</f>
        <v>-65.261376915229377</v>
      </c>
      <c r="F35" s="84">
        <f t="shared" si="14"/>
        <v>0</v>
      </c>
      <c r="G35" s="83">
        <f>IF(C35="EMAAC",$I$6*'BRA Load Pricing Results'!J53/'BRA Load Pricing Results'!$B$16,0)</f>
        <v>267.52282548434835</v>
      </c>
      <c r="H35" s="84">
        <f>G35*$H$23</f>
        <v>0</v>
      </c>
      <c r="I35" s="83">
        <f>IF(C35="SWMAAC",$I$7*'BRA Load Pricing Results'!J53/'BRA Load Pricing Results'!$B$17,0)</f>
        <v>0</v>
      </c>
      <c r="J35" s="84">
        <f t="shared" si="15"/>
        <v>0</v>
      </c>
      <c r="K35" s="83">
        <f>IF(D35="PS",$I$8*'BRA Load Pricing Results'!J53/'BRA Load Pricing Results'!$J$62,0)</f>
        <v>0</v>
      </c>
      <c r="L35" s="84">
        <f t="shared" si="16"/>
        <v>0</v>
      </c>
      <c r="M35" s="83">
        <f>IF(D35="DPL",$I$9*'BRA Load Pricing Results'!J53/'BRA Load Pricing Results'!$J$53,0)</f>
        <v>-544.47687421535056</v>
      </c>
      <c r="N35" s="84">
        <f t="shared" si="5"/>
        <v>0</v>
      </c>
      <c r="O35" s="83">
        <f>IF(D35="PEPCO",$I$10*'BRA Load Pricing Results'!J53/'BRA Load Pricing Results'!$J$60,0)</f>
        <v>0</v>
      </c>
      <c r="P35" s="84">
        <f t="shared" si="17"/>
        <v>0</v>
      </c>
      <c r="Q35" s="83">
        <f>IF(D35="ATSI",$I$11*'BRA Load Pricing Results'!J53/'BRA Load Pricing Results'!$J$46,0)</f>
        <v>0</v>
      </c>
      <c r="R35" s="84">
        <f t="shared" si="6"/>
        <v>0</v>
      </c>
      <c r="S35" s="83">
        <f>IF(D35="COMED",$I$12*'BRA Load Pricing Results'!J53/'BRA Load Pricing Results'!$J$48,0)</f>
        <v>0</v>
      </c>
      <c r="T35" s="84">
        <f t="shared" si="7"/>
        <v>0</v>
      </c>
      <c r="U35" s="83">
        <f>IF(D35="BGE",$I$13*'BRA Load Pricing Results'!J53/'BRA Load Pricing Results'!$J$47,0)</f>
        <v>0</v>
      </c>
      <c r="V35" s="84">
        <f t="shared" si="20"/>
        <v>0</v>
      </c>
      <c r="W35" s="83">
        <f>IF(D35="PL",$I$14*'BRA Load Pricing Results'!J53/'BRA Load Pricing Results'!$J$61,0)</f>
        <v>0</v>
      </c>
      <c r="X35" s="84">
        <f t="shared" si="19"/>
        <v>0</v>
      </c>
      <c r="Y35" s="83">
        <f>IF(D35="DAYTON",$I$15*'BRA Load Pricing Results'!J53/'BRA Load Pricing Results'!$J$49,0)</f>
        <v>0</v>
      </c>
      <c r="Z35" s="84">
        <f t="shared" si="8"/>
        <v>0</v>
      </c>
      <c r="AA35" s="83">
        <f>IF(D35="DEOK",$I$16*'BRA Load Pricing Results'!J53/'BRA Load Pricing Results'!$J$50,0)</f>
        <v>0</v>
      </c>
      <c r="AB35" s="84">
        <f t="shared" si="9"/>
        <v>0</v>
      </c>
      <c r="AC35" s="83">
        <f>IF(D35=$AC$22,$I$17*'BRA Load Pricing Results'!J53/'BRA Load Pricing Results'!$J$52,0)</f>
        <v>0</v>
      </c>
      <c r="AD35" s="84">
        <f t="shared" si="10"/>
        <v>0</v>
      </c>
      <c r="AE35" s="83">
        <f>IF(D35=$AE$22,$I$18*'BRA Load Pricing Results'!J53/'BRA Load Pricing Results'!$J$55,0)</f>
        <v>0</v>
      </c>
      <c r="AF35" s="84">
        <f t="shared" si="11"/>
        <v>0</v>
      </c>
      <c r="AG35" s="85">
        <f t="shared" si="12"/>
        <v>267.52282548434835</v>
      </c>
      <c r="AH35" s="17">
        <f t="shared" si="13"/>
        <v>0</v>
      </c>
      <c r="AI35" s="166">
        <f>AH35/'BRA Load Pricing Results'!J53</f>
        <v>0</v>
      </c>
      <c r="AJ35" s="188">
        <f t="shared" si="21"/>
        <v>0</v>
      </c>
      <c r="AK35" s="185"/>
      <c r="AL35" s="52"/>
      <c r="AM35" s="183"/>
      <c r="AN35" s="183"/>
      <c r="AO35" s="184"/>
    </row>
    <row r="36" spans="1:41" x14ac:dyDescent="0.2">
      <c r="A36" s="29" t="s">
        <v>99</v>
      </c>
      <c r="B36" s="63"/>
      <c r="C36" s="63"/>
      <c r="D36" s="64"/>
      <c r="E36" s="83">
        <f>IF(B36="MAAC",$I$5*'BRA Load Pricing Results'!J54/'BRA Load Pricing Results'!$B$15,0)</f>
        <v>0</v>
      </c>
      <c r="F36" s="84">
        <f t="shared" si="14"/>
        <v>0</v>
      </c>
      <c r="G36" s="83">
        <f>IF(C36="EMAAC",$I$6*'BRA Load Pricing Results'!J54/'BRA Load Pricing Results'!$B$16,0)</f>
        <v>0</v>
      </c>
      <c r="H36" s="84">
        <f>G36*$H$23</f>
        <v>0</v>
      </c>
      <c r="I36" s="83">
        <f>IF(C36="SWMAAC",$I$7*'BRA Load Pricing Results'!J54/'BRA Load Pricing Results'!$B$17,0)</f>
        <v>0</v>
      </c>
      <c r="J36" s="84">
        <f>I36*$J$23</f>
        <v>0</v>
      </c>
      <c r="K36" s="83">
        <f>IF(D36="PS",$I$8*'BRA Load Pricing Results'!J54/'BRA Load Pricing Results'!$J$62,0)</f>
        <v>0</v>
      </c>
      <c r="L36" s="84">
        <f>K36*$L$23</f>
        <v>0</v>
      </c>
      <c r="M36" s="83">
        <f>IF(D36="DPL",$I$9*'BRA Load Pricing Results'!J54/'BRA Load Pricing Results'!$J$53,0)</f>
        <v>0</v>
      </c>
      <c r="N36" s="84">
        <f>M36*$N$23</f>
        <v>0</v>
      </c>
      <c r="O36" s="83">
        <f>IF(D36="PEPCO",$I$10*'BRA Load Pricing Results'!J54/'BRA Load Pricing Results'!$J$60,0)</f>
        <v>0</v>
      </c>
      <c r="P36" s="84">
        <f>O36*$P$23</f>
        <v>0</v>
      </c>
      <c r="Q36" s="83">
        <f>IF(D36="ATSI",$I$11*'BRA Load Pricing Results'!J54/'BRA Load Pricing Results'!$J$46,0)</f>
        <v>0</v>
      </c>
      <c r="R36" s="84">
        <f>Q36*$R$23</f>
        <v>0</v>
      </c>
      <c r="S36" s="83">
        <f>IF(D36="COMED",$I$12*'BRA Load Pricing Results'!J54/'BRA Load Pricing Results'!$J$48,0)</f>
        <v>0</v>
      </c>
      <c r="T36" s="84">
        <f t="shared" si="7"/>
        <v>0</v>
      </c>
      <c r="U36" s="83">
        <f>IF(D36="BGE",$I$13*'BRA Load Pricing Results'!J54/'BRA Load Pricing Results'!$J$47,0)</f>
        <v>0</v>
      </c>
      <c r="V36" s="84">
        <f t="shared" si="20"/>
        <v>0</v>
      </c>
      <c r="W36" s="83">
        <f>IF(D36="PL",$I$14*'BRA Load Pricing Results'!J54/'BRA Load Pricing Results'!$J$61,0)</f>
        <v>0</v>
      </c>
      <c r="X36" s="84">
        <f t="shared" si="19"/>
        <v>0</v>
      </c>
      <c r="Y36" s="83">
        <f>IF(D36="DAYTON",$I$15*'BRA Load Pricing Results'!J54/'BRA Load Pricing Results'!$J$49,0)</f>
        <v>0</v>
      </c>
      <c r="Z36" s="84">
        <f t="shared" si="8"/>
        <v>0</v>
      </c>
      <c r="AA36" s="83">
        <f>IF(D36="DEOK",$I$16*'BRA Load Pricing Results'!J54/'BRA Load Pricing Results'!$J$50,0)</f>
        <v>0</v>
      </c>
      <c r="AB36" s="84">
        <f t="shared" si="9"/>
        <v>0</v>
      </c>
      <c r="AC36" s="83">
        <f>IF(D36=$AC$22,$I$17*'BRA Load Pricing Results'!J54/'BRA Load Pricing Results'!$J$52,0)</f>
        <v>0</v>
      </c>
      <c r="AD36" s="84">
        <f t="shared" si="10"/>
        <v>0</v>
      </c>
      <c r="AE36" s="83">
        <f>IF(D36=$AE$22,$I$18*'BRA Load Pricing Results'!J54/'BRA Load Pricing Results'!$J$55,0)</f>
        <v>0</v>
      </c>
      <c r="AF36" s="84">
        <f t="shared" si="11"/>
        <v>0</v>
      </c>
      <c r="AG36" s="85">
        <f t="shared" si="12"/>
        <v>0</v>
      </c>
      <c r="AH36" s="17">
        <f t="shared" si="13"/>
        <v>0</v>
      </c>
      <c r="AI36" s="166">
        <f>AH36/'BRA Load Pricing Results'!J54</f>
        <v>0</v>
      </c>
      <c r="AJ36" s="188">
        <f>IF(AG36=0,0,AH36/AG36)</f>
        <v>0</v>
      </c>
      <c r="AK36" s="185"/>
      <c r="AL36" s="52"/>
      <c r="AM36" s="183"/>
      <c r="AN36" s="183"/>
      <c r="AO36" s="184"/>
    </row>
    <row r="37" spans="1:41" x14ac:dyDescent="0.2">
      <c r="A37" s="29" t="s">
        <v>11</v>
      </c>
      <c r="B37" s="63" t="s">
        <v>26</v>
      </c>
      <c r="C37" s="63" t="s">
        <v>31</v>
      </c>
      <c r="D37" s="64" t="s">
        <v>11</v>
      </c>
      <c r="E37" s="83">
        <f>IF(B37="MAAC",$I$5*'BRA Load Pricing Results'!J55/'BRA Load Pricing Results'!$B$15,0)</f>
        <v>-100.04191334537829</v>
      </c>
      <c r="F37" s="309">
        <f t="shared" si="14"/>
        <v>0</v>
      </c>
      <c r="G37" s="83">
        <f>IF(C37="EMAAC",$I$6*'BRA Load Pricing Results'!J55/'BRA Load Pricing Results'!$B$16,0)</f>
        <v>410.09700668406236</v>
      </c>
      <c r="H37" s="309">
        <f>G37*$H$23</f>
        <v>0</v>
      </c>
      <c r="I37" s="83">
        <f>IF(C37="SWMAAC",$I$7*'BRA Load Pricing Results'!J55/'BRA Load Pricing Results'!$B$17,0)</f>
        <v>0</v>
      </c>
      <c r="J37" s="309">
        <f t="shared" si="15"/>
        <v>0</v>
      </c>
      <c r="K37" s="83">
        <f>IF(D37="PS",$I$8*'BRA Load Pricing Results'!J55/'BRA Load Pricing Results'!$J$62,0)</f>
        <v>0</v>
      </c>
      <c r="L37" s="309">
        <f t="shared" si="16"/>
        <v>0</v>
      </c>
      <c r="M37" s="83">
        <f>IF(D37="DPL",$I$9*'BRA Load Pricing Results'!J55/'BRA Load Pricing Results'!$J$53,0)</f>
        <v>0</v>
      </c>
      <c r="N37" s="309">
        <f t="shared" si="5"/>
        <v>0</v>
      </c>
      <c r="O37" s="83">
        <f>IF(D37="PEPCO",$I$10*'BRA Load Pricing Results'!J55/'BRA Load Pricing Results'!$J$60,0)</f>
        <v>0</v>
      </c>
      <c r="P37" s="309">
        <f t="shared" si="17"/>
        <v>0</v>
      </c>
      <c r="Q37" s="83">
        <f>IF(D37="ATSI",$I$11*'BRA Load Pricing Results'!J55/'BRA Load Pricing Results'!$J$46,0)</f>
        <v>0</v>
      </c>
      <c r="R37" s="309">
        <f t="shared" si="6"/>
        <v>0</v>
      </c>
      <c r="S37" s="83">
        <f>IF(D37="COMED",$I$12*'BRA Load Pricing Results'!J55/'BRA Load Pricing Results'!$J$48,0)</f>
        <v>0</v>
      </c>
      <c r="T37" s="309">
        <f t="shared" si="7"/>
        <v>0</v>
      </c>
      <c r="U37" s="83">
        <f>IF(D37="BGE",$I$13*'BRA Load Pricing Results'!J55/'BRA Load Pricing Results'!$J$47,0)</f>
        <v>0</v>
      </c>
      <c r="V37" s="309">
        <f t="shared" si="20"/>
        <v>0</v>
      </c>
      <c r="W37" s="83">
        <f>IF(D37="PL",$I$14*'BRA Load Pricing Results'!J55/'BRA Load Pricing Results'!$J$61,0)</f>
        <v>0</v>
      </c>
      <c r="X37" s="309">
        <f t="shared" si="19"/>
        <v>0</v>
      </c>
      <c r="Y37" s="83">
        <f>IF(D37="DAYTON",$I$15*'BRA Load Pricing Results'!J55/'BRA Load Pricing Results'!$J$49,0)</f>
        <v>0</v>
      </c>
      <c r="Z37" s="309">
        <f t="shared" si="8"/>
        <v>0</v>
      </c>
      <c r="AA37" s="83">
        <f>IF(D37="DEOK",$I$16*'BRA Load Pricing Results'!J55/'BRA Load Pricing Results'!$J$50,0)</f>
        <v>0</v>
      </c>
      <c r="AB37" s="309">
        <f t="shared" si="9"/>
        <v>0</v>
      </c>
      <c r="AC37" s="83">
        <f>IF(D37=$AC$22,$I$17*'BRA Load Pricing Results'!J55/'BRA Load Pricing Results'!$J$52,0)</f>
        <v>0</v>
      </c>
      <c r="AD37" s="309">
        <f t="shared" si="10"/>
        <v>0</v>
      </c>
      <c r="AE37" s="83">
        <f>IF(D37=$AE$22,$I$18*'BRA Load Pricing Results'!J55/'BRA Load Pricing Results'!$J$55,0)</f>
        <v>2575.327741766971</v>
      </c>
      <c r="AF37" s="309">
        <f t="shared" si="11"/>
        <v>0</v>
      </c>
      <c r="AG37" s="85">
        <f t="shared" si="12"/>
        <v>2575.327741766971</v>
      </c>
      <c r="AH37" s="17">
        <f t="shared" si="13"/>
        <v>0</v>
      </c>
      <c r="AI37" s="166">
        <f>AH37/'BRA Load Pricing Results'!J55</f>
        <v>0</v>
      </c>
      <c r="AJ37" s="188">
        <f t="shared" si="21"/>
        <v>0</v>
      </c>
      <c r="AK37" s="185"/>
      <c r="AL37" s="52"/>
      <c r="AM37" s="183"/>
      <c r="AN37" s="183"/>
      <c r="AO37" s="184"/>
    </row>
    <row r="38" spans="1:41" x14ac:dyDescent="0.2">
      <c r="A38" s="29" t="s">
        <v>12</v>
      </c>
      <c r="B38" s="63" t="s">
        <v>26</v>
      </c>
      <c r="C38" s="63"/>
      <c r="D38" s="64"/>
      <c r="E38" s="83">
        <f>IF(B38="MAAC",$I$5*'BRA Load Pricing Results'!J56/'BRA Load Pricing Results'!$B$15,0)</f>
        <v>-52.867111680862003</v>
      </c>
      <c r="F38" s="84">
        <f t="shared" si="14"/>
        <v>0</v>
      </c>
      <c r="G38" s="83">
        <f>IF(C38="EMAAC",$I$6*'BRA Load Pricing Results'!J56/'BRA Load Pricing Results'!$B$16,0)</f>
        <v>0</v>
      </c>
      <c r="H38" s="84">
        <f t="shared" si="18"/>
        <v>0</v>
      </c>
      <c r="I38" s="83">
        <f>IF(C38="SWMAAC",$I$7*'BRA Load Pricing Results'!J56/'BRA Load Pricing Results'!$B$17,0)</f>
        <v>0</v>
      </c>
      <c r="J38" s="84">
        <f t="shared" si="15"/>
        <v>0</v>
      </c>
      <c r="K38" s="83">
        <f>IF(D38="PS",$I$8*'BRA Load Pricing Results'!J56/'BRA Load Pricing Results'!$J$62,0)</f>
        <v>0</v>
      </c>
      <c r="L38" s="84">
        <f t="shared" si="16"/>
        <v>0</v>
      </c>
      <c r="M38" s="83">
        <f>IF(D38="DPL",$I$9*'BRA Load Pricing Results'!J56/'BRA Load Pricing Results'!$J$53,0)</f>
        <v>0</v>
      </c>
      <c r="N38" s="84">
        <f t="shared" si="5"/>
        <v>0</v>
      </c>
      <c r="O38" s="83">
        <f>IF(D38="PEPCO",$I$10*'BRA Load Pricing Results'!J56/'BRA Load Pricing Results'!$J$60,0)</f>
        <v>0</v>
      </c>
      <c r="P38" s="84">
        <f t="shared" si="17"/>
        <v>0</v>
      </c>
      <c r="Q38" s="83">
        <f>IF(D38="ATSI",$I$11*'BRA Load Pricing Results'!J56/'BRA Load Pricing Results'!$J$46,0)</f>
        <v>0</v>
      </c>
      <c r="R38" s="84">
        <f t="shared" si="6"/>
        <v>0</v>
      </c>
      <c r="S38" s="83">
        <f>IF(D38="COMED",$I$12*'BRA Load Pricing Results'!J56/'BRA Load Pricing Results'!$J$48,0)</f>
        <v>0</v>
      </c>
      <c r="T38" s="84">
        <f t="shared" si="7"/>
        <v>0</v>
      </c>
      <c r="U38" s="83">
        <f>IF(D38="BGE",$I$13*'BRA Load Pricing Results'!J56/'BRA Load Pricing Results'!$J$47,0)</f>
        <v>0</v>
      </c>
      <c r="V38" s="84">
        <f t="shared" si="20"/>
        <v>0</v>
      </c>
      <c r="W38" s="83">
        <f>IF(D38="PL",$I$14*'BRA Load Pricing Results'!J56/'BRA Load Pricing Results'!$J$61,0)</f>
        <v>0</v>
      </c>
      <c r="X38" s="84">
        <f t="shared" si="19"/>
        <v>0</v>
      </c>
      <c r="Y38" s="83">
        <f>IF(D38="DAYTON",$I$15*'BRA Load Pricing Results'!J56/'BRA Load Pricing Results'!$J$49,0)</f>
        <v>0</v>
      </c>
      <c r="Z38" s="84">
        <f t="shared" si="8"/>
        <v>0</v>
      </c>
      <c r="AA38" s="83">
        <f>IF(D38="DEOK",$I$16*'BRA Load Pricing Results'!J56/'BRA Load Pricing Results'!$J$50,0)</f>
        <v>0</v>
      </c>
      <c r="AB38" s="84">
        <f t="shared" si="9"/>
        <v>0</v>
      </c>
      <c r="AC38" s="83">
        <f>IF(D38=$AC$22,$I$17*'BRA Load Pricing Results'!J56/'BRA Load Pricing Results'!$J$52,0)</f>
        <v>0</v>
      </c>
      <c r="AD38" s="84">
        <f t="shared" si="10"/>
        <v>0</v>
      </c>
      <c r="AE38" s="83">
        <f>IF(D38=$AE$22,$I$18*'BRA Load Pricing Results'!J56/'BRA Load Pricing Results'!$J$55,0)</f>
        <v>0</v>
      </c>
      <c r="AF38" s="84">
        <f t="shared" si="11"/>
        <v>0</v>
      </c>
      <c r="AG38" s="85">
        <f t="shared" si="12"/>
        <v>0</v>
      </c>
      <c r="AH38" s="17">
        <f t="shared" si="13"/>
        <v>0</v>
      </c>
      <c r="AI38" s="166">
        <f>AH38/'BRA Load Pricing Results'!J56</f>
        <v>0</v>
      </c>
      <c r="AJ38" s="188">
        <f t="shared" si="21"/>
        <v>0</v>
      </c>
      <c r="AK38" s="185"/>
      <c r="AL38" s="52"/>
      <c r="AM38" s="183"/>
      <c r="AN38" s="183"/>
      <c r="AO38" s="184"/>
    </row>
    <row r="39" spans="1:41" x14ac:dyDescent="0.2">
      <c r="A39" s="29" t="s">
        <v>170</v>
      </c>
      <c r="B39" s="63"/>
      <c r="C39" s="63"/>
      <c r="D39" s="64"/>
      <c r="E39" s="83">
        <f>IF(B39="MAAC",$I$5*'BRA Load Pricing Results'!J57/'BRA Load Pricing Results'!$B$15,0)</f>
        <v>0</v>
      </c>
      <c r="F39" s="84">
        <f t="shared" si="14"/>
        <v>0</v>
      </c>
      <c r="G39" s="83">
        <f>IF(C39="EMAAC",$I$6*'BRA Load Pricing Results'!J57/'BRA Load Pricing Results'!$B$16,0)</f>
        <v>0</v>
      </c>
      <c r="H39" s="84">
        <f t="shared" si="18"/>
        <v>0</v>
      </c>
      <c r="I39" s="83">
        <f>IF(C39="SWMAAC",$I$7*'BRA Load Pricing Results'!J57/'BRA Load Pricing Results'!$B$17,0)</f>
        <v>0</v>
      </c>
      <c r="J39" s="84">
        <f t="shared" si="15"/>
        <v>0</v>
      </c>
      <c r="K39" s="83">
        <f>IF(D39="PS",$I$8*'BRA Load Pricing Results'!J57/'BRA Load Pricing Results'!$J$62,0)</f>
        <v>0</v>
      </c>
      <c r="L39" s="84">
        <f t="shared" si="16"/>
        <v>0</v>
      </c>
      <c r="M39" s="83">
        <f>IF(D39="DPL",$I$9*'BRA Load Pricing Results'!J57/'BRA Load Pricing Results'!$J$53,0)</f>
        <v>0</v>
      </c>
      <c r="N39" s="84">
        <f t="shared" si="5"/>
        <v>0</v>
      </c>
      <c r="O39" s="83">
        <f>IF(D39="PEPCO",$I$10*'BRA Load Pricing Results'!J57/'BRA Load Pricing Results'!$J$60,0)</f>
        <v>0</v>
      </c>
      <c r="P39" s="84">
        <f t="shared" si="17"/>
        <v>0</v>
      </c>
      <c r="Q39" s="83">
        <f>IF(D39="ATSI",$I$11*'BRA Load Pricing Results'!J57/'BRA Load Pricing Results'!$J$46,0)</f>
        <v>0</v>
      </c>
      <c r="R39" s="84">
        <f t="shared" si="6"/>
        <v>0</v>
      </c>
      <c r="S39" s="83">
        <f>IF(D39="COMED",$I$12*'BRA Load Pricing Results'!J57/'BRA Load Pricing Results'!$J$48,0)</f>
        <v>0</v>
      </c>
      <c r="T39" s="84">
        <f t="shared" si="7"/>
        <v>0</v>
      </c>
      <c r="U39" s="83">
        <f>IF(D39="BGE",$I$13*'BRA Load Pricing Results'!J57/'BRA Load Pricing Results'!$J$47,0)</f>
        <v>0</v>
      </c>
      <c r="V39" s="84">
        <f t="shared" si="20"/>
        <v>0</v>
      </c>
      <c r="W39" s="83">
        <f>IF(D39="PL",$I$14*'BRA Load Pricing Results'!J57/'BRA Load Pricing Results'!$J$61,0)</f>
        <v>0</v>
      </c>
      <c r="X39" s="84">
        <f t="shared" si="19"/>
        <v>0</v>
      </c>
      <c r="Y39" s="83">
        <f>IF(D39="DAYTON",$I$15*'BRA Load Pricing Results'!J57/'BRA Load Pricing Results'!$J$49,0)</f>
        <v>0</v>
      </c>
      <c r="Z39" s="84">
        <f t="shared" si="8"/>
        <v>0</v>
      </c>
      <c r="AA39" s="83">
        <f>IF(D39="DEOK",$I$16*'BRA Load Pricing Results'!J57/'BRA Load Pricing Results'!$J$50,0)</f>
        <v>0</v>
      </c>
      <c r="AB39" s="84">
        <f t="shared" si="9"/>
        <v>0</v>
      </c>
      <c r="AC39" s="83">
        <f>IF(D39=$AC$22,$I$17*'BRA Load Pricing Results'!J57/'BRA Load Pricing Results'!$J$52,0)</f>
        <v>0</v>
      </c>
      <c r="AD39" s="84">
        <f t="shared" si="10"/>
        <v>0</v>
      </c>
      <c r="AE39" s="83">
        <f>IF(D39=$AE$22,$I$18*'BRA Load Pricing Results'!J57/'BRA Load Pricing Results'!$J$55,0)</f>
        <v>0</v>
      </c>
      <c r="AF39" s="84">
        <f t="shared" si="11"/>
        <v>0</v>
      </c>
      <c r="AG39" s="85">
        <f t="shared" si="12"/>
        <v>0</v>
      </c>
      <c r="AH39" s="17">
        <f t="shared" si="13"/>
        <v>0</v>
      </c>
      <c r="AI39" s="166">
        <f>AH39/'BRA Load Pricing Results'!J57</f>
        <v>0</v>
      </c>
      <c r="AJ39" s="188">
        <f t="shared" si="21"/>
        <v>0</v>
      </c>
      <c r="AK39" s="185"/>
      <c r="AL39" s="52"/>
      <c r="AM39" s="183"/>
      <c r="AN39" s="183"/>
      <c r="AO39" s="184"/>
    </row>
    <row r="40" spans="1:41" x14ac:dyDescent="0.2">
      <c r="A40" s="29" t="s">
        <v>8</v>
      </c>
      <c r="B40" s="63" t="s">
        <v>26</v>
      </c>
      <c r="C40" s="63" t="s">
        <v>31</v>
      </c>
      <c r="D40" s="64"/>
      <c r="E40" s="83">
        <f>IF(B40="MAAC",$I$5*'BRA Load Pricing Results'!J58/'BRA Load Pricing Results'!$B$15,0)</f>
        <v>-143.75258750759249</v>
      </c>
      <c r="F40" s="84">
        <f t="shared" si="14"/>
        <v>0</v>
      </c>
      <c r="G40" s="83">
        <f>IF(C40="EMAAC",$I$6*'BRA Load Pricing Results'!J58/'BRA Load Pricing Results'!$B$16,0)</f>
        <v>589.27807224586525</v>
      </c>
      <c r="H40" s="84">
        <f>G40*$H$23</f>
        <v>0</v>
      </c>
      <c r="I40" s="83">
        <f>IF(C40="SWMAAC",$I$7*'BRA Load Pricing Results'!J58/'BRA Load Pricing Results'!$B$17,0)</f>
        <v>0</v>
      </c>
      <c r="J40" s="84">
        <f t="shared" si="15"/>
        <v>0</v>
      </c>
      <c r="K40" s="83">
        <f>IF(D40="PS",$I$8*'BRA Load Pricing Results'!J58/'BRA Load Pricing Results'!$J$62,0)</f>
        <v>0</v>
      </c>
      <c r="L40" s="84">
        <f t="shared" si="16"/>
        <v>0</v>
      </c>
      <c r="M40" s="83">
        <f>IF(D40="DPL",$I$9*'BRA Load Pricing Results'!J58/'BRA Load Pricing Results'!$J$53,0)</f>
        <v>0</v>
      </c>
      <c r="N40" s="84">
        <f t="shared" si="5"/>
        <v>0</v>
      </c>
      <c r="O40" s="83">
        <f>IF(D40="PEPCO",$I$10*'BRA Load Pricing Results'!J58/'BRA Load Pricing Results'!$J$60,0)</f>
        <v>0</v>
      </c>
      <c r="P40" s="84">
        <f t="shared" si="17"/>
        <v>0</v>
      </c>
      <c r="Q40" s="83">
        <f>IF(D40="ATSI",$I$11*'BRA Load Pricing Results'!J58/'BRA Load Pricing Results'!$J$46,0)</f>
        <v>0</v>
      </c>
      <c r="R40" s="84">
        <f t="shared" si="6"/>
        <v>0</v>
      </c>
      <c r="S40" s="83">
        <f>IF(D40="COMED",$I$12*'BRA Load Pricing Results'!J58/'BRA Load Pricing Results'!$J$48,0)</f>
        <v>0</v>
      </c>
      <c r="T40" s="84">
        <f t="shared" si="7"/>
        <v>0</v>
      </c>
      <c r="U40" s="83">
        <f>IF(D40="BGE",$I$13*'BRA Load Pricing Results'!J58/'BRA Load Pricing Results'!$J$47,0)</f>
        <v>0</v>
      </c>
      <c r="V40" s="84">
        <f t="shared" si="20"/>
        <v>0</v>
      </c>
      <c r="W40" s="83">
        <f>IF(D40="PL",$I$14*'BRA Load Pricing Results'!J58/'BRA Load Pricing Results'!$J$61,0)</f>
        <v>0</v>
      </c>
      <c r="X40" s="84">
        <f t="shared" si="19"/>
        <v>0</v>
      </c>
      <c r="Y40" s="83">
        <f>IF(D40="DAYTON",$I$15*'BRA Load Pricing Results'!J58/'BRA Load Pricing Results'!$J$49,0)</f>
        <v>0</v>
      </c>
      <c r="Z40" s="84">
        <f t="shared" si="8"/>
        <v>0</v>
      </c>
      <c r="AA40" s="83">
        <f>IF(D40="DEOK",$I$16*'BRA Load Pricing Results'!J58/'BRA Load Pricing Results'!$J$50,0)</f>
        <v>0</v>
      </c>
      <c r="AB40" s="84">
        <f t="shared" si="9"/>
        <v>0</v>
      </c>
      <c r="AC40" s="83">
        <f>IF(D40=$AC$22,$I$17*'BRA Load Pricing Results'!J58/'BRA Load Pricing Results'!$J$52,0)</f>
        <v>0</v>
      </c>
      <c r="AD40" s="84">
        <f t="shared" si="10"/>
        <v>0</v>
      </c>
      <c r="AE40" s="83">
        <f>IF(D40=$AE$22,$I$18*'BRA Load Pricing Results'!J58/'BRA Load Pricing Results'!$J$55,0)</f>
        <v>0</v>
      </c>
      <c r="AF40" s="84">
        <f t="shared" si="11"/>
        <v>0</v>
      </c>
      <c r="AG40" s="85">
        <f t="shared" si="12"/>
        <v>589.27807224586525</v>
      </c>
      <c r="AH40" s="17">
        <f t="shared" si="13"/>
        <v>0</v>
      </c>
      <c r="AI40" s="166">
        <f>AH40/'BRA Load Pricing Results'!J58</f>
        <v>0</v>
      </c>
      <c r="AJ40" s="188">
        <f t="shared" si="21"/>
        <v>0</v>
      </c>
      <c r="AK40" s="185"/>
      <c r="AL40" s="52"/>
      <c r="AM40" s="183"/>
      <c r="AN40" s="183"/>
      <c r="AO40" s="184"/>
    </row>
    <row r="41" spans="1:41" x14ac:dyDescent="0.2">
      <c r="A41" s="29" t="s">
        <v>13</v>
      </c>
      <c r="B41" s="63" t="s">
        <v>26</v>
      </c>
      <c r="C41" s="63"/>
      <c r="D41" s="64"/>
      <c r="E41" s="83">
        <f>IF(B41="MAAC",$I$5*'BRA Load Pricing Results'!J59/'BRA Load Pricing Results'!$B$15,0)</f>
        <v>-48.811123198267055</v>
      </c>
      <c r="F41" s="84">
        <f t="shared" si="14"/>
        <v>0</v>
      </c>
      <c r="G41" s="83">
        <f>IF(C41="EMAAC",$I$6*'BRA Load Pricing Results'!J59/'BRA Load Pricing Results'!$B$16,0)</f>
        <v>0</v>
      </c>
      <c r="H41" s="84">
        <f t="shared" si="18"/>
        <v>0</v>
      </c>
      <c r="I41" s="83">
        <f>IF(C41="SWMAAC",$I$7*'BRA Load Pricing Results'!J59/'BRA Load Pricing Results'!$B$17,0)</f>
        <v>0</v>
      </c>
      <c r="J41" s="84">
        <f t="shared" si="15"/>
        <v>0</v>
      </c>
      <c r="K41" s="83">
        <f>IF(D41="PS",$I$8*'BRA Load Pricing Results'!J59/'BRA Load Pricing Results'!$J$62,0)</f>
        <v>0</v>
      </c>
      <c r="L41" s="84">
        <f t="shared" si="16"/>
        <v>0</v>
      </c>
      <c r="M41" s="83">
        <f>IF(D41="DPL",$I$9*'BRA Load Pricing Results'!J59/'BRA Load Pricing Results'!$J$53,0)</f>
        <v>0</v>
      </c>
      <c r="N41" s="84">
        <f t="shared" si="5"/>
        <v>0</v>
      </c>
      <c r="O41" s="83">
        <f>IF(D41="PEPCO",$I$10*'BRA Load Pricing Results'!J59/'BRA Load Pricing Results'!$J$60,0)</f>
        <v>0</v>
      </c>
      <c r="P41" s="84">
        <f t="shared" si="17"/>
        <v>0</v>
      </c>
      <c r="Q41" s="83">
        <f>IF(D41="ATSI",$I$11*'BRA Load Pricing Results'!J59/'BRA Load Pricing Results'!$J$46,0)</f>
        <v>0</v>
      </c>
      <c r="R41" s="84">
        <f t="shared" si="6"/>
        <v>0</v>
      </c>
      <c r="S41" s="83">
        <f>IF(D41="COMED",$I$12*'BRA Load Pricing Results'!J59/'BRA Load Pricing Results'!$J$48,0)</f>
        <v>0</v>
      </c>
      <c r="T41" s="84">
        <f t="shared" si="7"/>
        <v>0</v>
      </c>
      <c r="U41" s="83">
        <f>IF(D41="BGE",$I$13*'BRA Load Pricing Results'!J59/'BRA Load Pricing Results'!$J$47,0)</f>
        <v>0</v>
      </c>
      <c r="V41" s="84">
        <f t="shared" si="20"/>
        <v>0</v>
      </c>
      <c r="W41" s="83">
        <f>IF(D41="PL",$I$14*'BRA Load Pricing Results'!J59/'BRA Load Pricing Results'!$J$61,0)</f>
        <v>0</v>
      </c>
      <c r="X41" s="84">
        <f>W41*$X$23</f>
        <v>0</v>
      </c>
      <c r="Y41" s="83">
        <f>IF(D41="DAYTON",$I$15*'BRA Load Pricing Results'!J59/'BRA Load Pricing Results'!$J$49,0)</f>
        <v>0</v>
      </c>
      <c r="Z41" s="84">
        <f t="shared" si="8"/>
        <v>0</v>
      </c>
      <c r="AA41" s="83">
        <f>IF(D41="DEOK",$I$16*'BRA Load Pricing Results'!J59/'BRA Load Pricing Results'!$J$50,0)</f>
        <v>0</v>
      </c>
      <c r="AB41" s="84">
        <f t="shared" si="9"/>
        <v>0</v>
      </c>
      <c r="AC41" s="83">
        <f>IF(D41=$AC$22,$I$17*'BRA Load Pricing Results'!J59/'BRA Load Pricing Results'!$J$52,0)</f>
        <v>0</v>
      </c>
      <c r="AD41" s="84">
        <f t="shared" si="10"/>
        <v>0</v>
      </c>
      <c r="AE41" s="83">
        <f>IF(D41=$AE$22,$I$18*'BRA Load Pricing Results'!J59/'BRA Load Pricing Results'!$J$55,0)</f>
        <v>0</v>
      </c>
      <c r="AF41" s="84">
        <f t="shared" si="11"/>
        <v>0</v>
      </c>
      <c r="AG41" s="85">
        <f t="shared" si="12"/>
        <v>0</v>
      </c>
      <c r="AH41" s="17">
        <f t="shared" si="13"/>
        <v>0</v>
      </c>
      <c r="AI41" s="166">
        <f>AH41/'BRA Load Pricing Results'!J59</f>
        <v>0</v>
      </c>
      <c r="AJ41" s="188">
        <f t="shared" si="21"/>
        <v>0</v>
      </c>
      <c r="AK41" s="185"/>
      <c r="AL41" s="52"/>
      <c r="AM41" s="183"/>
      <c r="AN41" s="183"/>
      <c r="AO41" s="184"/>
    </row>
    <row r="42" spans="1:41" x14ac:dyDescent="0.2">
      <c r="A42" s="29" t="s">
        <v>14</v>
      </c>
      <c r="B42" s="63" t="s">
        <v>26</v>
      </c>
      <c r="C42" s="63" t="s">
        <v>4</v>
      </c>
      <c r="D42" s="64" t="s">
        <v>14</v>
      </c>
      <c r="E42" s="83">
        <f>IF(B42="MAAC",$I$5*'BRA Load Pricing Results'!J60/'BRA Load Pricing Results'!$B$15,0)</f>
        <v>-102.47898797011347</v>
      </c>
      <c r="F42" s="309">
        <f t="shared" si="14"/>
        <v>0</v>
      </c>
      <c r="G42" s="83">
        <f>IF(C42="EMAAC",$I$6*'BRA Load Pricing Results'!J60/'BRA Load Pricing Results'!$B$16,0)</f>
        <v>0</v>
      </c>
      <c r="H42" s="309">
        <f t="shared" si="18"/>
        <v>0</v>
      </c>
      <c r="I42" s="83">
        <f>IF(C42="SWMAAC",$I$7*'BRA Load Pricing Results'!J60/'BRA Load Pricing Results'!$B$17,0)</f>
        <v>1241.2885796491171</v>
      </c>
      <c r="J42" s="309">
        <f>I42*$J$23</f>
        <v>0</v>
      </c>
      <c r="K42" s="83">
        <f>IF(D42="PS",$I$8*'BRA Load Pricing Results'!J60/'BRA Load Pricing Results'!$J$62,0)</f>
        <v>0</v>
      </c>
      <c r="L42" s="309">
        <f t="shared" si="16"/>
        <v>0</v>
      </c>
      <c r="M42" s="83">
        <f>IF(D42="DPL",$I$9*'BRA Load Pricing Results'!J60/'BRA Load Pricing Results'!$J$53,0)</f>
        <v>0</v>
      </c>
      <c r="N42" s="309">
        <f>M42*N23</f>
        <v>0</v>
      </c>
      <c r="O42" s="83">
        <f>IF(D42="PEPCO",$I$10*'BRA Load Pricing Results'!J60/'BRA Load Pricing Results'!$J$60,0)</f>
        <v>2871.5826197637311</v>
      </c>
      <c r="P42" s="309">
        <f>O42*$P$23</f>
        <v>0</v>
      </c>
      <c r="Q42" s="83">
        <f>IF(D42="ATSI",$I$11*'BRA Load Pricing Results'!J60/'BRA Load Pricing Results'!$J$46,0)</f>
        <v>0</v>
      </c>
      <c r="R42" s="309">
        <f t="shared" si="6"/>
        <v>0</v>
      </c>
      <c r="S42" s="83">
        <f>IF(D42="COMED",$I$12*'BRA Load Pricing Results'!J60/'BRA Load Pricing Results'!$J$48,0)</f>
        <v>0</v>
      </c>
      <c r="T42" s="309">
        <f t="shared" si="7"/>
        <v>0</v>
      </c>
      <c r="U42" s="83">
        <f>IF(D42="BGE",$I$13*'BRA Load Pricing Results'!J60/'BRA Load Pricing Results'!$J$47,0)</f>
        <v>0</v>
      </c>
      <c r="V42" s="309">
        <f t="shared" si="20"/>
        <v>0</v>
      </c>
      <c r="W42" s="83">
        <f>IF(D42="PL",$I$14*'BRA Load Pricing Results'!J60/'BRA Load Pricing Results'!$J$61,0)</f>
        <v>0</v>
      </c>
      <c r="X42" s="309">
        <f t="shared" si="19"/>
        <v>0</v>
      </c>
      <c r="Y42" s="83">
        <f>IF(D42="DAYTON",$I$15*'BRA Load Pricing Results'!J60/'BRA Load Pricing Results'!$J$49,0)</f>
        <v>0</v>
      </c>
      <c r="Z42" s="309">
        <f t="shared" si="8"/>
        <v>0</v>
      </c>
      <c r="AA42" s="83">
        <f>IF(D42="DEOK",$I$16*'BRA Load Pricing Results'!J60/'BRA Load Pricing Results'!$J$50,0)</f>
        <v>0</v>
      </c>
      <c r="AB42" s="309">
        <f t="shared" si="9"/>
        <v>0</v>
      </c>
      <c r="AC42" s="83">
        <f>IF(D42=$AC$22,$I$17*'BRA Load Pricing Results'!J60/'BRA Load Pricing Results'!$J$52,0)</f>
        <v>0</v>
      </c>
      <c r="AD42" s="309">
        <f t="shared" si="10"/>
        <v>0</v>
      </c>
      <c r="AE42" s="83">
        <f>IF(D42=$AE$22,$I$18*'BRA Load Pricing Results'!J60/'BRA Load Pricing Results'!$J$55,0)</f>
        <v>0</v>
      </c>
      <c r="AF42" s="309">
        <f t="shared" si="11"/>
        <v>0</v>
      </c>
      <c r="AG42" s="85">
        <f t="shared" si="12"/>
        <v>2871.5826197637311</v>
      </c>
      <c r="AH42" s="17">
        <f t="shared" si="13"/>
        <v>0</v>
      </c>
      <c r="AI42" s="166">
        <f>AH42/'BRA Load Pricing Results'!J60</f>
        <v>0</v>
      </c>
      <c r="AJ42" s="188">
        <f t="shared" si="21"/>
        <v>0</v>
      </c>
      <c r="AK42" s="185"/>
      <c r="AL42" s="52"/>
      <c r="AM42" s="183"/>
      <c r="AN42" s="183"/>
      <c r="AO42" s="184"/>
    </row>
    <row r="43" spans="1:41" x14ac:dyDescent="0.2">
      <c r="A43" s="29" t="s">
        <v>9</v>
      </c>
      <c r="B43" s="63" t="s">
        <v>26</v>
      </c>
      <c r="C43" s="63"/>
      <c r="D43" s="64" t="s">
        <v>9</v>
      </c>
      <c r="E43" s="83">
        <f>IF(B43="MAAC",$I$5*'BRA Load Pricing Results'!J61/'BRA Load Pricing Results'!$B$15,0)</f>
        <v>-151.76011841743659</v>
      </c>
      <c r="F43" s="84">
        <f t="shared" si="14"/>
        <v>0</v>
      </c>
      <c r="G43" s="83">
        <f>IF(C43="EMAAC",$I$6*'BRA Load Pricing Results'!J61/'BRA Load Pricing Results'!$B$16,0)</f>
        <v>0</v>
      </c>
      <c r="H43" s="84">
        <f t="shared" si="18"/>
        <v>0</v>
      </c>
      <c r="I43" s="83">
        <f>IF(C43="SWMAAC",$I$7*'BRA Load Pricing Results'!J61/'BRA Load Pricing Results'!$B$17,0)</f>
        <v>0</v>
      </c>
      <c r="J43" s="84">
        <f t="shared" si="15"/>
        <v>0</v>
      </c>
      <c r="K43" s="83">
        <f>IF(D43="PS",$I$8*'BRA Load Pricing Results'!J61/'BRA Load Pricing Results'!$J$62,0)</f>
        <v>0</v>
      </c>
      <c r="L43" s="84">
        <f t="shared" si="16"/>
        <v>0</v>
      </c>
      <c r="M43" s="83">
        <f>IF(D43="DPL",$I$9*'BRA Load Pricing Results'!J61/'BRA Load Pricing Results'!$J$53,0)</f>
        <v>0</v>
      </c>
      <c r="N43" s="84">
        <f>M43*$N$23</f>
        <v>0</v>
      </c>
      <c r="O43" s="83">
        <f>IF(D43="PEPCO",$I$10*'BRA Load Pricing Results'!J61/'BRA Load Pricing Results'!$J$60,0)</f>
        <v>0</v>
      </c>
      <c r="P43" s="84">
        <f>O43*$P$23</f>
        <v>0</v>
      </c>
      <c r="Q43" s="83">
        <f>IF(D43="ATSI",$I$11*'BRA Load Pricing Results'!J61/'BRA Load Pricing Results'!$J$46,0)</f>
        <v>0</v>
      </c>
      <c r="R43" s="84">
        <f>Q43*$R$23</f>
        <v>0</v>
      </c>
      <c r="S43" s="83">
        <f>IF(D43="COMED",$I$12*'BRA Load Pricing Results'!J61/'BRA Load Pricing Results'!$J$48,0)</f>
        <v>0</v>
      </c>
      <c r="T43" s="84">
        <f t="shared" si="7"/>
        <v>0</v>
      </c>
      <c r="U43" s="83">
        <f>IF(D43="BGE",$I$13*'BRA Load Pricing Results'!J61/'BRA Load Pricing Results'!$J$47,0)</f>
        <v>0</v>
      </c>
      <c r="V43" s="84">
        <f t="shared" si="20"/>
        <v>0</v>
      </c>
      <c r="W43" s="83">
        <f>IF(D43="PL",$I$14*'BRA Load Pricing Results'!J61/'BRA Load Pricing Results'!$J$61,0)</f>
        <v>-874.26124017322945</v>
      </c>
      <c r="X43" s="84">
        <f>W43*$X$23</f>
        <v>0</v>
      </c>
      <c r="Y43" s="83">
        <f>IF(D43="DAYTON",$I$15*'BRA Load Pricing Results'!J61/'BRA Load Pricing Results'!$J$49,0)</f>
        <v>0</v>
      </c>
      <c r="Z43" s="84">
        <f t="shared" si="8"/>
        <v>0</v>
      </c>
      <c r="AA43" s="83">
        <f>IF(D43="DEOK",$I$16*'BRA Load Pricing Results'!J61/'BRA Load Pricing Results'!$J$50,0)</f>
        <v>0</v>
      </c>
      <c r="AB43" s="84">
        <f>AA43*$AB$23</f>
        <v>0</v>
      </c>
      <c r="AC43" s="83">
        <f>IF(D43=$AC$22,$I$17*'BRA Load Pricing Results'!J61/'BRA Load Pricing Results'!$J$52,0)</f>
        <v>0</v>
      </c>
      <c r="AD43" s="84">
        <f t="shared" si="10"/>
        <v>0</v>
      </c>
      <c r="AE43" s="83">
        <f>IF(D43=$AE$22,$I$18*'BRA Load Pricing Results'!J61/'BRA Load Pricing Results'!$J$55,0)</f>
        <v>0</v>
      </c>
      <c r="AF43" s="84">
        <f t="shared" si="11"/>
        <v>0</v>
      </c>
      <c r="AG43" s="85">
        <f t="shared" si="12"/>
        <v>0</v>
      </c>
      <c r="AH43" s="17">
        <f t="shared" si="13"/>
        <v>0</v>
      </c>
      <c r="AI43" s="166">
        <f>AH43/'BRA Load Pricing Results'!J61</f>
        <v>0</v>
      </c>
      <c r="AJ43" s="188">
        <f t="shared" si="21"/>
        <v>0</v>
      </c>
      <c r="AK43" s="185"/>
      <c r="AL43" s="52"/>
      <c r="AM43" s="183"/>
      <c r="AN43" s="183"/>
      <c r="AO43" s="184"/>
    </row>
    <row r="44" spans="1:41" x14ac:dyDescent="0.2">
      <c r="A44" s="29" t="s">
        <v>7</v>
      </c>
      <c r="B44" s="63" t="s">
        <v>26</v>
      </c>
      <c r="C44" s="63" t="s">
        <v>31</v>
      </c>
      <c r="D44" s="64" t="s">
        <v>7</v>
      </c>
      <c r="E44" s="83">
        <f>IF(B44="MAAC",$I$5*'BRA Load Pricing Results'!J62/'BRA Load Pricing Results'!$B$15,0)</f>
        <v>-176.42679515493464</v>
      </c>
      <c r="F44" s="84">
        <f t="shared" si="14"/>
        <v>0</v>
      </c>
      <c r="G44" s="83">
        <f>IF(C44="EMAAC",$I$6*'BRA Load Pricing Results'!J62/'BRA Load Pricing Results'!$B$16,0)</f>
        <v>723.21788111066178</v>
      </c>
      <c r="H44" s="84">
        <f>G44*$H$23</f>
        <v>0</v>
      </c>
      <c r="I44" s="83">
        <f>IF(C44="SWMAAC",$I$7*'BRA Load Pricing Results'!J62/'BRA Load Pricing Results'!$B$17,0)</f>
        <v>0</v>
      </c>
      <c r="J44" s="84">
        <f t="shared" si="15"/>
        <v>0</v>
      </c>
      <c r="K44" s="83">
        <f>IF(D44="PS",$I$8*'BRA Load Pricing Results'!J62/'BRA Load Pricing Results'!$J$62,0)</f>
        <v>1789.0906321225443</v>
      </c>
      <c r="L44" s="84">
        <f>K44*$L$23</f>
        <v>0</v>
      </c>
      <c r="M44" s="83">
        <f>IF(D44="DPL",$I$9*'BRA Load Pricing Results'!J62/'BRA Load Pricing Results'!$J$53,0)</f>
        <v>0</v>
      </c>
      <c r="N44" s="84">
        <f>M44*$N$23</f>
        <v>0</v>
      </c>
      <c r="O44" s="83">
        <f>IF(D44="PEPCO",$I$10*'BRA Load Pricing Results'!J62/'BRA Load Pricing Results'!$J$60,0)</f>
        <v>0</v>
      </c>
      <c r="P44" s="84">
        <f>O44*$P$23</f>
        <v>0</v>
      </c>
      <c r="Q44" s="83">
        <f>IF(D44="ATSI",$I$11*'BRA Load Pricing Results'!J62/'BRA Load Pricing Results'!$J$46,0)</f>
        <v>0</v>
      </c>
      <c r="R44" s="84">
        <f t="shared" si="6"/>
        <v>0</v>
      </c>
      <c r="S44" s="83">
        <f>IF(D44="COMED",$I$12*'BRA Load Pricing Results'!J62/'BRA Load Pricing Results'!$J$48,0)</f>
        <v>0</v>
      </c>
      <c r="T44" s="84">
        <f t="shared" si="7"/>
        <v>0</v>
      </c>
      <c r="U44" s="83">
        <f>IF(D44="BGE",$I$13*'BRA Load Pricing Results'!J62/'BRA Load Pricing Results'!$J$47,0)</f>
        <v>0</v>
      </c>
      <c r="V44" s="84">
        <f t="shared" si="20"/>
        <v>0</v>
      </c>
      <c r="W44" s="83">
        <f>IF(D44="PL",$I$14*'BRA Load Pricing Results'!J62/'BRA Load Pricing Results'!$J$61,0)</f>
        <v>0</v>
      </c>
      <c r="X44" s="84">
        <f>W44*$X$23</f>
        <v>0</v>
      </c>
      <c r="Y44" s="83">
        <f>IF(D44="DAYTON",$I$15*'BRA Load Pricing Results'!J62/'BRA Load Pricing Results'!$J$49,0)</f>
        <v>0</v>
      </c>
      <c r="Z44" s="84">
        <f t="shared" si="8"/>
        <v>0</v>
      </c>
      <c r="AA44" s="83">
        <f>IF(D44="DEOK",$I$16*'BRA Load Pricing Results'!J62/'BRA Load Pricing Results'!$J$50,0)</f>
        <v>0</v>
      </c>
      <c r="AB44" s="84">
        <f>AA44*$AB$23</f>
        <v>0</v>
      </c>
      <c r="AC44" s="83">
        <f>IF(D44=$AC$22,$I$17*'BRA Load Pricing Results'!J62/'BRA Load Pricing Results'!$J$52,0)</f>
        <v>0</v>
      </c>
      <c r="AD44" s="84">
        <f t="shared" si="10"/>
        <v>0</v>
      </c>
      <c r="AE44" s="83">
        <f>IF(D44=$AE$22,$I$18*'BRA Load Pricing Results'!J62/'BRA Load Pricing Results'!$J$55,0)</f>
        <v>0</v>
      </c>
      <c r="AF44" s="84">
        <f t="shared" si="11"/>
        <v>0</v>
      </c>
      <c r="AG44" s="85">
        <f t="shared" si="12"/>
        <v>1789.0906321225443</v>
      </c>
      <c r="AH44" s="17">
        <f t="shared" si="13"/>
        <v>0</v>
      </c>
      <c r="AI44" s="166">
        <f>AH44/'BRA Load Pricing Results'!J62</f>
        <v>0</v>
      </c>
      <c r="AJ44" s="188">
        <f t="shared" si="21"/>
        <v>0</v>
      </c>
      <c r="AK44" s="185"/>
      <c r="AL44" s="52"/>
      <c r="AM44" s="183"/>
      <c r="AN44" s="183"/>
      <c r="AO44" s="184"/>
    </row>
    <row r="45" spans="1:41" ht="13.5" thickBot="1" x14ac:dyDescent="0.25">
      <c r="A45" s="87" t="s">
        <v>17</v>
      </c>
      <c r="B45" s="65" t="s">
        <v>26</v>
      </c>
      <c r="C45" s="65" t="s">
        <v>31</v>
      </c>
      <c r="D45" s="66"/>
      <c r="E45" s="88">
        <f>IF(B45="MAAC",$I$5*'BRA Load Pricing Results'!J63/'BRA Load Pricing Results'!$B$15,0)</f>
        <v>-6.7889935974765176</v>
      </c>
      <c r="F45" s="89">
        <f t="shared" si="14"/>
        <v>0</v>
      </c>
      <c r="G45" s="88">
        <f>IF(C45="EMAAC",$I$6*'BRA Load Pricing Results'!J63/'BRA Load Pricing Results'!$B$16,0)</f>
        <v>27.829795129073318</v>
      </c>
      <c r="H45" s="89">
        <f>G45*$H$23</f>
        <v>0</v>
      </c>
      <c r="I45" s="88">
        <f>IF(C45="SWMAAC",$I$7*'BRA Load Pricing Results'!J63/'BRA Load Pricing Results'!$B$17,0)</f>
        <v>0</v>
      </c>
      <c r="J45" s="89">
        <f t="shared" si="15"/>
        <v>0</v>
      </c>
      <c r="K45" s="88">
        <f>IF(D45="PS",$I$8*'BRA Load Pricing Results'!J63/'BRA Load Pricing Results'!$J$62,0)</f>
        <v>0</v>
      </c>
      <c r="L45" s="89">
        <f t="shared" si="16"/>
        <v>0</v>
      </c>
      <c r="M45" s="88">
        <f>IF(D45="DPL",$I$9*'BRA Load Pricing Results'!J63/'BRA Load Pricing Results'!$J$53,0)</f>
        <v>0</v>
      </c>
      <c r="N45" s="89">
        <f>M45*$N$23</f>
        <v>0</v>
      </c>
      <c r="O45" s="88">
        <f>IF(D45="PEPCO",$I$10*'BRA Load Pricing Results'!J63/'BRA Load Pricing Results'!$J$60,0)</f>
        <v>0</v>
      </c>
      <c r="P45" s="89">
        <f>O45*$P$23</f>
        <v>0</v>
      </c>
      <c r="Q45" s="88">
        <f>IF(D45="ATSI",$I$11*'BRA Load Pricing Results'!J63/'BRA Load Pricing Results'!$J$46,0)</f>
        <v>0</v>
      </c>
      <c r="R45" s="89">
        <f t="shared" si="6"/>
        <v>0</v>
      </c>
      <c r="S45" s="83">
        <f>IF(D45="COMED",$I$12*'BRA Load Pricing Results'!J63/'BRA Load Pricing Results'!$J$48,0)</f>
        <v>0</v>
      </c>
      <c r="T45" s="84">
        <f t="shared" si="7"/>
        <v>0</v>
      </c>
      <c r="U45" s="83">
        <f>IF(D45="BGE",$I$13*'BRA Load Pricing Results'!J63/'BRA Load Pricing Results'!$J$47,0)</f>
        <v>0</v>
      </c>
      <c r="V45" s="84">
        <f t="shared" si="20"/>
        <v>0</v>
      </c>
      <c r="W45" s="83">
        <f>IF(D45="PL",$I$14*'BRA Load Pricing Results'!J63/'BRA Load Pricing Results'!$J$61,0)</f>
        <v>0</v>
      </c>
      <c r="X45" s="84">
        <f>W45*$X$23</f>
        <v>0</v>
      </c>
      <c r="Y45" s="83">
        <f>IF(D45="DAYTON",$I$15*'BRA Load Pricing Results'!J63/'BRA Load Pricing Results'!$J$49,0)</f>
        <v>0</v>
      </c>
      <c r="Z45" s="84">
        <f>Y45*$Z$23</f>
        <v>0</v>
      </c>
      <c r="AA45" s="83">
        <f>IF(D45="DEOK",$I$16*'BRA Load Pricing Results'!J63/'BRA Load Pricing Results'!$J$61,0)</f>
        <v>0</v>
      </c>
      <c r="AB45" s="84">
        <f>AA45*$AB$23</f>
        <v>0</v>
      </c>
      <c r="AC45" s="83">
        <f>IF(D45=$AC$22,$I$17*'BRA Load Pricing Results'!J63/'BRA Load Pricing Results'!$J$52,0)</f>
        <v>0</v>
      </c>
      <c r="AD45" s="84">
        <f t="shared" si="10"/>
        <v>0</v>
      </c>
      <c r="AE45" s="83">
        <f>IF(D45=$AE$22,$I$18*'BRA Load Pricing Results'!J63/'BRA Load Pricing Results'!$J$55,0)</f>
        <v>0</v>
      </c>
      <c r="AF45" s="84">
        <f t="shared" si="11"/>
        <v>0</v>
      </c>
      <c r="AG45" s="85">
        <f t="shared" si="12"/>
        <v>27.829795129073318</v>
      </c>
      <c r="AH45" s="17">
        <f t="shared" si="13"/>
        <v>0</v>
      </c>
      <c r="AI45" s="189">
        <f>AH45/'BRA Load Pricing Results'!J63</f>
        <v>0</v>
      </c>
      <c r="AJ45" s="190">
        <f t="shared" si="21"/>
        <v>0</v>
      </c>
      <c r="AK45" s="185"/>
      <c r="AL45" s="52"/>
      <c r="AM45" s="183"/>
      <c r="AN45" s="183"/>
      <c r="AO45" s="184"/>
    </row>
    <row r="46" spans="1:41" ht="13.5" thickBot="1" x14ac:dyDescent="0.25">
      <c r="A46" s="373" t="s">
        <v>62</v>
      </c>
      <c r="B46" s="374"/>
      <c r="C46" s="374"/>
      <c r="D46" s="375"/>
      <c r="E46" s="90">
        <f>SUM(E25:E45)</f>
        <v>-999.37467290032532</v>
      </c>
      <c r="F46" s="91">
        <f>SUM(F25:F45)</f>
        <v>0</v>
      </c>
      <c r="G46" s="90">
        <f>SUM(G25:G45)</f>
        <v>2186.1374450622825</v>
      </c>
      <c r="H46" s="91">
        <f t="shared" ref="H46:V46" si="22">SUM(H25:H45)</f>
        <v>0</v>
      </c>
      <c r="I46" s="90">
        <f t="shared" si="22"/>
        <v>2575.5631052172521</v>
      </c>
      <c r="J46" s="91">
        <f t="shared" si="22"/>
        <v>0</v>
      </c>
      <c r="K46" s="90">
        <f>SUM(K25:K45)</f>
        <v>1789.0906321225443</v>
      </c>
      <c r="L46" s="91">
        <f t="shared" si="22"/>
        <v>0</v>
      </c>
      <c r="M46" s="90">
        <f t="shared" si="22"/>
        <v>-544.47687421535056</v>
      </c>
      <c r="N46" s="91">
        <f t="shared" si="22"/>
        <v>0</v>
      </c>
      <c r="O46" s="90">
        <f t="shared" si="22"/>
        <v>2871.5826197637311</v>
      </c>
      <c r="P46" s="91">
        <f t="shared" si="22"/>
        <v>0</v>
      </c>
      <c r="Q46" s="90">
        <f t="shared" si="22"/>
        <v>3597.5322252490696</v>
      </c>
      <c r="R46" s="91">
        <f t="shared" si="22"/>
        <v>0</v>
      </c>
      <c r="S46" s="90">
        <f t="shared" si="22"/>
        <v>-2429.9891187061585</v>
      </c>
      <c r="T46" s="91">
        <f>SUM(T25:T45)</f>
        <v>0</v>
      </c>
      <c r="U46" s="90">
        <f t="shared" si="22"/>
        <v>2996.1804854535221</v>
      </c>
      <c r="V46" s="91">
        <f t="shared" si="22"/>
        <v>0</v>
      </c>
      <c r="W46" s="90">
        <f>SUM(W25:W45)</f>
        <v>-874.26124017322945</v>
      </c>
      <c r="X46" s="91">
        <f>SUM(X25:X45)</f>
        <v>0</v>
      </c>
      <c r="Y46" s="90">
        <f t="shared" ref="Y46:Z46" si="23">SUM(Y25:Y45)</f>
        <v>2120.2578819914538</v>
      </c>
      <c r="Z46" s="91">
        <f t="shared" si="23"/>
        <v>0</v>
      </c>
      <c r="AA46" s="90">
        <f>SUM(AA25:AA45)</f>
        <v>1949.9609301528899</v>
      </c>
      <c r="AB46" s="91">
        <f t="shared" ref="AB46:AD46" si="24">SUM(AB25:AB45)</f>
        <v>0</v>
      </c>
      <c r="AC46" s="90">
        <f>SUM(AC25:AC45)</f>
        <v>1007.5740756977284</v>
      </c>
      <c r="AD46" s="91">
        <f t="shared" si="24"/>
        <v>0</v>
      </c>
      <c r="AE46" s="90">
        <f>SUM(AE25:AE45)</f>
        <v>2575.327741766971</v>
      </c>
      <c r="AF46" s="91">
        <f>SUM(AF25:AF45)</f>
        <v>0</v>
      </c>
      <c r="AG46" s="92"/>
      <c r="AH46" s="93">
        <f>SUM(AH25:AH45)</f>
        <v>0</v>
      </c>
      <c r="AI46" s="94"/>
      <c r="AJ46" s="95"/>
      <c r="AK46" s="7"/>
    </row>
    <row r="47" spans="1:41" x14ac:dyDescent="0.2">
      <c r="A47" s="11" t="s">
        <v>63</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row>
    <row r="48" spans="1:41" x14ac:dyDescent="0.2">
      <c r="A48" s="11" t="s">
        <v>64</v>
      </c>
      <c r="B48" s="11"/>
      <c r="C48" s="11"/>
      <c r="D48" s="11"/>
      <c r="E48" s="11"/>
      <c r="F48" s="11"/>
      <c r="G48" s="11"/>
      <c r="H48" s="11"/>
      <c r="I48" s="11"/>
      <c r="J48" s="11"/>
      <c r="K48" s="19"/>
      <c r="L48" s="11"/>
      <c r="M48" s="11"/>
      <c r="N48" s="11"/>
      <c r="O48" s="11"/>
      <c r="P48" s="11"/>
      <c r="Q48" s="11"/>
      <c r="R48" s="11"/>
      <c r="S48" s="11"/>
      <c r="T48" s="11"/>
      <c r="U48" s="11"/>
      <c r="V48" s="11"/>
      <c r="W48" s="11"/>
      <c r="X48" s="11"/>
      <c r="Y48" s="11"/>
      <c r="Z48" s="11"/>
      <c r="AA48" s="11"/>
      <c r="AB48" s="11"/>
      <c r="AC48" s="11"/>
      <c r="AD48" s="11"/>
      <c r="AE48" s="11"/>
      <c r="AF48" s="11"/>
    </row>
    <row r="49" spans="1:32" x14ac:dyDescent="0.2">
      <c r="A49" s="11" t="s">
        <v>111</v>
      </c>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row>
    <row r="50" spans="1:32" x14ac:dyDescent="0.2">
      <c r="A50" s="11" t="s">
        <v>65</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x14ac:dyDescent="0.2">
      <c r="A51" s="11" t="s">
        <v>66</v>
      </c>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row>
    <row r="52" spans="1:32"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row>
  </sheetData>
  <mergeCells count="16">
    <mergeCell ref="AE22:AF22"/>
    <mergeCell ref="AC22:AD22"/>
    <mergeCell ref="A21:D23"/>
    <mergeCell ref="A46:D46"/>
    <mergeCell ref="E22:F22"/>
    <mergeCell ref="G22:H22"/>
    <mergeCell ref="S22:T22"/>
    <mergeCell ref="Q22:R22"/>
    <mergeCell ref="O22:P22"/>
    <mergeCell ref="Y22:Z22"/>
    <mergeCell ref="AA22:AB22"/>
    <mergeCell ref="K22:L22"/>
    <mergeCell ref="M22:N22"/>
    <mergeCell ref="I22:J22"/>
    <mergeCell ref="U22:V22"/>
    <mergeCell ref="W22:X22"/>
  </mergeCells>
  <printOptions horizontalCentered="1" verticalCentered="1"/>
  <pageMargins left="0.45" right="0.45" top="0.5" bottom="0.5" header="0.3" footer="0.3"/>
  <pageSetup paperSize="17" scale="42" orientation="landscape" r:id="rId1"/>
  <ignoredErrors>
    <ignoredError sqref="D10 D12:D1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F164"/>
  <sheetViews>
    <sheetView zoomScale="90" zoomScaleNormal="90" workbookViewId="0">
      <pane ySplit="4" topLeftCell="A10" activePane="bottomLeft" state="frozen"/>
      <selection pane="bottomLeft"/>
    </sheetView>
  </sheetViews>
  <sheetFormatPr defaultRowHeight="12.75" x14ac:dyDescent="0.2"/>
  <cols>
    <col min="1" max="1" width="55.7109375" customWidth="1"/>
    <col min="2" max="17" width="15.7109375" customWidth="1"/>
    <col min="18" max="18" width="14.85546875" customWidth="1"/>
    <col min="19" max="21" width="15.7109375" customWidth="1"/>
    <col min="22" max="22" width="14.85546875" customWidth="1"/>
    <col min="23" max="25" width="15.7109375" customWidth="1"/>
    <col min="26" max="26" width="14" customWidth="1"/>
    <col min="27" max="28" width="15.7109375" customWidth="1"/>
    <col min="29" max="29" width="19.42578125" customWidth="1"/>
    <col min="30" max="30" width="15.7109375" customWidth="1"/>
    <col min="31" max="31" width="19.42578125" customWidth="1"/>
    <col min="32" max="32" width="15.7109375" customWidth="1"/>
    <col min="33" max="33" width="19.42578125" customWidth="1"/>
    <col min="34" max="34" width="15.7109375" customWidth="1"/>
    <col min="35" max="35" width="8.7109375" customWidth="1"/>
    <col min="36" max="36" width="18.7109375" customWidth="1"/>
  </cols>
  <sheetData>
    <row r="1" spans="1:20" ht="18.75" x14ac:dyDescent="0.3">
      <c r="A1" s="39" t="s">
        <v>368</v>
      </c>
      <c r="B1" s="6" t="s">
        <v>22</v>
      </c>
    </row>
    <row r="2" spans="1:20" ht="19.5" thickBot="1" x14ac:dyDescent="0.35">
      <c r="A2" s="1"/>
      <c r="C2" s="6"/>
      <c r="F2" s="237" t="s">
        <v>22</v>
      </c>
      <c r="G2" s="237" t="s">
        <v>22</v>
      </c>
      <c r="H2" s="237" t="s">
        <v>22</v>
      </c>
      <c r="I2" s="224" t="s">
        <v>22</v>
      </c>
    </row>
    <row r="3" spans="1:20" ht="13.5" customHeight="1" thickBot="1" x14ac:dyDescent="0.25">
      <c r="A3" s="377" t="s">
        <v>54</v>
      </c>
      <c r="B3" s="11"/>
      <c r="C3" s="11"/>
      <c r="D3" s="11"/>
      <c r="E3" s="11"/>
      <c r="F3" s="11"/>
      <c r="G3" s="11"/>
      <c r="H3" s="11"/>
      <c r="I3" s="11"/>
      <c r="J3" s="11"/>
      <c r="K3" s="11"/>
      <c r="L3" s="11"/>
      <c r="M3" s="11"/>
      <c r="N3" s="11"/>
      <c r="O3" s="11"/>
      <c r="P3" s="11"/>
      <c r="Q3" s="11"/>
      <c r="R3" s="11"/>
      <c r="S3" s="11"/>
      <c r="T3" s="11"/>
    </row>
    <row r="4" spans="1:20" ht="18.75" customHeight="1" thickBot="1" x14ac:dyDescent="0.25">
      <c r="A4" s="378"/>
      <c r="B4" s="139" t="s">
        <v>26</v>
      </c>
      <c r="C4" s="140" t="s">
        <v>31</v>
      </c>
      <c r="D4" s="140" t="s">
        <v>4</v>
      </c>
      <c r="E4" s="140" t="s">
        <v>7</v>
      </c>
      <c r="F4" s="140" t="s">
        <v>32</v>
      </c>
      <c r="G4" s="140" t="s">
        <v>33</v>
      </c>
      <c r="H4" s="140" t="s">
        <v>14</v>
      </c>
      <c r="I4" s="140" t="s">
        <v>10</v>
      </c>
      <c r="J4" s="140" t="s">
        <v>48</v>
      </c>
      <c r="K4" s="140" t="s">
        <v>19</v>
      </c>
      <c r="L4" s="140" t="s">
        <v>28</v>
      </c>
      <c r="M4" s="101"/>
      <c r="N4" s="11"/>
      <c r="O4" s="11"/>
      <c r="P4" s="11"/>
      <c r="Q4" s="11"/>
      <c r="R4" s="11"/>
      <c r="S4" s="11"/>
      <c r="T4" s="11"/>
    </row>
    <row r="5" spans="1:20" ht="26.25" customHeight="1" thickBot="1" x14ac:dyDescent="0.25">
      <c r="A5" s="181" t="s">
        <v>83</v>
      </c>
      <c r="B5" s="205" t="s">
        <v>86</v>
      </c>
      <c r="C5" s="206" t="s">
        <v>103</v>
      </c>
      <c r="D5" s="206" t="s">
        <v>103</v>
      </c>
      <c r="E5" s="206" t="s">
        <v>103</v>
      </c>
      <c r="F5" s="206" t="s">
        <v>103</v>
      </c>
      <c r="G5" s="206" t="s">
        <v>86</v>
      </c>
      <c r="H5" s="206" t="s">
        <v>103</v>
      </c>
      <c r="I5" s="206" t="s">
        <v>103</v>
      </c>
      <c r="J5" s="206" t="s">
        <v>103</v>
      </c>
      <c r="K5" s="206" t="s">
        <v>103</v>
      </c>
      <c r="L5" s="206" t="s">
        <v>103</v>
      </c>
      <c r="M5" s="101"/>
      <c r="N5" s="11"/>
      <c r="O5" s="11"/>
      <c r="P5" s="11"/>
      <c r="Q5" s="11"/>
      <c r="R5" s="11"/>
      <c r="S5" s="11"/>
      <c r="T5" s="11"/>
    </row>
    <row r="6" spans="1:20" ht="20.100000000000001" customHeight="1" x14ac:dyDescent="0.2">
      <c r="A6" s="141" t="s">
        <v>116</v>
      </c>
      <c r="B6" s="208"/>
      <c r="C6" s="209"/>
      <c r="D6" s="209"/>
      <c r="E6" s="209"/>
      <c r="F6" s="209"/>
      <c r="G6" s="209"/>
      <c r="H6" s="209"/>
      <c r="I6" s="209"/>
      <c r="J6" s="209"/>
      <c r="K6" s="209"/>
      <c r="L6" s="209"/>
      <c r="M6" s="101"/>
      <c r="N6" s="11"/>
      <c r="O6" s="11"/>
      <c r="P6" s="11"/>
      <c r="Q6" s="11"/>
      <c r="R6" s="11"/>
      <c r="S6" s="11"/>
      <c r="T6" s="11"/>
    </row>
    <row r="7" spans="1:20" ht="20.100000000000001" customHeight="1" x14ac:dyDescent="0.2">
      <c r="A7" s="142" t="s">
        <v>78</v>
      </c>
      <c r="B7" s="132">
        <v>160</v>
      </c>
      <c r="C7" s="133">
        <v>0</v>
      </c>
      <c r="D7" s="133">
        <v>0</v>
      </c>
      <c r="E7" s="133">
        <v>0</v>
      </c>
      <c r="F7" s="133">
        <v>0</v>
      </c>
      <c r="G7" s="133">
        <v>0</v>
      </c>
      <c r="H7" s="133">
        <v>0</v>
      </c>
      <c r="I7" s="133">
        <v>0</v>
      </c>
      <c r="J7" s="133">
        <v>0</v>
      </c>
      <c r="K7" s="133">
        <v>0</v>
      </c>
      <c r="L7" s="133">
        <v>0</v>
      </c>
      <c r="M7" s="21"/>
      <c r="N7" s="11"/>
      <c r="O7" s="11"/>
      <c r="P7" s="11"/>
      <c r="Q7" s="11"/>
      <c r="R7" s="11"/>
      <c r="S7" s="11"/>
      <c r="T7" s="11"/>
    </row>
    <row r="8" spans="1:20" ht="20.100000000000001" customHeight="1" x14ac:dyDescent="0.2">
      <c r="A8" s="142" t="s">
        <v>79</v>
      </c>
      <c r="B8" s="132">
        <v>106</v>
      </c>
      <c r="C8" s="133">
        <v>0</v>
      </c>
      <c r="D8" s="133">
        <v>0</v>
      </c>
      <c r="E8" s="133">
        <v>0</v>
      </c>
      <c r="F8" s="133">
        <v>0</v>
      </c>
      <c r="G8" s="133">
        <v>0</v>
      </c>
      <c r="H8" s="133">
        <v>0</v>
      </c>
      <c r="I8" s="133">
        <v>0</v>
      </c>
      <c r="J8" s="133">
        <v>0</v>
      </c>
      <c r="K8" s="133">
        <v>0</v>
      </c>
      <c r="L8" s="133">
        <v>0</v>
      </c>
      <c r="M8" s="21"/>
      <c r="N8" s="11"/>
      <c r="O8" s="11"/>
      <c r="P8" s="11"/>
      <c r="Q8" s="11"/>
      <c r="R8" s="11"/>
      <c r="S8" s="11"/>
      <c r="T8" s="11"/>
    </row>
    <row r="9" spans="1:20" ht="20.100000000000001" customHeight="1" x14ac:dyDescent="0.2">
      <c r="A9" s="142" t="s">
        <v>81</v>
      </c>
      <c r="B9" s="132">
        <v>117</v>
      </c>
      <c r="C9" s="133">
        <v>0</v>
      </c>
      <c r="D9" s="133">
        <v>0</v>
      </c>
      <c r="E9" s="133">
        <v>0</v>
      </c>
      <c r="F9" s="133">
        <v>0</v>
      </c>
      <c r="G9" s="133">
        <v>0</v>
      </c>
      <c r="H9" s="133">
        <v>0</v>
      </c>
      <c r="I9" s="133">
        <v>0</v>
      </c>
      <c r="J9" s="133">
        <v>0</v>
      </c>
      <c r="K9" s="133">
        <v>0</v>
      </c>
      <c r="L9" s="133">
        <v>0</v>
      </c>
      <c r="M9" s="21"/>
      <c r="N9" s="11"/>
      <c r="O9" s="11"/>
      <c r="P9" s="11"/>
      <c r="Q9" s="11"/>
      <c r="R9" s="11"/>
      <c r="S9" s="11"/>
      <c r="T9" s="11"/>
    </row>
    <row r="10" spans="1:20" ht="24.95" customHeight="1" x14ac:dyDescent="0.2">
      <c r="A10" s="142" t="s">
        <v>82</v>
      </c>
      <c r="B10" s="132">
        <v>0</v>
      </c>
      <c r="C10" s="133">
        <v>898</v>
      </c>
      <c r="D10" s="133">
        <v>0</v>
      </c>
      <c r="E10" s="133">
        <v>68.900000000000006</v>
      </c>
      <c r="F10" s="133">
        <v>105.5</v>
      </c>
      <c r="G10" s="133">
        <v>0</v>
      </c>
      <c r="H10" s="133">
        <v>0</v>
      </c>
      <c r="I10" s="133">
        <v>0</v>
      </c>
      <c r="J10" s="133">
        <v>0</v>
      </c>
      <c r="K10" s="133">
        <v>0</v>
      </c>
      <c r="L10" s="133">
        <v>0</v>
      </c>
      <c r="M10" s="21"/>
      <c r="N10" s="11"/>
      <c r="O10" s="11"/>
      <c r="P10" s="11"/>
      <c r="Q10" s="11"/>
      <c r="R10" s="11"/>
      <c r="S10" s="11"/>
      <c r="T10" s="11"/>
    </row>
    <row r="11" spans="1:20" ht="20.100000000000001" customHeight="1" x14ac:dyDescent="0.2">
      <c r="A11" s="142" t="s">
        <v>100</v>
      </c>
      <c r="B11" s="132">
        <v>339</v>
      </c>
      <c r="C11" s="133">
        <v>0</v>
      </c>
      <c r="D11" s="133">
        <v>0</v>
      </c>
      <c r="E11" s="133">
        <v>0</v>
      </c>
      <c r="F11" s="133">
        <v>0</v>
      </c>
      <c r="G11" s="133">
        <v>0</v>
      </c>
      <c r="H11" s="133">
        <v>0</v>
      </c>
      <c r="I11" s="133">
        <v>0</v>
      </c>
      <c r="J11" s="133">
        <v>0</v>
      </c>
      <c r="K11" s="133">
        <v>0</v>
      </c>
      <c r="L11" s="133">
        <v>0</v>
      </c>
      <c r="M11" s="21"/>
      <c r="N11" s="11"/>
      <c r="O11" s="11"/>
      <c r="P11" s="11"/>
      <c r="Q11" s="11"/>
      <c r="R11" s="11"/>
      <c r="S11" s="11"/>
      <c r="T11" s="11"/>
    </row>
    <row r="12" spans="1:20" ht="24.95" customHeight="1" x14ac:dyDescent="0.2">
      <c r="A12" s="142" t="s">
        <v>117</v>
      </c>
      <c r="B12" s="132">
        <v>0</v>
      </c>
      <c r="C12" s="133">
        <v>0</v>
      </c>
      <c r="D12" s="133">
        <v>256</v>
      </c>
      <c r="E12" s="133">
        <v>0</v>
      </c>
      <c r="F12" s="133">
        <v>0</v>
      </c>
      <c r="G12" s="133">
        <v>0</v>
      </c>
      <c r="H12" s="133">
        <v>0</v>
      </c>
      <c r="I12" s="133">
        <v>0</v>
      </c>
      <c r="J12" s="133">
        <v>0</v>
      </c>
      <c r="K12" s="133">
        <v>0</v>
      </c>
      <c r="L12" s="133">
        <v>0</v>
      </c>
      <c r="M12" s="21"/>
      <c r="N12" s="11"/>
      <c r="O12" s="11"/>
      <c r="P12" s="11"/>
      <c r="Q12" s="11"/>
      <c r="R12" s="11"/>
      <c r="S12" s="11"/>
      <c r="T12" s="11"/>
    </row>
    <row r="13" spans="1:20" ht="24.95" customHeight="1" x14ac:dyDescent="0.2">
      <c r="A13" s="225" t="s">
        <v>229</v>
      </c>
      <c r="B13" s="226">
        <v>0</v>
      </c>
      <c r="C13" s="228">
        <v>0</v>
      </c>
      <c r="D13" s="228">
        <v>1229</v>
      </c>
      <c r="E13" s="228">
        <v>0</v>
      </c>
      <c r="F13" s="228">
        <v>0</v>
      </c>
      <c r="G13" s="228">
        <v>0</v>
      </c>
      <c r="H13" s="228">
        <v>0</v>
      </c>
      <c r="I13" s="228">
        <v>0</v>
      </c>
      <c r="J13" s="228">
        <v>0</v>
      </c>
      <c r="K13" s="228">
        <v>0</v>
      </c>
      <c r="L13" s="228">
        <v>0</v>
      </c>
      <c r="M13" s="21"/>
      <c r="N13" s="11"/>
      <c r="O13" s="11"/>
      <c r="P13" s="11"/>
      <c r="Q13" s="11"/>
      <c r="R13" s="11"/>
      <c r="S13" s="11"/>
      <c r="T13" s="11"/>
    </row>
    <row r="14" spans="1:20" ht="24.95" customHeight="1" x14ac:dyDescent="0.2">
      <c r="A14" s="225" t="s">
        <v>354</v>
      </c>
      <c r="B14" s="226">
        <v>0</v>
      </c>
      <c r="C14" s="228">
        <v>0</v>
      </c>
      <c r="D14" s="228">
        <v>0</v>
      </c>
      <c r="E14" s="228">
        <v>0</v>
      </c>
      <c r="F14" s="228">
        <v>0</v>
      </c>
      <c r="G14" s="228">
        <v>0</v>
      </c>
      <c r="H14" s="228">
        <v>0</v>
      </c>
      <c r="I14" s="228">
        <v>0</v>
      </c>
      <c r="J14" s="228">
        <v>0</v>
      </c>
      <c r="K14" s="228">
        <v>0</v>
      </c>
      <c r="L14" s="228">
        <v>2059</v>
      </c>
      <c r="M14" s="21"/>
      <c r="N14" s="11"/>
      <c r="O14" s="11"/>
      <c r="P14" s="11"/>
      <c r="Q14" s="11"/>
      <c r="R14" s="11"/>
      <c r="S14" s="11"/>
      <c r="T14" s="11"/>
    </row>
    <row r="15" spans="1:20" ht="20.100000000000001" customHeight="1" thickBot="1" x14ac:dyDescent="0.25">
      <c r="A15" s="195" t="s">
        <v>147</v>
      </c>
      <c r="B15" s="196">
        <f>SUM(B7:B14)</f>
        <v>722</v>
      </c>
      <c r="C15" s="210">
        <f t="shared" ref="C15:L15" si="0">SUM(C7:C14)</f>
        <v>898</v>
      </c>
      <c r="D15" s="210">
        <f t="shared" si="0"/>
        <v>1485</v>
      </c>
      <c r="E15" s="210">
        <f t="shared" si="0"/>
        <v>68.900000000000006</v>
      </c>
      <c r="F15" s="210">
        <f t="shared" si="0"/>
        <v>105.5</v>
      </c>
      <c r="G15" s="210">
        <f t="shared" si="0"/>
        <v>0</v>
      </c>
      <c r="H15" s="210">
        <f t="shared" si="0"/>
        <v>0</v>
      </c>
      <c r="I15" s="210">
        <f t="shared" si="0"/>
        <v>0</v>
      </c>
      <c r="J15" s="210">
        <f t="shared" si="0"/>
        <v>0</v>
      </c>
      <c r="K15" s="210">
        <f t="shared" si="0"/>
        <v>0</v>
      </c>
      <c r="L15" s="210">
        <f t="shared" si="0"/>
        <v>2059</v>
      </c>
      <c r="M15" s="21"/>
      <c r="N15" s="11"/>
      <c r="O15" s="11"/>
      <c r="P15" s="11"/>
      <c r="Q15" s="11"/>
      <c r="R15" s="11"/>
      <c r="S15" s="11"/>
      <c r="T15" s="11"/>
    </row>
    <row r="16" spans="1:20" ht="20.100000000000001" customHeight="1" x14ac:dyDescent="0.2">
      <c r="A16" s="141" t="s">
        <v>113</v>
      </c>
      <c r="B16" s="211" t="s">
        <v>22</v>
      </c>
      <c r="C16" s="212"/>
      <c r="D16" s="212"/>
      <c r="E16" s="212"/>
      <c r="F16" s="212"/>
      <c r="G16" s="212"/>
      <c r="H16" s="212"/>
      <c r="I16" s="212"/>
      <c r="J16" s="212"/>
      <c r="K16" s="212"/>
      <c r="L16" s="212"/>
      <c r="M16" s="102"/>
      <c r="N16" s="11"/>
      <c r="O16" s="11"/>
      <c r="P16" s="11"/>
      <c r="Q16" s="11"/>
      <c r="R16" s="11"/>
      <c r="S16" s="11"/>
      <c r="T16" s="11"/>
    </row>
    <row r="17" spans="1:20" ht="38.25" customHeight="1" x14ac:dyDescent="0.2">
      <c r="A17" s="142" t="s">
        <v>125</v>
      </c>
      <c r="B17" s="132">
        <v>16</v>
      </c>
      <c r="C17" s="133">
        <v>0</v>
      </c>
      <c r="D17" s="133">
        <v>237</v>
      </c>
      <c r="E17" s="133">
        <v>0</v>
      </c>
      <c r="F17" s="133">
        <v>0</v>
      </c>
      <c r="G17" s="133">
        <v>0</v>
      </c>
      <c r="H17" s="133">
        <v>0</v>
      </c>
      <c r="I17" s="133">
        <v>124</v>
      </c>
      <c r="J17" s="133">
        <v>0</v>
      </c>
      <c r="K17" s="133">
        <v>0</v>
      </c>
      <c r="L17" s="133">
        <v>0</v>
      </c>
      <c r="M17" s="102"/>
      <c r="N17" s="11"/>
      <c r="O17" s="11"/>
      <c r="P17" s="11"/>
      <c r="Q17" s="11"/>
      <c r="R17" s="11"/>
      <c r="S17" s="11"/>
      <c r="T17" s="11"/>
    </row>
    <row r="18" spans="1:20" ht="24.95" customHeight="1" x14ac:dyDescent="0.2">
      <c r="A18" s="142" t="s">
        <v>95</v>
      </c>
      <c r="B18" s="132">
        <v>0</v>
      </c>
      <c r="C18" s="133">
        <v>0</v>
      </c>
      <c r="D18" s="133">
        <v>0</v>
      </c>
      <c r="E18" s="133">
        <v>340.2</v>
      </c>
      <c r="F18" s="133">
        <v>494.5</v>
      </c>
      <c r="G18" s="133">
        <v>0</v>
      </c>
      <c r="H18" s="133">
        <v>0</v>
      </c>
      <c r="I18" s="133">
        <v>0</v>
      </c>
      <c r="J18" s="133">
        <v>0</v>
      </c>
      <c r="K18" s="133">
        <v>0</v>
      </c>
      <c r="L18" s="133">
        <v>0</v>
      </c>
      <c r="M18" s="102"/>
      <c r="N18" s="11"/>
      <c r="O18" s="11"/>
      <c r="P18" s="11"/>
      <c r="Q18" s="11"/>
      <c r="R18" s="11"/>
      <c r="S18" s="11"/>
      <c r="T18" s="11"/>
    </row>
    <row r="19" spans="1:20" ht="24.95" customHeight="1" x14ac:dyDescent="0.2">
      <c r="A19" s="142" t="s">
        <v>80</v>
      </c>
      <c r="B19" s="132">
        <v>0</v>
      </c>
      <c r="C19" s="133">
        <v>0</v>
      </c>
      <c r="D19" s="133">
        <v>0</v>
      </c>
      <c r="E19" s="133">
        <v>90.3</v>
      </c>
      <c r="F19" s="133">
        <v>0</v>
      </c>
      <c r="G19" s="133">
        <v>0</v>
      </c>
      <c r="H19" s="133">
        <v>0</v>
      </c>
      <c r="I19" s="133">
        <v>0</v>
      </c>
      <c r="J19" s="133">
        <v>0</v>
      </c>
      <c r="K19" s="133">
        <v>0</v>
      </c>
      <c r="L19" s="133">
        <v>0</v>
      </c>
      <c r="M19" s="102"/>
      <c r="N19" s="11"/>
      <c r="O19" s="11"/>
      <c r="P19" s="11"/>
      <c r="Q19" s="11"/>
      <c r="R19" s="11"/>
      <c r="S19" s="11"/>
      <c r="T19" s="11"/>
    </row>
    <row r="20" spans="1:20" ht="24.95" customHeight="1" x14ac:dyDescent="0.2">
      <c r="A20" s="142" t="s">
        <v>126</v>
      </c>
      <c r="B20" s="132">
        <v>0</v>
      </c>
      <c r="C20" s="133">
        <v>0</v>
      </c>
      <c r="D20" s="133">
        <v>0</v>
      </c>
      <c r="E20" s="133">
        <v>0</v>
      </c>
      <c r="F20" s="133">
        <v>0</v>
      </c>
      <c r="G20" s="133">
        <v>0</v>
      </c>
      <c r="H20" s="133">
        <v>0</v>
      </c>
      <c r="I20" s="133">
        <v>182</v>
      </c>
      <c r="J20" s="133">
        <v>0</v>
      </c>
      <c r="K20" s="133">
        <v>0</v>
      </c>
      <c r="L20" s="133">
        <v>0</v>
      </c>
      <c r="M20" s="102"/>
      <c r="N20" s="11"/>
      <c r="O20" s="11"/>
      <c r="P20" s="11"/>
      <c r="Q20" s="11"/>
      <c r="R20" s="11"/>
      <c r="S20" s="11"/>
      <c r="T20" s="11"/>
    </row>
    <row r="21" spans="1:20" ht="65.099999999999994" customHeight="1" x14ac:dyDescent="0.2">
      <c r="A21" s="213" t="s">
        <v>137</v>
      </c>
      <c r="B21" s="132">
        <v>0</v>
      </c>
      <c r="C21" s="133">
        <v>50</v>
      </c>
      <c r="D21" s="133">
        <v>0</v>
      </c>
      <c r="E21" s="133">
        <v>0</v>
      </c>
      <c r="F21" s="133">
        <v>0</v>
      </c>
      <c r="G21" s="133">
        <v>0</v>
      </c>
      <c r="H21" s="133">
        <v>175</v>
      </c>
      <c r="I21" s="133">
        <v>0</v>
      </c>
      <c r="J21" s="133">
        <v>0</v>
      </c>
      <c r="K21" s="133">
        <v>0</v>
      </c>
      <c r="L21" s="133">
        <v>0</v>
      </c>
      <c r="M21" s="102"/>
      <c r="N21" s="11"/>
      <c r="O21" s="11"/>
      <c r="P21" s="11"/>
      <c r="Q21" s="11"/>
      <c r="R21" s="11"/>
      <c r="S21" s="11"/>
      <c r="T21" s="11"/>
    </row>
    <row r="22" spans="1:20" ht="38.25" x14ac:dyDescent="0.2">
      <c r="A22" s="213" t="s">
        <v>203</v>
      </c>
      <c r="B22" s="132">
        <v>0</v>
      </c>
      <c r="C22" s="133">
        <v>0</v>
      </c>
      <c r="D22" s="133">
        <v>0</v>
      </c>
      <c r="E22" s="133">
        <v>30</v>
      </c>
      <c r="F22" s="133">
        <v>5</v>
      </c>
      <c r="G22" s="133">
        <v>0</v>
      </c>
      <c r="H22" s="133">
        <v>0</v>
      </c>
      <c r="I22" s="133">
        <v>0</v>
      </c>
      <c r="J22" s="133">
        <v>0</v>
      </c>
      <c r="K22" s="133">
        <v>0</v>
      </c>
      <c r="L22" s="133">
        <v>0</v>
      </c>
      <c r="M22" s="102"/>
      <c r="N22" s="11"/>
      <c r="O22" s="11"/>
      <c r="P22" s="11"/>
      <c r="Q22" s="11"/>
      <c r="R22" s="11"/>
      <c r="S22" s="11"/>
      <c r="T22" s="11"/>
    </row>
    <row r="23" spans="1:20" ht="38.25" x14ac:dyDescent="0.2">
      <c r="A23" s="213" t="s">
        <v>204</v>
      </c>
      <c r="B23" s="132">
        <v>0</v>
      </c>
      <c r="C23" s="133">
        <v>0</v>
      </c>
      <c r="D23" s="133">
        <v>0</v>
      </c>
      <c r="E23" s="133">
        <v>17</v>
      </c>
      <c r="F23" s="133">
        <v>3</v>
      </c>
      <c r="G23" s="133">
        <v>0</v>
      </c>
      <c r="H23" s="133">
        <v>0</v>
      </c>
      <c r="I23" s="133">
        <v>0</v>
      </c>
      <c r="J23" s="133">
        <v>0</v>
      </c>
      <c r="K23" s="133">
        <v>0</v>
      </c>
      <c r="L23" s="133">
        <v>0</v>
      </c>
      <c r="M23" s="102"/>
      <c r="N23" s="11"/>
      <c r="O23" s="11"/>
      <c r="P23" s="11"/>
      <c r="Q23" s="11"/>
      <c r="R23" s="11"/>
      <c r="S23" s="11"/>
      <c r="T23" s="11"/>
    </row>
    <row r="24" spans="1:20" ht="38.25" x14ac:dyDescent="0.2">
      <c r="A24" s="213" t="s">
        <v>205</v>
      </c>
      <c r="B24" s="132">
        <v>0</v>
      </c>
      <c r="C24" s="133">
        <v>0</v>
      </c>
      <c r="D24" s="133">
        <v>0</v>
      </c>
      <c r="E24" s="133">
        <v>5</v>
      </c>
      <c r="F24" s="133">
        <v>1</v>
      </c>
      <c r="G24" s="133">
        <v>0</v>
      </c>
      <c r="H24" s="133">
        <v>0</v>
      </c>
      <c r="I24" s="133">
        <v>0</v>
      </c>
      <c r="J24" s="133">
        <v>0</v>
      </c>
      <c r="K24" s="133">
        <v>0</v>
      </c>
      <c r="L24" s="133">
        <v>0</v>
      </c>
      <c r="M24" s="102"/>
      <c r="N24" s="11"/>
      <c r="O24" s="11"/>
      <c r="P24" s="11"/>
      <c r="Q24" s="11"/>
      <c r="R24" s="11"/>
      <c r="S24" s="11"/>
      <c r="T24" s="11"/>
    </row>
    <row r="25" spans="1:20" ht="38.25" x14ac:dyDescent="0.2">
      <c r="A25" s="213" t="s">
        <v>206</v>
      </c>
      <c r="B25" s="132">
        <v>0</v>
      </c>
      <c r="C25" s="133">
        <v>0</v>
      </c>
      <c r="D25" s="133">
        <v>0</v>
      </c>
      <c r="E25" s="133">
        <v>4</v>
      </c>
      <c r="F25" s="133">
        <v>1</v>
      </c>
      <c r="G25" s="133">
        <v>0</v>
      </c>
      <c r="H25" s="133">
        <v>0</v>
      </c>
      <c r="I25" s="133">
        <v>0</v>
      </c>
      <c r="J25" s="133">
        <v>0</v>
      </c>
      <c r="K25" s="133">
        <v>0</v>
      </c>
      <c r="L25" s="133">
        <v>0</v>
      </c>
      <c r="M25" s="102"/>
      <c r="N25" s="11"/>
      <c r="O25" s="11"/>
      <c r="P25" s="11"/>
      <c r="Q25" s="11"/>
      <c r="R25" s="11"/>
      <c r="S25" s="11"/>
      <c r="T25" s="11"/>
    </row>
    <row r="26" spans="1:20" ht="38.25" x14ac:dyDescent="0.2">
      <c r="A26" s="213" t="s">
        <v>207</v>
      </c>
      <c r="B26" s="132">
        <v>0</v>
      </c>
      <c r="C26" s="133">
        <v>0</v>
      </c>
      <c r="D26" s="133">
        <v>0</v>
      </c>
      <c r="E26" s="133">
        <v>19</v>
      </c>
      <c r="F26" s="133">
        <v>3</v>
      </c>
      <c r="G26" s="133">
        <v>0</v>
      </c>
      <c r="H26" s="133">
        <v>0</v>
      </c>
      <c r="I26" s="133">
        <v>0</v>
      </c>
      <c r="J26" s="133">
        <v>0</v>
      </c>
      <c r="K26" s="133">
        <v>0</v>
      </c>
      <c r="L26" s="133">
        <v>0</v>
      </c>
      <c r="M26" s="102"/>
      <c r="N26" s="11"/>
      <c r="O26" s="11"/>
      <c r="P26" s="11"/>
      <c r="Q26" s="11"/>
      <c r="R26" s="11"/>
      <c r="S26" s="11"/>
      <c r="T26" s="11"/>
    </row>
    <row r="27" spans="1:20" ht="38.25" x14ac:dyDescent="0.2">
      <c r="A27" s="213" t="s">
        <v>208</v>
      </c>
      <c r="B27" s="132">
        <v>0</v>
      </c>
      <c r="C27" s="133">
        <v>0</v>
      </c>
      <c r="D27" s="133">
        <v>0</v>
      </c>
      <c r="E27" s="133">
        <v>21</v>
      </c>
      <c r="F27" s="133">
        <v>3</v>
      </c>
      <c r="G27" s="133">
        <v>0</v>
      </c>
      <c r="H27" s="133">
        <v>0</v>
      </c>
      <c r="I27" s="133">
        <v>0</v>
      </c>
      <c r="J27" s="133">
        <v>0</v>
      </c>
      <c r="K27" s="133">
        <v>0</v>
      </c>
      <c r="L27" s="133">
        <v>0</v>
      </c>
      <c r="M27" s="102"/>
      <c r="N27" s="11"/>
      <c r="O27" s="11"/>
      <c r="P27" s="11"/>
      <c r="Q27" s="11"/>
      <c r="R27" s="11"/>
      <c r="S27" s="11"/>
      <c r="T27" s="11"/>
    </row>
    <row r="28" spans="1:20" ht="38.25" x14ac:dyDescent="0.2">
      <c r="A28" s="213" t="s">
        <v>209</v>
      </c>
      <c r="B28" s="132">
        <v>0</v>
      </c>
      <c r="C28" s="133">
        <v>0</v>
      </c>
      <c r="D28" s="133">
        <v>0</v>
      </c>
      <c r="E28" s="133">
        <v>17</v>
      </c>
      <c r="F28" s="133">
        <v>3</v>
      </c>
      <c r="G28" s="133">
        <v>0</v>
      </c>
      <c r="H28" s="133">
        <v>0</v>
      </c>
      <c r="I28" s="133">
        <v>0</v>
      </c>
      <c r="J28" s="133">
        <v>0</v>
      </c>
      <c r="K28" s="133">
        <v>0</v>
      </c>
      <c r="L28" s="133">
        <v>0</v>
      </c>
      <c r="M28" s="102"/>
      <c r="N28" s="11"/>
      <c r="O28" s="11"/>
      <c r="P28" s="11"/>
      <c r="Q28" s="11"/>
      <c r="R28" s="11"/>
      <c r="S28" s="11"/>
      <c r="T28" s="11"/>
    </row>
    <row r="29" spans="1:20" ht="38.25" x14ac:dyDescent="0.2">
      <c r="A29" s="213" t="s">
        <v>210</v>
      </c>
      <c r="B29" s="132">
        <v>0</v>
      </c>
      <c r="C29" s="133">
        <v>0</v>
      </c>
      <c r="D29" s="133">
        <v>0</v>
      </c>
      <c r="E29" s="133">
        <v>5</v>
      </c>
      <c r="F29" s="133">
        <v>1</v>
      </c>
      <c r="G29" s="133">
        <v>0</v>
      </c>
      <c r="H29" s="133">
        <v>0</v>
      </c>
      <c r="I29" s="133">
        <v>0</v>
      </c>
      <c r="J29" s="133">
        <v>0</v>
      </c>
      <c r="K29" s="133">
        <v>0</v>
      </c>
      <c r="L29" s="133">
        <v>0</v>
      </c>
      <c r="M29" s="102"/>
      <c r="N29" s="11"/>
      <c r="O29" s="11"/>
      <c r="P29" s="11"/>
      <c r="Q29" s="11"/>
      <c r="R29" s="11"/>
      <c r="S29" s="11"/>
      <c r="T29" s="11"/>
    </row>
    <row r="30" spans="1:20" ht="38.25" x14ac:dyDescent="0.2">
      <c r="A30" s="213" t="s">
        <v>211</v>
      </c>
      <c r="B30" s="132">
        <v>0</v>
      </c>
      <c r="C30" s="133">
        <v>0</v>
      </c>
      <c r="D30" s="133">
        <v>0</v>
      </c>
      <c r="E30" s="133">
        <v>4</v>
      </c>
      <c r="F30" s="133">
        <v>1</v>
      </c>
      <c r="G30" s="133">
        <v>0</v>
      </c>
      <c r="H30" s="133">
        <v>0</v>
      </c>
      <c r="I30" s="133">
        <v>0</v>
      </c>
      <c r="J30" s="133">
        <v>0</v>
      </c>
      <c r="K30" s="133">
        <v>0</v>
      </c>
      <c r="L30" s="133">
        <v>0</v>
      </c>
      <c r="M30" s="102"/>
      <c r="N30" s="11"/>
      <c r="O30" s="11"/>
      <c r="P30" s="11"/>
      <c r="Q30" s="11"/>
      <c r="R30" s="11"/>
      <c r="S30" s="11"/>
      <c r="T30" s="11"/>
    </row>
    <row r="31" spans="1:20" ht="38.25" x14ac:dyDescent="0.2">
      <c r="A31" s="213" t="s">
        <v>212</v>
      </c>
      <c r="B31" s="132">
        <v>0</v>
      </c>
      <c r="C31" s="133">
        <v>0</v>
      </c>
      <c r="D31" s="133">
        <v>0</v>
      </c>
      <c r="E31" s="133">
        <v>2</v>
      </c>
      <c r="F31" s="133">
        <v>0</v>
      </c>
      <c r="G31" s="133">
        <v>0</v>
      </c>
      <c r="H31" s="133">
        <v>0</v>
      </c>
      <c r="I31" s="133">
        <v>0</v>
      </c>
      <c r="J31" s="133">
        <v>0</v>
      </c>
      <c r="K31" s="133">
        <v>0</v>
      </c>
      <c r="L31" s="133">
        <v>0</v>
      </c>
      <c r="M31" s="102"/>
      <c r="N31" s="11"/>
      <c r="O31" s="11"/>
      <c r="P31" s="11"/>
      <c r="Q31" s="11"/>
      <c r="R31" s="11"/>
      <c r="S31" s="11"/>
      <c r="T31" s="11"/>
    </row>
    <row r="32" spans="1:20" ht="38.25" x14ac:dyDescent="0.2">
      <c r="A32" s="213" t="s">
        <v>213</v>
      </c>
      <c r="B32" s="132">
        <v>0</v>
      </c>
      <c r="C32" s="133">
        <v>0</v>
      </c>
      <c r="D32" s="133">
        <v>0</v>
      </c>
      <c r="E32" s="133">
        <v>18</v>
      </c>
      <c r="F32" s="133">
        <v>3</v>
      </c>
      <c r="G32" s="133">
        <v>0</v>
      </c>
      <c r="H32" s="133">
        <v>0</v>
      </c>
      <c r="I32" s="133">
        <v>0</v>
      </c>
      <c r="J32" s="133">
        <v>0</v>
      </c>
      <c r="K32" s="133">
        <v>0</v>
      </c>
      <c r="L32" s="133">
        <v>0</v>
      </c>
      <c r="M32" s="102"/>
      <c r="N32" s="11"/>
      <c r="O32" s="11"/>
      <c r="P32" s="11"/>
      <c r="Q32" s="11"/>
      <c r="R32" s="11"/>
      <c r="S32" s="11"/>
      <c r="T32" s="11"/>
    </row>
    <row r="33" spans="1:20" ht="38.25" x14ac:dyDescent="0.2">
      <c r="A33" s="213" t="s">
        <v>214</v>
      </c>
      <c r="B33" s="132">
        <v>0</v>
      </c>
      <c r="C33" s="133">
        <v>0</v>
      </c>
      <c r="D33" s="133">
        <v>0</v>
      </c>
      <c r="E33" s="133">
        <v>21</v>
      </c>
      <c r="F33" s="133">
        <v>3</v>
      </c>
      <c r="G33" s="133">
        <v>0</v>
      </c>
      <c r="H33" s="133">
        <v>0</v>
      </c>
      <c r="I33" s="133">
        <v>0</v>
      </c>
      <c r="J33" s="133">
        <v>0</v>
      </c>
      <c r="K33" s="133">
        <v>0</v>
      </c>
      <c r="L33" s="133">
        <v>0</v>
      </c>
      <c r="M33" s="102"/>
      <c r="N33" s="11"/>
      <c r="O33" s="11"/>
      <c r="P33" s="11"/>
      <c r="Q33" s="11"/>
      <c r="R33" s="11"/>
      <c r="S33" s="11"/>
      <c r="T33" s="11"/>
    </row>
    <row r="34" spans="1:20" ht="20.100000000000001" customHeight="1" thickBot="1" x14ac:dyDescent="0.25">
      <c r="A34" s="195" t="s">
        <v>84</v>
      </c>
      <c r="B34" s="210">
        <f>SUM(B17:B33)</f>
        <v>16</v>
      </c>
      <c r="C34" s="210">
        <f t="shared" ref="C34" si="1">SUM(C17:C33)</f>
        <v>50</v>
      </c>
      <c r="D34" s="210">
        <f t="shared" ref="D34" si="2">SUM(D17:D33)</f>
        <v>237</v>
      </c>
      <c r="E34" s="210">
        <f>SUM(E17:E33)</f>
        <v>593.5</v>
      </c>
      <c r="F34" s="210">
        <f t="shared" ref="F34:K34" si="3">SUM(F17:F33)</f>
        <v>521.5</v>
      </c>
      <c r="G34" s="210">
        <f t="shared" si="3"/>
        <v>0</v>
      </c>
      <c r="H34" s="210">
        <f t="shared" si="3"/>
        <v>175</v>
      </c>
      <c r="I34" s="210">
        <f t="shared" si="3"/>
        <v>306</v>
      </c>
      <c r="J34" s="210">
        <f t="shared" si="3"/>
        <v>0</v>
      </c>
      <c r="K34" s="210">
        <f t="shared" si="3"/>
        <v>0</v>
      </c>
      <c r="L34" s="210">
        <f t="shared" ref="L34" si="4">SUM(L17:L33)</f>
        <v>0</v>
      </c>
      <c r="M34" s="102"/>
      <c r="N34" s="11"/>
      <c r="O34" s="11"/>
      <c r="P34" s="11"/>
      <c r="Q34" s="11"/>
      <c r="R34" s="11"/>
      <c r="S34" s="11"/>
      <c r="T34" s="11"/>
    </row>
    <row r="35" spans="1:20" ht="20.100000000000001" customHeight="1" x14ac:dyDescent="0.2">
      <c r="A35" s="141" t="s">
        <v>68</v>
      </c>
      <c r="B35" s="216"/>
      <c r="C35" s="217"/>
      <c r="D35" s="217"/>
      <c r="E35" s="217"/>
      <c r="F35" s="217"/>
      <c r="G35" s="217"/>
      <c r="H35" s="217"/>
      <c r="I35" s="217"/>
      <c r="J35" s="217"/>
      <c r="K35" s="217"/>
      <c r="L35" s="217"/>
      <c r="M35" s="102"/>
      <c r="N35" s="11"/>
      <c r="O35" s="11"/>
      <c r="P35" s="11"/>
      <c r="Q35" s="11"/>
      <c r="R35" s="11"/>
      <c r="S35" s="11"/>
      <c r="T35" s="11"/>
    </row>
    <row r="36" spans="1:20" ht="24.95" customHeight="1" x14ac:dyDescent="0.2">
      <c r="A36" s="142" t="s">
        <v>216</v>
      </c>
      <c r="B36" s="132">
        <v>159</v>
      </c>
      <c r="C36" s="133">
        <v>0</v>
      </c>
      <c r="D36" s="133">
        <v>0</v>
      </c>
      <c r="E36" s="133">
        <v>0</v>
      </c>
      <c r="F36" s="133">
        <v>0</v>
      </c>
      <c r="G36" s="133">
        <v>0</v>
      </c>
      <c r="H36" s="133">
        <v>0</v>
      </c>
      <c r="I36" s="133">
        <v>0</v>
      </c>
      <c r="J36" s="133">
        <v>0</v>
      </c>
      <c r="K36" s="133">
        <v>0</v>
      </c>
      <c r="L36" s="133">
        <v>0</v>
      </c>
      <c r="M36" s="102"/>
      <c r="N36" s="11"/>
      <c r="O36" s="11"/>
      <c r="P36" s="11"/>
      <c r="Q36" s="11"/>
      <c r="R36" s="11"/>
      <c r="S36" s="11"/>
      <c r="T36" s="11"/>
    </row>
    <row r="37" spans="1:20" ht="24.95" customHeight="1" x14ac:dyDescent="0.2">
      <c r="A37" s="142" t="s">
        <v>217</v>
      </c>
      <c r="B37" s="132">
        <v>0</v>
      </c>
      <c r="C37" s="133">
        <v>0</v>
      </c>
      <c r="D37" s="133">
        <v>0</v>
      </c>
      <c r="E37" s="133">
        <v>0</v>
      </c>
      <c r="F37" s="133">
        <v>0</v>
      </c>
      <c r="G37" s="133">
        <v>37</v>
      </c>
      <c r="H37" s="133">
        <v>0</v>
      </c>
      <c r="I37" s="133">
        <v>0</v>
      </c>
      <c r="J37" s="133">
        <v>0</v>
      </c>
      <c r="K37" s="133">
        <v>0</v>
      </c>
      <c r="L37" s="133">
        <v>0</v>
      </c>
      <c r="M37" s="102"/>
      <c r="N37" s="11"/>
      <c r="O37" s="11"/>
      <c r="P37" s="11"/>
      <c r="Q37" s="11"/>
      <c r="R37" s="11"/>
      <c r="S37" s="11"/>
      <c r="T37" s="11"/>
    </row>
    <row r="38" spans="1:20" ht="24.95" customHeight="1" x14ac:dyDescent="0.2">
      <c r="A38" s="142" t="s">
        <v>218</v>
      </c>
      <c r="B38" s="132">
        <v>0</v>
      </c>
      <c r="C38" s="133">
        <v>0</v>
      </c>
      <c r="D38" s="134">
        <v>0</v>
      </c>
      <c r="E38" s="134">
        <v>0</v>
      </c>
      <c r="F38" s="134">
        <v>0</v>
      </c>
      <c r="G38" s="134">
        <v>35</v>
      </c>
      <c r="H38" s="134">
        <v>0</v>
      </c>
      <c r="I38" s="133">
        <v>0</v>
      </c>
      <c r="J38" s="133">
        <v>0</v>
      </c>
      <c r="K38" s="133">
        <v>0</v>
      </c>
      <c r="L38" s="133">
        <v>0</v>
      </c>
      <c r="M38" s="102"/>
      <c r="N38" s="11"/>
      <c r="O38" s="11"/>
      <c r="P38" s="11"/>
      <c r="Q38" s="11"/>
      <c r="R38" s="11"/>
      <c r="S38" s="11"/>
      <c r="T38" s="11"/>
    </row>
    <row r="39" spans="1:20" ht="24.95" customHeight="1" x14ac:dyDescent="0.2">
      <c r="A39" s="142" t="s">
        <v>219</v>
      </c>
      <c r="B39" s="132">
        <v>0</v>
      </c>
      <c r="C39" s="133">
        <v>0</v>
      </c>
      <c r="D39" s="134">
        <v>0</v>
      </c>
      <c r="E39" s="134">
        <v>0</v>
      </c>
      <c r="F39" s="134">
        <v>0</v>
      </c>
      <c r="G39" s="134">
        <v>0</v>
      </c>
      <c r="H39" s="134">
        <v>0</v>
      </c>
      <c r="I39" s="133">
        <v>0</v>
      </c>
      <c r="J39" s="133">
        <v>155</v>
      </c>
      <c r="K39" s="133">
        <v>0</v>
      </c>
      <c r="L39" s="133">
        <v>0</v>
      </c>
      <c r="M39" s="102"/>
      <c r="N39" s="11"/>
      <c r="O39" s="11"/>
      <c r="P39" s="11"/>
      <c r="Q39" s="11"/>
      <c r="R39" s="11"/>
      <c r="S39" s="11"/>
      <c r="T39" s="11"/>
    </row>
    <row r="40" spans="1:20" ht="25.5" x14ac:dyDescent="0.2">
      <c r="A40" s="142" t="s">
        <v>220</v>
      </c>
      <c r="B40" s="132">
        <v>733</v>
      </c>
      <c r="C40" s="133">
        <v>0</v>
      </c>
      <c r="D40" s="134">
        <v>0</v>
      </c>
      <c r="E40" s="134">
        <v>0</v>
      </c>
      <c r="F40" s="134">
        <v>0</v>
      </c>
      <c r="G40" s="134">
        <v>0</v>
      </c>
      <c r="H40" s="134">
        <v>0</v>
      </c>
      <c r="I40" s="133">
        <v>0</v>
      </c>
      <c r="J40" s="133">
        <v>0</v>
      </c>
      <c r="K40" s="133">
        <v>0</v>
      </c>
      <c r="L40" s="133">
        <v>0</v>
      </c>
      <c r="M40" s="102"/>
      <c r="N40" s="11"/>
      <c r="O40" s="11"/>
      <c r="P40" s="11"/>
      <c r="Q40" s="11"/>
      <c r="R40" s="11"/>
      <c r="S40" s="11"/>
      <c r="T40" s="11"/>
    </row>
    <row r="41" spans="1:20" ht="25.5" x14ac:dyDescent="0.2">
      <c r="A41" s="142" t="s">
        <v>221</v>
      </c>
      <c r="B41" s="132">
        <v>0</v>
      </c>
      <c r="C41" s="133">
        <v>0</v>
      </c>
      <c r="D41" s="134">
        <v>0</v>
      </c>
      <c r="E41" s="134">
        <v>0</v>
      </c>
      <c r="F41" s="134">
        <v>0</v>
      </c>
      <c r="G41" s="134">
        <v>0</v>
      </c>
      <c r="H41" s="134">
        <v>0</v>
      </c>
      <c r="I41" s="133">
        <v>65.7</v>
      </c>
      <c r="J41" s="133">
        <v>0</v>
      </c>
      <c r="K41" s="133">
        <v>0</v>
      </c>
      <c r="L41" s="133">
        <v>0</v>
      </c>
      <c r="M41" s="102"/>
      <c r="N41" s="11"/>
      <c r="O41" s="11"/>
      <c r="P41" s="11"/>
      <c r="Q41" s="11"/>
      <c r="R41" s="11"/>
      <c r="S41" s="11"/>
      <c r="T41" s="11"/>
    </row>
    <row r="42" spans="1:20" ht="25.5" x14ac:dyDescent="0.2">
      <c r="A42" s="142" t="s">
        <v>222</v>
      </c>
      <c r="B42" s="132">
        <v>0</v>
      </c>
      <c r="C42" s="133">
        <v>0</v>
      </c>
      <c r="D42" s="134">
        <v>0</v>
      </c>
      <c r="E42" s="134">
        <v>41</v>
      </c>
      <c r="F42" s="134">
        <v>21</v>
      </c>
      <c r="G42" s="134">
        <v>0</v>
      </c>
      <c r="H42" s="134">
        <v>0</v>
      </c>
      <c r="I42" s="133">
        <v>0</v>
      </c>
      <c r="J42" s="133">
        <v>0</v>
      </c>
      <c r="K42" s="133">
        <v>0</v>
      </c>
      <c r="L42" s="133">
        <v>0</v>
      </c>
      <c r="M42" s="102"/>
      <c r="N42" s="11"/>
      <c r="O42" s="11"/>
      <c r="P42" s="11"/>
      <c r="Q42" s="11"/>
      <c r="R42" s="11"/>
      <c r="S42" s="11"/>
      <c r="T42" s="11"/>
    </row>
    <row r="43" spans="1:20" ht="25.5" x14ac:dyDescent="0.2">
      <c r="A43" s="142" t="s">
        <v>223</v>
      </c>
      <c r="B43" s="132">
        <v>665</v>
      </c>
      <c r="C43" s="133">
        <v>40</v>
      </c>
      <c r="D43" s="134">
        <v>0</v>
      </c>
      <c r="E43" s="134">
        <v>0</v>
      </c>
      <c r="F43" s="134">
        <v>0</v>
      </c>
      <c r="G43" s="134">
        <v>0</v>
      </c>
      <c r="H43" s="134">
        <v>0</v>
      </c>
      <c r="I43" s="133">
        <v>0</v>
      </c>
      <c r="J43" s="133">
        <v>0</v>
      </c>
      <c r="K43" s="133">
        <v>0</v>
      </c>
      <c r="L43" s="133">
        <v>0</v>
      </c>
      <c r="M43" s="102"/>
      <c r="N43" s="11"/>
      <c r="O43" s="11"/>
      <c r="P43" s="11"/>
      <c r="Q43" s="11"/>
      <c r="R43" s="11"/>
      <c r="S43" s="11"/>
      <c r="T43" s="11"/>
    </row>
    <row r="44" spans="1:20" ht="25.5" x14ac:dyDescent="0.2">
      <c r="A44" s="225" t="s">
        <v>215</v>
      </c>
      <c r="B44" s="226">
        <v>0</v>
      </c>
      <c r="C44" s="228">
        <v>0</v>
      </c>
      <c r="D44" s="227">
        <v>0</v>
      </c>
      <c r="E44" s="227">
        <v>0</v>
      </c>
      <c r="F44" s="227">
        <v>0</v>
      </c>
      <c r="G44" s="227">
        <v>0</v>
      </c>
      <c r="H44" s="227">
        <v>0</v>
      </c>
      <c r="I44" s="228">
        <v>0</v>
      </c>
      <c r="J44" s="228">
        <v>0</v>
      </c>
      <c r="K44" s="228">
        <v>1097</v>
      </c>
      <c r="L44" s="228">
        <v>0</v>
      </c>
      <c r="M44" s="102"/>
      <c r="N44" s="11"/>
      <c r="O44" s="11"/>
      <c r="P44" s="11"/>
      <c r="Q44" s="11"/>
      <c r="R44" s="11"/>
      <c r="S44" s="11"/>
      <c r="T44" s="11"/>
    </row>
    <row r="45" spans="1:20" ht="25.5" x14ac:dyDescent="0.2">
      <c r="A45" s="142" t="s">
        <v>224</v>
      </c>
      <c r="B45" s="132">
        <v>0</v>
      </c>
      <c r="C45" s="133">
        <v>0</v>
      </c>
      <c r="D45" s="134">
        <v>0</v>
      </c>
      <c r="E45" s="134">
        <v>0</v>
      </c>
      <c r="F45" s="134">
        <v>0</v>
      </c>
      <c r="G45" s="134">
        <v>0</v>
      </c>
      <c r="H45" s="134">
        <v>0</v>
      </c>
      <c r="I45" s="133">
        <v>0</v>
      </c>
      <c r="J45" s="133">
        <v>0</v>
      </c>
      <c r="K45" s="133">
        <v>279</v>
      </c>
      <c r="L45" s="133">
        <v>0</v>
      </c>
      <c r="M45" s="102"/>
      <c r="N45" s="11"/>
      <c r="O45" s="11"/>
      <c r="P45" s="11"/>
      <c r="Q45" s="11"/>
      <c r="R45" s="11"/>
      <c r="S45" s="11"/>
      <c r="T45" s="11"/>
    </row>
    <row r="46" spans="1:20" ht="25.5" x14ac:dyDescent="0.2">
      <c r="A46" s="225" t="s">
        <v>225</v>
      </c>
      <c r="B46" s="132">
        <v>0</v>
      </c>
      <c r="C46" s="133">
        <v>0</v>
      </c>
      <c r="D46" s="134">
        <v>0</v>
      </c>
      <c r="E46" s="134">
        <v>1029</v>
      </c>
      <c r="F46" s="134">
        <v>0</v>
      </c>
      <c r="G46" s="134">
        <v>0</v>
      </c>
      <c r="H46" s="134">
        <v>0</v>
      </c>
      <c r="I46" s="133">
        <v>0</v>
      </c>
      <c r="J46" s="133">
        <v>0</v>
      </c>
      <c r="K46" s="133">
        <v>0</v>
      </c>
      <c r="L46" s="133">
        <v>0</v>
      </c>
      <c r="M46" s="102"/>
      <c r="N46" s="11"/>
      <c r="O46" s="11"/>
      <c r="P46" s="11"/>
      <c r="Q46" s="11"/>
      <c r="R46" s="11"/>
      <c r="S46" s="11"/>
      <c r="T46" s="11"/>
    </row>
    <row r="47" spans="1:20" ht="25.5" x14ac:dyDescent="0.2">
      <c r="A47" s="225" t="s">
        <v>226</v>
      </c>
      <c r="B47" s="132">
        <v>0</v>
      </c>
      <c r="C47" s="133">
        <v>0</v>
      </c>
      <c r="D47" s="134">
        <v>0</v>
      </c>
      <c r="E47" s="134">
        <v>0</v>
      </c>
      <c r="F47" s="134">
        <v>618</v>
      </c>
      <c r="G47" s="134">
        <v>0</v>
      </c>
      <c r="H47" s="134">
        <v>0</v>
      </c>
      <c r="I47" s="133">
        <v>0</v>
      </c>
      <c r="J47" s="133">
        <v>0</v>
      </c>
      <c r="K47" s="133">
        <v>0</v>
      </c>
      <c r="L47" s="133">
        <v>0</v>
      </c>
      <c r="M47" s="102"/>
      <c r="N47" s="11"/>
      <c r="O47" s="11"/>
      <c r="P47" s="11"/>
      <c r="Q47" s="11"/>
      <c r="R47" s="11"/>
      <c r="S47" s="11"/>
      <c r="T47" s="11"/>
    </row>
    <row r="48" spans="1:20" ht="20.100000000000001" customHeight="1" thickBot="1" x14ac:dyDescent="0.25">
      <c r="A48" s="195" t="s">
        <v>72</v>
      </c>
      <c r="B48" s="196">
        <f>SUM(B36:B47)</f>
        <v>1557</v>
      </c>
      <c r="C48" s="196">
        <f>SUM(C36:C47)</f>
        <v>40</v>
      </c>
      <c r="D48" s="196">
        <f t="shared" ref="D48:J48" si="5">SUM(D36:D45)</f>
        <v>0</v>
      </c>
      <c r="E48" s="196">
        <f>SUM(E36:E47)</f>
        <v>1070</v>
      </c>
      <c r="F48" s="196">
        <f>SUM(F36:F47)</f>
        <v>639</v>
      </c>
      <c r="G48" s="196">
        <f>SUM(G36:G47)</f>
        <v>72</v>
      </c>
      <c r="H48" s="196">
        <f t="shared" si="5"/>
        <v>0</v>
      </c>
      <c r="I48" s="196">
        <f>SUM(I36:I47)</f>
        <v>65.7</v>
      </c>
      <c r="J48" s="196">
        <f t="shared" si="5"/>
        <v>155</v>
      </c>
      <c r="K48" s="196">
        <f>SUM(K36:K47)</f>
        <v>1376</v>
      </c>
      <c r="L48" s="196">
        <f>SUM(L36:L47)</f>
        <v>0</v>
      </c>
      <c r="M48" s="102"/>
      <c r="N48" s="11"/>
      <c r="O48" s="11"/>
      <c r="P48" s="11"/>
      <c r="Q48" s="11"/>
      <c r="R48" s="11"/>
      <c r="S48" s="11"/>
      <c r="T48" s="11"/>
    </row>
    <row r="49" spans="1:58" x14ac:dyDescent="0.2">
      <c r="A49" s="214"/>
      <c r="B49" s="207"/>
      <c r="C49" s="215"/>
      <c r="D49" s="215"/>
      <c r="E49" s="215"/>
      <c r="F49" s="215"/>
      <c r="G49" s="215"/>
      <c r="H49" s="215"/>
      <c r="I49" s="215"/>
      <c r="J49" s="215"/>
      <c r="K49" s="215"/>
      <c r="L49" s="215"/>
      <c r="M49" s="102"/>
      <c r="N49" s="11"/>
      <c r="O49" s="11"/>
      <c r="P49" s="11"/>
      <c r="Q49" s="11"/>
      <c r="R49" s="11"/>
      <c r="S49" s="11"/>
      <c r="T49" s="11"/>
    </row>
    <row r="50" spans="1:58" ht="20.100000000000001" customHeight="1" thickBot="1" x14ac:dyDescent="0.25">
      <c r="A50" s="195" t="s">
        <v>73</v>
      </c>
      <c r="B50" s="196">
        <f>B15+B34+B48</f>
        <v>2295</v>
      </c>
      <c r="C50" s="197">
        <f t="shared" ref="C50:K50" si="6">C15+C34+C48</f>
        <v>988</v>
      </c>
      <c r="D50" s="197">
        <f>D15+D34+D48</f>
        <v>1722</v>
      </c>
      <c r="E50" s="197">
        <f t="shared" si="6"/>
        <v>1732.4</v>
      </c>
      <c r="F50" s="197">
        <f t="shared" si="6"/>
        <v>1266</v>
      </c>
      <c r="G50" s="197">
        <f t="shared" si="6"/>
        <v>72</v>
      </c>
      <c r="H50" s="197">
        <f t="shared" si="6"/>
        <v>175</v>
      </c>
      <c r="I50" s="197">
        <f>I15+I34+I48</f>
        <v>371.7</v>
      </c>
      <c r="J50" s="197">
        <f t="shared" si="6"/>
        <v>155</v>
      </c>
      <c r="K50" s="197">
        <f t="shared" si="6"/>
        <v>1376</v>
      </c>
      <c r="L50" s="197">
        <f t="shared" ref="L50" si="7">L15+L34+L48</f>
        <v>2059</v>
      </c>
      <c r="M50" s="21"/>
      <c r="N50" s="11"/>
      <c r="O50" s="11"/>
      <c r="P50" s="11"/>
      <c r="Q50" s="11"/>
      <c r="R50" s="11"/>
      <c r="S50" s="11"/>
      <c r="T50" s="11"/>
    </row>
    <row r="51" spans="1:58" ht="19.5" customHeight="1" x14ac:dyDescent="0.2">
      <c r="A51" s="204" t="s">
        <v>89</v>
      </c>
      <c r="B51" s="136"/>
      <c r="C51" s="136"/>
      <c r="D51" s="136"/>
      <c r="E51" s="136"/>
      <c r="F51" s="136"/>
      <c r="G51" s="136"/>
      <c r="H51" s="136"/>
      <c r="I51" s="136"/>
      <c r="J51" s="136"/>
      <c r="K51" s="136"/>
      <c r="L51" s="136"/>
      <c r="M51" s="103"/>
      <c r="N51" s="18"/>
      <c r="O51" s="11"/>
      <c r="P51" s="11"/>
      <c r="Q51" s="11"/>
      <c r="R51" s="11"/>
      <c r="S51" s="11"/>
      <c r="T51" s="11"/>
      <c r="U51" s="11"/>
      <c r="V51" s="11"/>
      <c r="W51" s="11"/>
      <c r="X51" s="11"/>
      <c r="Y51" s="11"/>
    </row>
    <row r="52" spans="1:58" x14ac:dyDescent="0.2">
      <c r="A52" s="11"/>
      <c r="B52" s="104"/>
      <c r="C52" s="104"/>
      <c r="D52" s="23"/>
      <c r="E52" s="103"/>
      <c r="F52" s="103"/>
      <c r="G52" s="103"/>
      <c r="H52" s="103"/>
      <c r="I52" s="103"/>
      <c r="J52" s="18"/>
      <c r="K52" s="103"/>
      <c r="L52" s="103"/>
      <c r="M52" s="103"/>
      <c r="N52" s="18"/>
      <c r="O52" s="11"/>
      <c r="P52" s="11"/>
      <c r="Q52" s="11"/>
      <c r="R52" s="11"/>
      <c r="S52" s="11"/>
      <c r="T52" s="11"/>
      <c r="U52" s="11"/>
      <c r="V52" s="11"/>
      <c r="W52" s="11"/>
      <c r="X52" s="11"/>
      <c r="Y52" s="11"/>
    </row>
    <row r="53" spans="1:58" x14ac:dyDescent="0.2">
      <c r="A53" s="101"/>
      <c r="B53" s="104"/>
      <c r="C53" s="104"/>
      <c r="D53" s="23"/>
      <c r="E53" s="103"/>
      <c r="F53" s="103"/>
      <c r="G53" s="103"/>
      <c r="H53" s="103"/>
      <c r="I53" s="103"/>
      <c r="J53" s="18"/>
      <c r="K53" s="103"/>
      <c r="L53" s="103"/>
      <c r="M53" s="103"/>
      <c r="N53" s="18"/>
      <c r="O53" s="11"/>
      <c r="P53" s="11"/>
      <c r="Q53" s="11"/>
      <c r="R53" s="11"/>
      <c r="S53" s="11"/>
      <c r="T53" s="11"/>
      <c r="U53" s="11"/>
      <c r="V53" s="11"/>
      <c r="W53" s="11"/>
      <c r="X53" s="11"/>
      <c r="Y53" s="11"/>
    </row>
    <row r="54" spans="1:58" ht="14.25" x14ac:dyDescent="0.2">
      <c r="A54" s="203"/>
      <c r="B54" s="203"/>
      <c r="C54" s="203"/>
      <c r="D54" s="203"/>
      <c r="E54" s="203"/>
      <c r="F54" s="203"/>
      <c r="G54" s="203"/>
      <c r="H54" s="11"/>
      <c r="I54" s="259"/>
      <c r="J54" s="259"/>
      <c r="K54" s="259"/>
      <c r="L54" s="143"/>
      <c r="M54" s="103"/>
      <c r="N54" s="18"/>
      <c r="O54" s="11"/>
      <c r="P54" s="11"/>
      <c r="Q54" s="11"/>
      <c r="R54" s="11"/>
      <c r="S54" s="11"/>
      <c r="T54" s="11"/>
      <c r="U54" s="11"/>
      <c r="V54" s="11"/>
      <c r="W54" s="11"/>
      <c r="X54" s="11"/>
      <c r="Y54" s="11"/>
    </row>
    <row r="55" spans="1:58" ht="13.5" thickBot="1" x14ac:dyDescent="0.25">
      <c r="A55" s="376" t="s">
        <v>171</v>
      </c>
      <c r="B55" s="203"/>
      <c r="C55" s="203"/>
      <c r="D55" s="203"/>
      <c r="E55" s="203"/>
      <c r="F55" s="203"/>
      <c r="G55" s="203"/>
      <c r="H55" s="11"/>
      <c r="I55" s="259"/>
      <c r="J55" s="259"/>
      <c r="K55" s="259"/>
      <c r="L55" s="160"/>
      <c r="M55" s="160"/>
      <c r="N55" s="160"/>
      <c r="O55" s="160"/>
      <c r="P55" s="11"/>
      <c r="Q55" s="11"/>
      <c r="R55" s="11"/>
      <c r="S55" s="11"/>
      <c r="T55" s="11"/>
      <c r="U55" s="11"/>
      <c r="V55" s="11"/>
      <c r="W55" s="11"/>
      <c r="X55" s="11"/>
    </row>
    <row r="56" spans="1:58" ht="13.5" thickBot="1" x14ac:dyDescent="0.25">
      <c r="A56" s="376"/>
      <c r="B56" s="260" t="s">
        <v>26</v>
      </c>
      <c r="C56" s="260" t="s">
        <v>31</v>
      </c>
      <c r="D56" s="260" t="s">
        <v>4</v>
      </c>
      <c r="E56" s="260" t="s">
        <v>7</v>
      </c>
      <c r="F56" s="260" t="s">
        <v>32</v>
      </c>
      <c r="G56" s="260" t="s">
        <v>33</v>
      </c>
      <c r="H56" s="260" t="s">
        <v>14</v>
      </c>
      <c r="I56" s="260" t="s">
        <v>10</v>
      </c>
      <c r="J56" s="260" t="s">
        <v>48</v>
      </c>
      <c r="K56" s="260" t="s">
        <v>19</v>
      </c>
      <c r="L56" s="260" t="s">
        <v>28</v>
      </c>
      <c r="M56" s="230"/>
      <c r="N56" s="231"/>
      <c r="O56" s="174"/>
      <c r="P56" s="173"/>
      <c r="Q56" s="174"/>
      <c r="R56" s="173"/>
      <c r="S56" s="172"/>
      <c r="T56" s="173"/>
      <c r="U56" s="172"/>
      <c r="V56" s="173"/>
      <c r="W56" s="172"/>
      <c r="X56" s="172"/>
      <c r="Y56" s="173"/>
      <c r="Z56" s="174"/>
      <c r="AA56" s="173"/>
      <c r="AB56" s="174"/>
      <c r="AC56" s="173"/>
      <c r="AD56" s="174"/>
      <c r="AE56" s="173"/>
      <c r="AF56" s="172"/>
      <c r="AG56" s="173"/>
      <c r="AH56" s="174"/>
      <c r="AI56" s="173"/>
      <c r="AJ56" s="175"/>
      <c r="AK56" s="173"/>
      <c r="AL56" s="174"/>
      <c r="AM56" s="173"/>
      <c r="AN56" s="174"/>
      <c r="AO56" s="173"/>
      <c r="AP56" s="174"/>
      <c r="AQ56" s="173"/>
      <c r="AR56" s="174"/>
      <c r="AS56" s="173"/>
      <c r="AT56" s="172"/>
      <c r="AU56" s="173"/>
      <c r="AV56" s="174"/>
      <c r="AW56" s="173"/>
      <c r="AX56" s="174"/>
      <c r="AY56" s="173"/>
      <c r="AZ56" s="172"/>
      <c r="BA56" s="173"/>
      <c r="BB56" s="175"/>
      <c r="BC56" s="173"/>
      <c r="BD56" s="172"/>
      <c r="BE56" s="173"/>
      <c r="BF56" s="172"/>
    </row>
    <row r="57" spans="1:58" ht="13.5" thickBot="1" x14ac:dyDescent="0.25">
      <c r="A57" s="261" t="s">
        <v>172</v>
      </c>
      <c r="B57" s="262">
        <f>'BRA Load Pricing Results'!D15</f>
        <v>0</v>
      </c>
      <c r="C57" s="263">
        <f>'BRA Load Pricing Results'!D16-'BRA Load Pricing Results'!D15</f>
        <v>0</v>
      </c>
      <c r="D57" s="263">
        <f>'BRA Load Pricing Results'!D17-'BRA Load Pricing Results'!D15</f>
        <v>0</v>
      </c>
      <c r="E57" s="264">
        <f>'BRA Load Pricing Results'!D30</f>
        <v>0</v>
      </c>
      <c r="F57" s="264">
        <f>'BRA Load Pricing Results'!D31-'BRA Load Pricing Results'!D30</f>
        <v>0</v>
      </c>
      <c r="G57" s="264">
        <f>'BRA Load Pricing Results'!D34</f>
        <v>0</v>
      </c>
      <c r="H57" s="263">
        <f>'BRA Load Pricing Results'!D18-'BRA Load Pricing Results'!D17</f>
        <v>0</v>
      </c>
      <c r="I57" s="263">
        <f>'BRA Load Pricing Results'!D20-'BRA Load Pricing Results'!D17</f>
        <v>0</v>
      </c>
      <c r="J57" s="263">
        <f>'BRA Load Pricing Results'!D23</f>
        <v>0</v>
      </c>
      <c r="K57" s="265">
        <f>'BRA Load Pricing Results'!D19</f>
        <v>0</v>
      </c>
      <c r="L57" s="265">
        <f>'BRA Load Pricing Results'!D24</f>
        <v>0</v>
      </c>
      <c r="M57" s="230"/>
      <c r="N57" s="231"/>
      <c r="O57" s="174"/>
      <c r="P57" s="173"/>
      <c r="Q57" s="174"/>
      <c r="R57" s="173"/>
      <c r="S57" s="172"/>
      <c r="T57" s="173"/>
      <c r="U57" s="172"/>
      <c r="V57" s="173"/>
      <c r="W57" s="172"/>
      <c r="X57" s="172"/>
      <c r="Y57" s="173"/>
      <c r="Z57" s="174"/>
      <c r="AA57" s="173"/>
      <c r="AB57" s="174"/>
      <c r="AC57" s="173"/>
      <c r="AD57" s="174"/>
      <c r="AE57" s="173"/>
      <c r="AF57" s="172"/>
      <c r="AG57" s="173"/>
      <c r="AH57" s="174"/>
      <c r="AI57" s="173"/>
      <c r="AJ57" s="175"/>
      <c r="AK57" s="173"/>
      <c r="AL57" s="174"/>
      <c r="AM57" s="173"/>
      <c r="AN57" s="174"/>
      <c r="AO57" s="173"/>
      <c r="AP57" s="174"/>
      <c r="AQ57" s="173"/>
      <c r="AR57" s="174"/>
      <c r="AS57" s="173"/>
      <c r="AT57" s="172"/>
      <c r="AU57" s="173"/>
      <c r="AV57" s="174"/>
      <c r="AW57" s="173"/>
      <c r="AX57" s="174"/>
      <c r="AY57" s="173"/>
      <c r="AZ57" s="172"/>
      <c r="BA57" s="173"/>
      <c r="BB57" s="175"/>
      <c r="BC57" s="173"/>
      <c r="BD57" s="172"/>
      <c r="BE57" s="173"/>
      <c r="BF57" s="172"/>
    </row>
    <row r="58" spans="1:58" ht="13.5" thickBot="1" x14ac:dyDescent="0.25">
      <c r="A58" s="266" t="s">
        <v>173</v>
      </c>
      <c r="B58" s="379" t="s">
        <v>174</v>
      </c>
      <c r="C58" s="380"/>
      <c r="D58" s="380"/>
      <c r="E58" s="380"/>
      <c r="F58" s="380"/>
      <c r="G58" s="380"/>
      <c r="H58" s="380"/>
      <c r="I58" s="380"/>
      <c r="J58" s="380"/>
      <c r="K58" s="380"/>
      <c r="L58" s="381"/>
      <c r="M58" s="230"/>
      <c r="N58" s="231"/>
      <c r="O58" s="174"/>
      <c r="P58" s="173"/>
      <c r="Q58" s="174"/>
      <c r="R58" s="173"/>
      <c r="S58" s="172"/>
      <c r="T58" s="173"/>
      <c r="U58" s="172"/>
      <c r="V58" s="173"/>
      <c r="W58" s="172"/>
      <c r="X58" s="172"/>
      <c r="Y58" s="173"/>
      <c r="Z58" s="174"/>
      <c r="AA58" s="173"/>
      <c r="AB58" s="174"/>
      <c r="AC58" s="173"/>
      <c r="AD58" s="174"/>
      <c r="AE58" s="173"/>
      <c r="AF58" s="172"/>
      <c r="AG58" s="173"/>
      <c r="AH58" s="174"/>
      <c r="AI58" s="173"/>
      <c r="AJ58" s="175"/>
      <c r="AK58" s="173"/>
      <c r="AL58" s="174"/>
      <c r="AM58" s="173"/>
      <c r="AN58" s="174"/>
      <c r="AO58" s="173"/>
      <c r="AP58" s="174"/>
      <c r="AQ58" s="173"/>
      <c r="AR58" s="174"/>
      <c r="AS58" s="173"/>
      <c r="AT58" s="172"/>
      <c r="AU58" s="173"/>
      <c r="AV58" s="174"/>
      <c r="AW58" s="173"/>
      <c r="AX58" s="174"/>
      <c r="AY58" s="173"/>
      <c r="AZ58" s="172"/>
      <c r="BA58" s="173"/>
      <c r="BB58" s="175"/>
      <c r="BC58" s="173"/>
      <c r="BD58" s="172"/>
      <c r="BE58" s="173"/>
      <c r="BF58" s="172"/>
    </row>
    <row r="59" spans="1:58" x14ac:dyDescent="0.2">
      <c r="A59" s="267" t="s">
        <v>175</v>
      </c>
      <c r="B59" s="268">
        <f t="shared" ref="B59:L59" si="8">B7*B$57</f>
        <v>0</v>
      </c>
      <c r="C59" s="268">
        <f t="shared" si="8"/>
        <v>0</v>
      </c>
      <c r="D59" s="268">
        <f t="shared" si="8"/>
        <v>0</v>
      </c>
      <c r="E59" s="268">
        <f t="shared" si="8"/>
        <v>0</v>
      </c>
      <c r="F59" s="268">
        <f t="shared" si="8"/>
        <v>0</v>
      </c>
      <c r="G59" s="271">
        <f t="shared" si="8"/>
        <v>0</v>
      </c>
      <c r="H59" s="268">
        <f t="shared" si="8"/>
        <v>0</v>
      </c>
      <c r="I59" s="268">
        <f t="shared" si="8"/>
        <v>0</v>
      </c>
      <c r="J59" s="268">
        <f t="shared" si="8"/>
        <v>0</v>
      </c>
      <c r="K59" s="313">
        <f t="shared" si="8"/>
        <v>0</v>
      </c>
      <c r="L59" s="311">
        <f t="shared" si="8"/>
        <v>0</v>
      </c>
      <c r="M59" s="230"/>
      <c r="N59" s="231"/>
      <c r="O59" s="174"/>
      <c r="P59" s="173"/>
      <c r="Q59" s="174"/>
      <c r="R59" s="173"/>
      <c r="S59" s="172"/>
      <c r="T59" s="173"/>
      <c r="U59" s="172"/>
      <c r="V59" s="173"/>
      <c r="W59" s="172"/>
      <c r="X59" s="172"/>
      <c r="Y59" s="173"/>
      <c r="Z59" s="174"/>
      <c r="AA59" s="173"/>
      <c r="AB59" s="174"/>
      <c r="AC59" s="173"/>
      <c r="AD59" s="174"/>
      <c r="AE59" s="173"/>
      <c r="AF59" s="172"/>
      <c r="AG59" s="173"/>
      <c r="AH59" s="174"/>
      <c r="AI59" s="173"/>
      <c r="AJ59" s="175"/>
      <c r="AK59" s="173"/>
      <c r="AL59" s="174"/>
      <c r="AM59" s="173"/>
      <c r="AN59" s="174"/>
      <c r="AO59" s="173"/>
      <c r="AP59" s="174"/>
      <c r="AQ59" s="173"/>
      <c r="AR59" s="174"/>
      <c r="AS59" s="173"/>
      <c r="AT59" s="172"/>
      <c r="AU59" s="173"/>
      <c r="AV59" s="174"/>
      <c r="AW59" s="173"/>
      <c r="AX59" s="174"/>
      <c r="AY59" s="173"/>
      <c r="AZ59" s="172"/>
      <c r="BA59" s="173"/>
      <c r="BB59" s="175"/>
      <c r="BC59" s="173"/>
      <c r="BD59" s="172"/>
      <c r="BE59" s="173"/>
      <c r="BF59" s="172"/>
    </row>
    <row r="60" spans="1:58" x14ac:dyDescent="0.2">
      <c r="A60" s="269" t="s">
        <v>176</v>
      </c>
      <c r="B60" s="270">
        <f t="shared" ref="B60:B65" si="9">B8*B$57</f>
        <v>0</v>
      </c>
      <c r="C60" s="271">
        <f t="shared" ref="C60:L60" si="10">C8*C$57</f>
        <v>0</v>
      </c>
      <c r="D60" s="271">
        <f t="shared" si="10"/>
        <v>0</v>
      </c>
      <c r="E60" s="271">
        <f t="shared" si="10"/>
        <v>0</v>
      </c>
      <c r="F60" s="271">
        <f t="shared" si="10"/>
        <v>0</v>
      </c>
      <c r="G60" s="271">
        <f t="shared" si="10"/>
        <v>0</v>
      </c>
      <c r="H60" s="271">
        <f t="shared" si="10"/>
        <v>0</v>
      </c>
      <c r="I60" s="271">
        <f t="shared" si="10"/>
        <v>0</v>
      </c>
      <c r="J60" s="272">
        <f t="shared" si="10"/>
        <v>0</v>
      </c>
      <c r="K60" s="271">
        <f t="shared" si="10"/>
        <v>0</v>
      </c>
      <c r="L60" s="311">
        <f t="shared" si="10"/>
        <v>0</v>
      </c>
      <c r="M60" s="230"/>
      <c r="N60" s="231"/>
      <c r="O60" s="174"/>
      <c r="P60" s="173"/>
      <c r="Q60" s="174"/>
      <c r="R60" s="173"/>
      <c r="S60" s="172"/>
      <c r="T60" s="173"/>
      <c r="U60" s="172"/>
      <c r="V60" s="173"/>
      <c r="W60" s="172"/>
      <c r="X60" s="172"/>
      <c r="Y60" s="173"/>
      <c r="Z60" s="174"/>
      <c r="AA60" s="173"/>
      <c r="AB60" s="174"/>
      <c r="AC60" s="173"/>
      <c r="AD60" s="174"/>
      <c r="AE60" s="173"/>
      <c r="AF60" s="172"/>
      <c r="AG60" s="173"/>
      <c r="AH60" s="174"/>
      <c r="AI60" s="173"/>
      <c r="AJ60" s="175"/>
      <c r="AK60" s="173"/>
      <c r="AL60" s="174"/>
      <c r="AM60" s="173"/>
      <c r="AN60" s="174"/>
      <c r="AO60" s="173"/>
      <c r="AP60" s="174"/>
      <c r="AQ60" s="173"/>
      <c r="AR60" s="174"/>
      <c r="AS60" s="173"/>
      <c r="AT60" s="172"/>
      <c r="AU60" s="173"/>
      <c r="AV60" s="174"/>
      <c r="AW60" s="173"/>
      <c r="AX60" s="174"/>
      <c r="AY60" s="173"/>
      <c r="AZ60" s="172"/>
      <c r="BA60" s="173"/>
      <c r="BB60" s="175"/>
      <c r="BC60" s="173"/>
      <c r="BD60" s="172"/>
      <c r="BE60" s="173"/>
      <c r="BF60" s="172"/>
    </row>
    <row r="61" spans="1:58" x14ac:dyDescent="0.2">
      <c r="A61" s="269" t="s">
        <v>177</v>
      </c>
      <c r="B61" s="270">
        <f t="shared" si="9"/>
        <v>0</v>
      </c>
      <c r="C61" s="271">
        <f t="shared" ref="C61:L61" si="11">C9*C$57</f>
        <v>0</v>
      </c>
      <c r="D61" s="271">
        <f t="shared" si="11"/>
        <v>0</v>
      </c>
      <c r="E61" s="271">
        <f t="shared" si="11"/>
        <v>0</v>
      </c>
      <c r="F61" s="271">
        <f t="shared" si="11"/>
        <v>0</v>
      </c>
      <c r="G61" s="271">
        <f t="shared" si="11"/>
        <v>0</v>
      </c>
      <c r="H61" s="271">
        <f t="shared" si="11"/>
        <v>0</v>
      </c>
      <c r="I61" s="271">
        <f t="shared" si="11"/>
        <v>0</v>
      </c>
      <c r="J61" s="272">
        <f t="shared" si="11"/>
        <v>0</v>
      </c>
      <c r="K61" s="271">
        <f t="shared" si="11"/>
        <v>0</v>
      </c>
      <c r="L61" s="311">
        <f t="shared" si="11"/>
        <v>0</v>
      </c>
      <c r="M61" s="230"/>
      <c r="N61" s="231"/>
      <c r="O61" s="174"/>
      <c r="P61" s="173"/>
      <c r="Q61" s="174"/>
      <c r="R61" s="173"/>
      <c r="S61" s="172"/>
      <c r="T61" s="173"/>
      <c r="U61" s="172"/>
      <c r="V61" s="173"/>
      <c r="W61" s="172"/>
      <c r="X61" s="172"/>
      <c r="Y61" s="173"/>
      <c r="Z61" s="174"/>
      <c r="AA61" s="173"/>
      <c r="AB61" s="174"/>
      <c r="AC61" s="173"/>
      <c r="AD61" s="174"/>
      <c r="AE61" s="173"/>
      <c r="AF61" s="172"/>
      <c r="AG61" s="173"/>
      <c r="AH61" s="174"/>
      <c r="AI61" s="173"/>
      <c r="AJ61" s="175"/>
      <c r="AK61" s="173"/>
      <c r="AL61" s="174"/>
      <c r="AM61" s="173"/>
      <c r="AN61" s="174"/>
      <c r="AO61" s="173"/>
      <c r="AP61" s="174"/>
      <c r="AQ61" s="173"/>
      <c r="AR61" s="174"/>
      <c r="AS61" s="173"/>
      <c r="AT61" s="172"/>
      <c r="AU61" s="173"/>
      <c r="AV61" s="174"/>
      <c r="AW61" s="173"/>
      <c r="AX61" s="174"/>
      <c r="AY61" s="173"/>
      <c r="AZ61" s="172"/>
      <c r="BA61" s="173"/>
      <c r="BB61" s="175"/>
      <c r="BC61" s="173"/>
      <c r="BD61" s="172"/>
      <c r="BE61" s="173"/>
      <c r="BF61" s="172"/>
    </row>
    <row r="62" spans="1:58" x14ac:dyDescent="0.2">
      <c r="A62" s="269" t="s">
        <v>178</v>
      </c>
      <c r="B62" s="270">
        <f t="shared" si="9"/>
        <v>0</v>
      </c>
      <c r="C62" s="271">
        <f t="shared" ref="C62:L62" si="12">C10*C$57</f>
        <v>0</v>
      </c>
      <c r="D62" s="271">
        <f t="shared" si="12"/>
        <v>0</v>
      </c>
      <c r="E62" s="271">
        <f t="shared" si="12"/>
        <v>0</v>
      </c>
      <c r="F62" s="271">
        <f t="shared" si="12"/>
        <v>0</v>
      </c>
      <c r="G62" s="271">
        <f t="shared" si="12"/>
        <v>0</v>
      </c>
      <c r="H62" s="271">
        <f t="shared" si="12"/>
        <v>0</v>
      </c>
      <c r="I62" s="271">
        <f t="shared" si="12"/>
        <v>0</v>
      </c>
      <c r="J62" s="272">
        <f t="shared" si="12"/>
        <v>0</v>
      </c>
      <c r="K62" s="271">
        <f t="shared" si="12"/>
        <v>0</v>
      </c>
      <c r="L62" s="311">
        <f t="shared" si="12"/>
        <v>0</v>
      </c>
      <c r="M62" s="230"/>
      <c r="N62" s="231"/>
      <c r="O62" s="174"/>
      <c r="P62" s="173"/>
      <c r="Q62" s="174"/>
      <c r="R62" s="173"/>
      <c r="S62" s="172"/>
      <c r="T62" s="173"/>
      <c r="U62" s="172"/>
      <c r="V62" s="173"/>
      <c r="W62" s="172"/>
      <c r="X62" s="172"/>
      <c r="Y62" s="173"/>
      <c r="Z62" s="174"/>
      <c r="AA62" s="173"/>
      <c r="AB62" s="174"/>
      <c r="AC62" s="173"/>
      <c r="AD62" s="174"/>
      <c r="AE62" s="173"/>
      <c r="AF62" s="172"/>
      <c r="AG62" s="173"/>
      <c r="AH62" s="174"/>
      <c r="AI62" s="173"/>
      <c r="AJ62" s="175"/>
      <c r="AK62" s="173"/>
      <c r="AL62" s="174"/>
      <c r="AM62" s="173"/>
      <c r="AN62" s="174"/>
      <c r="AO62" s="173"/>
      <c r="AP62" s="174"/>
      <c r="AQ62" s="173"/>
      <c r="AR62" s="174"/>
      <c r="AS62" s="173"/>
      <c r="AT62" s="172"/>
      <c r="AU62" s="173"/>
      <c r="AV62" s="174"/>
      <c r="AW62" s="173"/>
      <c r="AX62" s="174"/>
      <c r="AY62" s="173"/>
      <c r="AZ62" s="172"/>
      <c r="BA62" s="173"/>
      <c r="BB62" s="175"/>
      <c r="BC62" s="173"/>
      <c r="BD62" s="172"/>
      <c r="BE62" s="173"/>
      <c r="BF62" s="172"/>
    </row>
    <row r="63" spans="1:58" x14ac:dyDescent="0.2">
      <c r="A63" s="269" t="s">
        <v>179</v>
      </c>
      <c r="B63" s="270">
        <f t="shared" si="9"/>
        <v>0</v>
      </c>
      <c r="C63" s="271">
        <f t="shared" ref="C63:L63" si="13">C11*C$57</f>
        <v>0</v>
      </c>
      <c r="D63" s="271">
        <f t="shared" si="13"/>
        <v>0</v>
      </c>
      <c r="E63" s="271">
        <f t="shared" si="13"/>
        <v>0</v>
      </c>
      <c r="F63" s="271">
        <f t="shared" si="13"/>
        <v>0</v>
      </c>
      <c r="G63" s="271">
        <f t="shared" si="13"/>
        <v>0</v>
      </c>
      <c r="H63" s="271">
        <f t="shared" si="13"/>
        <v>0</v>
      </c>
      <c r="I63" s="271">
        <f t="shared" si="13"/>
        <v>0</v>
      </c>
      <c r="J63" s="272">
        <f t="shared" si="13"/>
        <v>0</v>
      </c>
      <c r="K63" s="271">
        <f t="shared" si="13"/>
        <v>0</v>
      </c>
      <c r="L63" s="311">
        <f t="shared" si="13"/>
        <v>0</v>
      </c>
      <c r="M63" s="230"/>
      <c r="N63" s="231"/>
      <c r="O63" s="174"/>
      <c r="P63" s="173"/>
      <c r="Q63" s="174"/>
      <c r="R63" s="173"/>
      <c r="S63" s="172"/>
      <c r="T63" s="173"/>
      <c r="U63" s="172"/>
      <c r="V63" s="173"/>
      <c r="W63" s="172"/>
      <c r="X63" s="172"/>
      <c r="Y63" s="173"/>
      <c r="Z63" s="174"/>
      <c r="AA63" s="173"/>
      <c r="AB63" s="174"/>
      <c r="AC63" s="173"/>
      <c r="AD63" s="174"/>
      <c r="AE63" s="173"/>
      <c r="AF63" s="172"/>
      <c r="AG63" s="173"/>
      <c r="AH63" s="174"/>
      <c r="AI63" s="173"/>
      <c r="AJ63" s="175"/>
      <c r="AK63" s="173"/>
      <c r="AL63" s="174"/>
      <c r="AM63" s="173"/>
      <c r="AN63" s="174"/>
      <c r="AO63" s="173"/>
      <c r="AP63" s="174"/>
      <c r="AQ63" s="173"/>
      <c r="AR63" s="174"/>
      <c r="AS63" s="173"/>
      <c r="AT63" s="172"/>
      <c r="AU63" s="173"/>
      <c r="AV63" s="174"/>
      <c r="AW63" s="173"/>
      <c r="AX63" s="174"/>
      <c r="AY63" s="173"/>
      <c r="AZ63" s="172"/>
      <c r="BA63" s="173"/>
      <c r="BB63" s="175"/>
      <c r="BC63" s="173"/>
      <c r="BD63" s="172"/>
      <c r="BE63" s="173"/>
      <c r="BF63" s="172"/>
    </row>
    <row r="64" spans="1:58" x14ac:dyDescent="0.2">
      <c r="A64" s="269" t="s">
        <v>180</v>
      </c>
      <c r="B64" s="270">
        <f t="shared" si="9"/>
        <v>0</v>
      </c>
      <c r="C64" s="271">
        <f t="shared" ref="C64:L64" si="14">C12*C$57</f>
        <v>0</v>
      </c>
      <c r="D64" s="271">
        <f t="shared" si="14"/>
        <v>0</v>
      </c>
      <c r="E64" s="271">
        <f t="shared" si="14"/>
        <v>0</v>
      </c>
      <c r="F64" s="271">
        <f t="shared" si="14"/>
        <v>0</v>
      </c>
      <c r="G64" s="271">
        <f t="shared" si="14"/>
        <v>0</v>
      </c>
      <c r="H64" s="271">
        <f t="shared" si="14"/>
        <v>0</v>
      </c>
      <c r="I64" s="271">
        <f t="shared" si="14"/>
        <v>0</v>
      </c>
      <c r="J64" s="272">
        <f t="shared" si="14"/>
        <v>0</v>
      </c>
      <c r="K64" s="271">
        <f t="shared" si="14"/>
        <v>0</v>
      </c>
      <c r="L64" s="311">
        <f t="shared" si="14"/>
        <v>0</v>
      </c>
      <c r="M64" s="230"/>
      <c r="N64" s="231"/>
      <c r="O64" s="174"/>
      <c r="P64" s="173"/>
      <c r="Q64" s="174"/>
      <c r="R64" s="173"/>
      <c r="S64" s="172"/>
      <c r="T64" s="173"/>
      <c r="U64" s="172"/>
      <c r="V64" s="173"/>
      <c r="W64" s="172"/>
      <c r="X64" s="172"/>
      <c r="Y64" s="173"/>
      <c r="Z64" s="174"/>
      <c r="AA64" s="173"/>
      <c r="AB64" s="174"/>
      <c r="AC64" s="173"/>
      <c r="AD64" s="174"/>
      <c r="AE64" s="173"/>
      <c r="AF64" s="172"/>
      <c r="AG64" s="173"/>
      <c r="AH64" s="174"/>
      <c r="AI64" s="173"/>
      <c r="AJ64" s="175"/>
      <c r="AK64" s="173"/>
      <c r="AL64" s="174"/>
      <c r="AM64" s="173"/>
      <c r="AN64" s="174"/>
      <c r="AO64" s="173"/>
      <c r="AP64" s="174"/>
      <c r="AQ64" s="173"/>
      <c r="AR64" s="174"/>
      <c r="AS64" s="173"/>
      <c r="AT64" s="172"/>
      <c r="AU64" s="173"/>
      <c r="AV64" s="174"/>
      <c r="AW64" s="173"/>
      <c r="AX64" s="174"/>
      <c r="AY64" s="173"/>
      <c r="AZ64" s="172"/>
      <c r="BA64" s="173"/>
      <c r="BB64" s="175"/>
      <c r="BC64" s="173"/>
      <c r="BD64" s="172"/>
      <c r="BE64" s="173"/>
      <c r="BF64" s="172"/>
    </row>
    <row r="65" spans="1:58" x14ac:dyDescent="0.2">
      <c r="A65" s="269" t="s">
        <v>353</v>
      </c>
      <c r="B65" s="270">
        <f t="shared" si="9"/>
        <v>0</v>
      </c>
      <c r="C65" s="271">
        <f t="shared" ref="C65:L65" si="15">C13*C$57</f>
        <v>0</v>
      </c>
      <c r="D65" s="271">
        <f t="shared" si="15"/>
        <v>0</v>
      </c>
      <c r="E65" s="271">
        <f t="shared" si="15"/>
        <v>0</v>
      </c>
      <c r="F65" s="271">
        <f t="shared" si="15"/>
        <v>0</v>
      </c>
      <c r="G65" s="271">
        <f t="shared" si="15"/>
        <v>0</v>
      </c>
      <c r="H65" s="271">
        <f t="shared" si="15"/>
        <v>0</v>
      </c>
      <c r="I65" s="271">
        <f t="shared" si="15"/>
        <v>0</v>
      </c>
      <c r="J65" s="272">
        <f t="shared" si="15"/>
        <v>0</v>
      </c>
      <c r="K65" s="271">
        <f t="shared" si="15"/>
        <v>0</v>
      </c>
      <c r="L65" s="311">
        <f t="shared" si="15"/>
        <v>0</v>
      </c>
      <c r="M65" s="230"/>
      <c r="N65" s="231"/>
      <c r="O65" s="174"/>
      <c r="P65" s="173"/>
      <c r="Q65" s="174"/>
      <c r="R65" s="173"/>
      <c r="S65" s="172"/>
      <c r="T65" s="173"/>
      <c r="U65" s="172"/>
      <c r="V65" s="173"/>
      <c r="W65" s="172"/>
      <c r="X65" s="172"/>
      <c r="Y65" s="173"/>
      <c r="Z65" s="174"/>
      <c r="AA65" s="173"/>
      <c r="AB65" s="174"/>
      <c r="AC65" s="173"/>
      <c r="AD65" s="174"/>
      <c r="AE65" s="173"/>
      <c r="AF65" s="172"/>
      <c r="AG65" s="173"/>
      <c r="AH65" s="174"/>
      <c r="AI65" s="173"/>
      <c r="AJ65" s="175"/>
      <c r="AK65" s="173"/>
      <c r="AL65" s="174"/>
      <c r="AM65" s="173"/>
      <c r="AN65" s="174"/>
      <c r="AO65" s="173"/>
      <c r="AP65" s="174"/>
      <c r="AQ65" s="173"/>
      <c r="AR65" s="174"/>
      <c r="AS65" s="173"/>
      <c r="AT65" s="172"/>
      <c r="AU65" s="173"/>
      <c r="AV65" s="174"/>
      <c r="AW65" s="173"/>
      <c r="AX65" s="174"/>
      <c r="AY65" s="173"/>
      <c r="AZ65" s="172"/>
      <c r="BA65" s="173"/>
      <c r="BB65" s="175"/>
      <c r="BC65" s="173"/>
      <c r="BD65" s="172"/>
      <c r="BE65" s="173"/>
      <c r="BF65" s="172"/>
    </row>
    <row r="66" spans="1:58" ht="13.5" thickBot="1" x14ac:dyDescent="0.25">
      <c r="A66" s="332" t="s">
        <v>355</v>
      </c>
      <c r="B66" s="333">
        <f t="shared" ref="B66:H66" si="16">B14*B$57</f>
        <v>0</v>
      </c>
      <c r="C66" s="333">
        <f t="shared" si="16"/>
        <v>0</v>
      </c>
      <c r="D66" s="333">
        <f t="shared" si="16"/>
        <v>0</v>
      </c>
      <c r="E66" s="333">
        <f t="shared" si="16"/>
        <v>0</v>
      </c>
      <c r="F66" s="333">
        <f t="shared" si="16"/>
        <v>0</v>
      </c>
      <c r="G66" s="333">
        <f t="shared" si="16"/>
        <v>0</v>
      </c>
      <c r="H66" s="333">
        <f t="shared" si="16"/>
        <v>0</v>
      </c>
      <c r="I66" s="333">
        <f>H14*I$57</f>
        <v>0</v>
      </c>
      <c r="J66" s="333">
        <f>I14*J$57</f>
        <v>0</v>
      </c>
      <c r="K66" s="334">
        <f>K14*K$57</f>
        <v>0</v>
      </c>
      <c r="L66" s="335">
        <f>L14*L$57</f>
        <v>0</v>
      </c>
      <c r="M66" s="230"/>
      <c r="N66" s="231"/>
      <c r="O66" s="174"/>
      <c r="P66" s="173"/>
      <c r="Q66" s="174"/>
      <c r="R66" s="173"/>
      <c r="S66" s="172"/>
      <c r="T66" s="173"/>
      <c r="U66" s="172"/>
      <c r="V66" s="173"/>
      <c r="W66" s="172"/>
      <c r="X66" s="172"/>
      <c r="Y66" s="173"/>
      <c r="Z66" s="174"/>
      <c r="AA66" s="173"/>
      <c r="AB66" s="174"/>
      <c r="AC66" s="173"/>
      <c r="AD66" s="174"/>
      <c r="AE66" s="173"/>
      <c r="AF66" s="172"/>
      <c r="AG66" s="173"/>
      <c r="AH66" s="174"/>
      <c r="AI66" s="173"/>
      <c r="AJ66" s="175"/>
      <c r="AK66" s="173"/>
      <c r="AL66" s="174"/>
      <c r="AM66" s="173"/>
      <c r="AN66" s="174"/>
      <c r="AO66" s="173"/>
      <c r="AP66" s="174"/>
      <c r="AQ66" s="173"/>
      <c r="AR66" s="174"/>
      <c r="AS66" s="173"/>
      <c r="AT66" s="172"/>
      <c r="AU66" s="173"/>
      <c r="AV66" s="174"/>
      <c r="AW66" s="173"/>
      <c r="AX66" s="174"/>
      <c r="AY66" s="173"/>
      <c r="AZ66" s="172"/>
      <c r="BA66" s="173"/>
      <c r="BB66" s="175"/>
      <c r="BC66" s="173"/>
      <c r="BD66" s="172"/>
      <c r="BE66" s="173"/>
      <c r="BF66" s="172"/>
    </row>
    <row r="67" spans="1:58" ht="13.5" thickTop="1" x14ac:dyDescent="0.2">
      <c r="A67" s="328" t="s">
        <v>181</v>
      </c>
      <c r="B67" s="329">
        <f t="shared" ref="B67:L67" si="17">B17*B$57</f>
        <v>0</v>
      </c>
      <c r="C67" s="329">
        <f t="shared" si="17"/>
        <v>0</v>
      </c>
      <c r="D67" s="329">
        <f t="shared" si="17"/>
        <v>0</v>
      </c>
      <c r="E67" s="329">
        <f t="shared" si="17"/>
        <v>0</v>
      </c>
      <c r="F67" s="329">
        <f t="shared" si="17"/>
        <v>0</v>
      </c>
      <c r="G67" s="330">
        <f t="shared" si="17"/>
        <v>0</v>
      </c>
      <c r="H67" s="330">
        <f t="shared" si="17"/>
        <v>0</v>
      </c>
      <c r="I67" s="329">
        <f t="shared" si="17"/>
        <v>0</v>
      </c>
      <c r="J67" s="329">
        <f t="shared" si="17"/>
        <v>0</v>
      </c>
      <c r="K67" s="330">
        <f t="shared" si="17"/>
        <v>0</v>
      </c>
      <c r="L67" s="331">
        <f t="shared" si="17"/>
        <v>0</v>
      </c>
      <c r="M67" s="230"/>
      <c r="N67" s="231"/>
      <c r="O67" s="174"/>
      <c r="P67" s="173"/>
      <c r="Q67" s="174"/>
      <c r="R67" s="173"/>
      <c r="S67" s="172"/>
      <c r="T67" s="173"/>
      <c r="U67" s="172"/>
      <c r="V67" s="173"/>
      <c r="W67" s="172"/>
      <c r="X67" s="172"/>
      <c r="Y67" s="173"/>
      <c r="Z67" s="174"/>
      <c r="AA67" s="173"/>
      <c r="AB67" s="174"/>
      <c r="AC67" s="173"/>
      <c r="AD67" s="174"/>
      <c r="AE67" s="173"/>
      <c r="AF67" s="172"/>
      <c r="AG67" s="173"/>
      <c r="AH67" s="174"/>
      <c r="AI67" s="173"/>
      <c r="AJ67" s="175"/>
      <c r="AK67" s="173"/>
      <c r="AL67" s="174"/>
      <c r="AM67" s="173"/>
      <c r="AN67" s="174"/>
      <c r="AO67" s="173"/>
      <c r="AP67" s="174"/>
      <c r="AQ67" s="173"/>
      <c r="AR67" s="174"/>
      <c r="AS67" s="173"/>
      <c r="AT67" s="172"/>
      <c r="AU67" s="173"/>
      <c r="AV67" s="174"/>
      <c r="AW67" s="173"/>
      <c r="AX67" s="174"/>
      <c r="AY67" s="173"/>
      <c r="AZ67" s="172"/>
      <c r="BA67" s="173"/>
      <c r="BB67" s="175"/>
      <c r="BC67" s="173"/>
      <c r="BD67" s="172"/>
      <c r="BE67" s="173"/>
      <c r="BF67" s="172"/>
    </row>
    <row r="68" spans="1:58" x14ac:dyDescent="0.2">
      <c r="A68" s="269" t="s">
        <v>182</v>
      </c>
      <c r="B68" s="270">
        <f t="shared" ref="B68:B83" si="18">B18*B$57</f>
        <v>0</v>
      </c>
      <c r="C68" s="270">
        <f t="shared" ref="C68:L68" si="19">C18*C$57</f>
        <v>0</v>
      </c>
      <c r="D68" s="270">
        <f t="shared" si="19"/>
        <v>0</v>
      </c>
      <c r="E68" s="270">
        <f t="shared" si="19"/>
        <v>0</v>
      </c>
      <c r="F68" s="270">
        <f t="shared" si="19"/>
        <v>0</v>
      </c>
      <c r="G68" s="271">
        <f t="shared" si="19"/>
        <v>0</v>
      </c>
      <c r="H68" s="271">
        <f t="shared" si="19"/>
        <v>0</v>
      </c>
      <c r="I68" s="270">
        <f t="shared" si="19"/>
        <v>0</v>
      </c>
      <c r="J68" s="270">
        <f t="shared" si="19"/>
        <v>0</v>
      </c>
      <c r="K68" s="271">
        <f t="shared" si="19"/>
        <v>0</v>
      </c>
      <c r="L68" s="311">
        <f t="shared" si="19"/>
        <v>0</v>
      </c>
      <c r="M68" s="230"/>
      <c r="N68" s="231"/>
      <c r="O68" s="174"/>
      <c r="P68" s="173"/>
      <c r="Q68" s="174"/>
      <c r="R68" s="173"/>
      <c r="S68" s="172"/>
      <c r="T68" s="173"/>
      <c r="U68" s="172"/>
      <c r="V68" s="173"/>
      <c r="W68" s="172"/>
      <c r="X68" s="172"/>
      <c r="Y68" s="173"/>
      <c r="Z68" s="174"/>
      <c r="AA68" s="173"/>
      <c r="AB68" s="174"/>
      <c r="AC68" s="173"/>
      <c r="AD68" s="174"/>
      <c r="AE68" s="173"/>
      <c r="AF68" s="172"/>
      <c r="AG68" s="173"/>
      <c r="AH68" s="174"/>
      <c r="AI68" s="173"/>
      <c r="AJ68" s="175"/>
      <c r="AK68" s="173"/>
      <c r="AL68" s="174"/>
      <c r="AM68" s="173"/>
      <c r="AN68" s="174"/>
      <c r="AO68" s="173"/>
      <c r="AP68" s="174"/>
      <c r="AQ68" s="173"/>
      <c r="AR68" s="174"/>
      <c r="AS68" s="173"/>
      <c r="AT68" s="172"/>
      <c r="AU68" s="173"/>
      <c r="AV68" s="174"/>
      <c r="AW68" s="173"/>
      <c r="AX68" s="174"/>
      <c r="AY68" s="173"/>
      <c r="AZ68" s="172"/>
      <c r="BA68" s="173"/>
      <c r="BB68" s="175"/>
      <c r="BC68" s="173"/>
      <c r="BD68" s="172"/>
      <c r="BE68" s="173"/>
      <c r="BF68" s="172"/>
    </row>
    <row r="69" spans="1:58" x14ac:dyDescent="0.2">
      <c r="A69" s="269" t="s">
        <v>183</v>
      </c>
      <c r="B69" s="270">
        <f t="shared" si="18"/>
        <v>0</v>
      </c>
      <c r="C69" s="270">
        <f t="shared" ref="C69:L69" si="20">C19*C$57</f>
        <v>0</v>
      </c>
      <c r="D69" s="270">
        <f t="shared" si="20"/>
        <v>0</v>
      </c>
      <c r="E69" s="270">
        <f t="shared" si="20"/>
        <v>0</v>
      </c>
      <c r="F69" s="270">
        <f t="shared" si="20"/>
        <v>0</v>
      </c>
      <c r="G69" s="271">
        <f t="shared" si="20"/>
        <v>0</v>
      </c>
      <c r="H69" s="271">
        <f t="shared" si="20"/>
        <v>0</v>
      </c>
      <c r="I69" s="270">
        <f t="shared" si="20"/>
        <v>0</v>
      </c>
      <c r="J69" s="270">
        <f t="shared" si="20"/>
        <v>0</v>
      </c>
      <c r="K69" s="271">
        <f t="shared" si="20"/>
        <v>0</v>
      </c>
      <c r="L69" s="311">
        <f t="shared" si="20"/>
        <v>0</v>
      </c>
      <c r="M69" s="230"/>
      <c r="N69" s="231"/>
      <c r="O69" s="174"/>
      <c r="P69" s="173"/>
      <c r="Q69" s="174"/>
      <c r="R69" s="173"/>
      <c r="S69" s="172"/>
      <c r="T69" s="173"/>
      <c r="U69" s="172"/>
      <c r="V69" s="173"/>
      <c r="W69" s="172"/>
      <c r="X69" s="172"/>
      <c r="Y69" s="173"/>
      <c r="Z69" s="174"/>
      <c r="AA69" s="173"/>
      <c r="AB69" s="174"/>
      <c r="AC69" s="173"/>
      <c r="AD69" s="174"/>
      <c r="AE69" s="173"/>
      <c r="AF69" s="172"/>
      <c r="AG69" s="173"/>
      <c r="AH69" s="174"/>
      <c r="AI69" s="173"/>
      <c r="AJ69" s="175"/>
      <c r="AK69" s="173"/>
      <c r="AL69" s="174"/>
      <c r="AM69" s="173"/>
      <c r="AN69" s="174"/>
      <c r="AO69" s="173"/>
      <c r="AP69" s="174"/>
      <c r="AQ69" s="173"/>
      <c r="AR69" s="174"/>
      <c r="AS69" s="173"/>
      <c r="AT69" s="172"/>
      <c r="AU69" s="173"/>
      <c r="AV69" s="174"/>
      <c r="AW69" s="173"/>
      <c r="AX69" s="174"/>
      <c r="AY69" s="173"/>
      <c r="AZ69" s="172"/>
      <c r="BA69" s="173"/>
      <c r="BB69" s="175"/>
      <c r="BC69" s="173"/>
      <c r="BD69" s="172"/>
      <c r="BE69" s="173"/>
      <c r="BF69" s="172"/>
    </row>
    <row r="70" spans="1:58" x14ac:dyDescent="0.2">
      <c r="A70" s="269" t="s">
        <v>184</v>
      </c>
      <c r="B70" s="270">
        <f t="shared" si="18"/>
        <v>0</v>
      </c>
      <c r="C70" s="270">
        <f t="shared" ref="C70:L70" si="21">C20*C$57</f>
        <v>0</v>
      </c>
      <c r="D70" s="270">
        <f t="shared" si="21"/>
        <v>0</v>
      </c>
      <c r="E70" s="270">
        <f t="shared" si="21"/>
        <v>0</v>
      </c>
      <c r="F70" s="270">
        <f t="shared" si="21"/>
        <v>0</v>
      </c>
      <c r="G70" s="271">
        <f t="shared" si="21"/>
        <v>0</v>
      </c>
      <c r="H70" s="271">
        <f t="shared" si="21"/>
        <v>0</v>
      </c>
      <c r="I70" s="270">
        <f t="shared" si="21"/>
        <v>0</v>
      </c>
      <c r="J70" s="270">
        <f t="shared" si="21"/>
        <v>0</v>
      </c>
      <c r="K70" s="271">
        <f t="shared" si="21"/>
        <v>0</v>
      </c>
      <c r="L70" s="311">
        <f t="shared" si="21"/>
        <v>0</v>
      </c>
      <c r="M70" s="230"/>
      <c r="N70" s="231"/>
      <c r="O70" s="174"/>
      <c r="P70" s="173"/>
      <c r="Q70" s="174"/>
      <c r="R70" s="173"/>
      <c r="S70" s="172"/>
      <c r="T70" s="173"/>
      <c r="U70" s="172"/>
      <c r="V70" s="173"/>
      <c r="W70" s="172"/>
      <c r="X70" s="172"/>
      <c r="Y70" s="173"/>
      <c r="Z70" s="174"/>
      <c r="AA70" s="173"/>
      <c r="AB70" s="174"/>
      <c r="AC70" s="173"/>
      <c r="AD70" s="174"/>
      <c r="AE70" s="173"/>
      <c r="AF70" s="172"/>
      <c r="AG70" s="173"/>
      <c r="AH70" s="174"/>
      <c r="AI70" s="173"/>
      <c r="AJ70" s="175"/>
      <c r="AK70" s="173"/>
      <c r="AL70" s="174"/>
      <c r="AM70" s="173"/>
      <c r="AN70" s="174"/>
      <c r="AO70" s="173"/>
      <c r="AP70" s="174"/>
      <c r="AQ70" s="173"/>
      <c r="AR70" s="174"/>
      <c r="AS70" s="173"/>
      <c r="AT70" s="172"/>
      <c r="AU70" s="173"/>
      <c r="AV70" s="174"/>
      <c r="AW70" s="173"/>
      <c r="AX70" s="174"/>
      <c r="AY70" s="173"/>
      <c r="AZ70" s="172"/>
      <c r="BA70" s="173"/>
      <c r="BB70" s="175"/>
      <c r="BC70" s="173"/>
      <c r="BD70" s="172"/>
      <c r="BE70" s="173"/>
      <c r="BF70" s="172"/>
    </row>
    <row r="71" spans="1:58" x14ac:dyDescent="0.2">
      <c r="A71" s="269" t="s">
        <v>185</v>
      </c>
      <c r="B71" s="270">
        <f t="shared" si="18"/>
        <v>0</v>
      </c>
      <c r="C71" s="270">
        <f t="shared" ref="C71:L71" si="22">C21*C$57</f>
        <v>0</v>
      </c>
      <c r="D71" s="270">
        <f t="shared" si="22"/>
        <v>0</v>
      </c>
      <c r="E71" s="270">
        <f t="shared" si="22"/>
        <v>0</v>
      </c>
      <c r="F71" s="270">
        <f t="shared" si="22"/>
        <v>0</v>
      </c>
      <c r="G71" s="271">
        <f t="shared" si="22"/>
        <v>0</v>
      </c>
      <c r="H71" s="271">
        <f t="shared" si="22"/>
        <v>0</v>
      </c>
      <c r="I71" s="270">
        <f t="shared" si="22"/>
        <v>0</v>
      </c>
      <c r="J71" s="270">
        <f t="shared" si="22"/>
        <v>0</v>
      </c>
      <c r="K71" s="271">
        <f t="shared" si="22"/>
        <v>0</v>
      </c>
      <c r="L71" s="311">
        <f t="shared" si="22"/>
        <v>0</v>
      </c>
      <c r="M71" s="230"/>
      <c r="N71" s="231"/>
      <c r="O71" s="174"/>
      <c r="P71" s="173"/>
      <c r="Q71" s="174"/>
      <c r="R71" s="173"/>
      <c r="S71" s="172"/>
      <c r="T71" s="173"/>
      <c r="U71" s="172"/>
      <c r="V71" s="173"/>
      <c r="W71" s="172"/>
      <c r="X71" s="172"/>
      <c r="Y71" s="173"/>
      <c r="Z71" s="174"/>
      <c r="AA71" s="173"/>
      <c r="AB71" s="174"/>
      <c r="AC71" s="173"/>
      <c r="AD71" s="174"/>
      <c r="AE71" s="173"/>
      <c r="AF71" s="172"/>
      <c r="AG71" s="173"/>
      <c r="AH71" s="174"/>
      <c r="AI71" s="173"/>
      <c r="AJ71" s="175"/>
      <c r="AK71" s="173"/>
      <c r="AL71" s="174"/>
      <c r="AM71" s="173"/>
      <c r="AN71" s="174"/>
      <c r="AO71" s="173"/>
      <c r="AP71" s="174"/>
      <c r="AQ71" s="173"/>
      <c r="AR71" s="174"/>
      <c r="AS71" s="173"/>
      <c r="AT71" s="172"/>
      <c r="AU71" s="173"/>
      <c r="AV71" s="174"/>
      <c r="AW71" s="173"/>
      <c r="AX71" s="174"/>
      <c r="AY71" s="173"/>
      <c r="AZ71" s="172"/>
      <c r="BA71" s="173"/>
      <c r="BB71" s="175"/>
      <c r="BC71" s="173"/>
      <c r="BD71" s="172"/>
      <c r="BE71" s="173"/>
      <c r="BF71" s="172"/>
    </row>
    <row r="72" spans="1:58" x14ac:dyDescent="0.2">
      <c r="A72" s="269" t="s">
        <v>191</v>
      </c>
      <c r="B72" s="270">
        <f t="shared" si="18"/>
        <v>0</v>
      </c>
      <c r="C72" s="270">
        <f t="shared" ref="C72:L72" si="23">C22*C$57</f>
        <v>0</v>
      </c>
      <c r="D72" s="270">
        <f t="shared" si="23"/>
        <v>0</v>
      </c>
      <c r="E72" s="270">
        <f t="shared" si="23"/>
        <v>0</v>
      </c>
      <c r="F72" s="270">
        <f t="shared" si="23"/>
        <v>0</v>
      </c>
      <c r="G72" s="271">
        <f t="shared" si="23"/>
        <v>0</v>
      </c>
      <c r="H72" s="271">
        <f t="shared" si="23"/>
        <v>0</v>
      </c>
      <c r="I72" s="270">
        <f t="shared" si="23"/>
        <v>0</v>
      </c>
      <c r="J72" s="270">
        <f t="shared" si="23"/>
        <v>0</v>
      </c>
      <c r="K72" s="271">
        <f t="shared" si="23"/>
        <v>0</v>
      </c>
      <c r="L72" s="311">
        <f t="shared" si="23"/>
        <v>0</v>
      </c>
      <c r="M72" s="230"/>
      <c r="N72" s="231"/>
      <c r="O72" s="174"/>
      <c r="P72" s="173"/>
      <c r="Q72" s="174"/>
      <c r="R72" s="173"/>
      <c r="S72" s="172"/>
      <c r="T72" s="173"/>
      <c r="U72" s="172"/>
      <c r="V72" s="173"/>
      <c r="W72" s="172"/>
      <c r="X72" s="172"/>
      <c r="Y72" s="173"/>
      <c r="Z72" s="174"/>
      <c r="AA72" s="173"/>
      <c r="AB72" s="174"/>
      <c r="AC72" s="173"/>
      <c r="AD72" s="174"/>
      <c r="AE72" s="173"/>
      <c r="AF72" s="172"/>
      <c r="AG72" s="173"/>
      <c r="AH72" s="174"/>
      <c r="AI72" s="173"/>
      <c r="AJ72" s="175"/>
      <c r="AK72" s="173"/>
      <c r="AL72" s="174"/>
      <c r="AM72" s="173"/>
      <c r="AN72" s="174"/>
      <c r="AO72" s="173"/>
      <c r="AP72" s="174"/>
      <c r="AQ72" s="173"/>
      <c r="AR72" s="174"/>
      <c r="AS72" s="173"/>
      <c r="AT72" s="172"/>
      <c r="AU72" s="173"/>
      <c r="AV72" s="174"/>
      <c r="AW72" s="173"/>
      <c r="AX72" s="174"/>
      <c r="AY72" s="173"/>
      <c r="AZ72" s="172"/>
      <c r="BA72" s="173"/>
      <c r="BB72" s="175"/>
      <c r="BC72" s="173"/>
      <c r="BD72" s="172"/>
      <c r="BE72" s="173"/>
      <c r="BF72" s="172"/>
    </row>
    <row r="73" spans="1:58" x14ac:dyDescent="0.2">
      <c r="A73" s="269" t="s">
        <v>192</v>
      </c>
      <c r="B73" s="270">
        <f t="shared" si="18"/>
        <v>0</v>
      </c>
      <c r="C73" s="270">
        <f t="shared" ref="C73:L73" si="24">C23*C$57</f>
        <v>0</v>
      </c>
      <c r="D73" s="270">
        <f t="shared" si="24"/>
        <v>0</v>
      </c>
      <c r="E73" s="270">
        <f t="shared" si="24"/>
        <v>0</v>
      </c>
      <c r="F73" s="270">
        <f t="shared" si="24"/>
        <v>0</v>
      </c>
      <c r="G73" s="271">
        <f t="shared" si="24"/>
        <v>0</v>
      </c>
      <c r="H73" s="271">
        <f t="shared" si="24"/>
        <v>0</v>
      </c>
      <c r="I73" s="270">
        <f t="shared" si="24"/>
        <v>0</v>
      </c>
      <c r="J73" s="270">
        <f t="shared" si="24"/>
        <v>0</v>
      </c>
      <c r="K73" s="271">
        <f t="shared" si="24"/>
        <v>0</v>
      </c>
      <c r="L73" s="311">
        <f t="shared" si="24"/>
        <v>0</v>
      </c>
      <c r="M73" s="230"/>
      <c r="N73" s="231"/>
      <c r="O73" s="174"/>
      <c r="P73" s="173"/>
      <c r="Q73" s="174"/>
      <c r="R73" s="173"/>
      <c r="S73" s="172"/>
      <c r="T73" s="173"/>
      <c r="U73" s="172"/>
      <c r="V73" s="173"/>
      <c r="W73" s="172"/>
      <c r="X73" s="172"/>
      <c r="Y73" s="173"/>
      <c r="Z73" s="174"/>
      <c r="AA73" s="173"/>
      <c r="AB73" s="174"/>
      <c r="AC73" s="173"/>
      <c r="AD73" s="174"/>
      <c r="AE73" s="173"/>
      <c r="AF73" s="172"/>
      <c r="AG73" s="173"/>
      <c r="AH73" s="174"/>
      <c r="AI73" s="173"/>
      <c r="AJ73" s="175"/>
      <c r="AK73" s="173"/>
      <c r="AL73" s="174"/>
      <c r="AM73" s="173"/>
      <c r="AN73" s="174"/>
      <c r="AO73" s="173"/>
      <c r="AP73" s="174"/>
      <c r="AQ73" s="173"/>
      <c r="AR73" s="174"/>
      <c r="AS73" s="173"/>
      <c r="AT73" s="172"/>
      <c r="AU73" s="173"/>
      <c r="AV73" s="174"/>
      <c r="AW73" s="173"/>
      <c r="AX73" s="174"/>
      <c r="AY73" s="173"/>
      <c r="AZ73" s="172"/>
      <c r="BA73" s="173"/>
      <c r="BB73" s="175"/>
      <c r="BC73" s="173"/>
      <c r="BD73" s="172"/>
      <c r="BE73" s="173"/>
      <c r="BF73" s="172"/>
    </row>
    <row r="74" spans="1:58" x14ac:dyDescent="0.2">
      <c r="A74" s="269" t="s">
        <v>193</v>
      </c>
      <c r="B74" s="270">
        <f t="shared" si="18"/>
        <v>0</v>
      </c>
      <c r="C74" s="270">
        <f t="shared" ref="C74:L74" si="25">C24*C$57</f>
        <v>0</v>
      </c>
      <c r="D74" s="270">
        <f t="shared" si="25"/>
        <v>0</v>
      </c>
      <c r="E74" s="270">
        <f t="shared" si="25"/>
        <v>0</v>
      </c>
      <c r="F74" s="270">
        <f t="shared" si="25"/>
        <v>0</v>
      </c>
      <c r="G74" s="271">
        <f t="shared" si="25"/>
        <v>0</v>
      </c>
      <c r="H74" s="271">
        <f t="shared" si="25"/>
        <v>0</v>
      </c>
      <c r="I74" s="270">
        <f t="shared" si="25"/>
        <v>0</v>
      </c>
      <c r="J74" s="270">
        <f t="shared" si="25"/>
        <v>0</v>
      </c>
      <c r="K74" s="271">
        <f t="shared" si="25"/>
        <v>0</v>
      </c>
      <c r="L74" s="311">
        <f t="shared" si="25"/>
        <v>0</v>
      </c>
      <c r="M74" s="230"/>
      <c r="N74" s="231"/>
      <c r="O74" s="174"/>
      <c r="P74" s="173"/>
      <c r="Q74" s="174"/>
      <c r="R74" s="173"/>
      <c r="S74" s="172"/>
      <c r="T74" s="173"/>
      <c r="U74" s="172"/>
      <c r="V74" s="173"/>
      <c r="W74" s="172"/>
      <c r="X74" s="172"/>
      <c r="Y74" s="173"/>
      <c r="Z74" s="174"/>
      <c r="AA74" s="173"/>
      <c r="AB74" s="174"/>
      <c r="AC74" s="173"/>
      <c r="AD74" s="174"/>
      <c r="AE74" s="173"/>
      <c r="AF74" s="172"/>
      <c r="AG74" s="173"/>
      <c r="AH74" s="174"/>
      <c r="AI74" s="173"/>
      <c r="AJ74" s="175"/>
      <c r="AK74" s="173"/>
      <c r="AL74" s="174"/>
      <c r="AM74" s="173"/>
      <c r="AN74" s="174"/>
      <c r="AO74" s="173"/>
      <c r="AP74" s="174"/>
      <c r="AQ74" s="173"/>
      <c r="AR74" s="174"/>
      <c r="AS74" s="173"/>
      <c r="AT74" s="172"/>
      <c r="AU74" s="173"/>
      <c r="AV74" s="174"/>
      <c r="AW74" s="173"/>
      <c r="AX74" s="174"/>
      <c r="AY74" s="173"/>
      <c r="AZ74" s="172"/>
      <c r="BA74" s="173"/>
      <c r="BB74" s="175"/>
      <c r="BC74" s="173"/>
      <c r="BD74" s="172"/>
      <c r="BE74" s="173"/>
      <c r="BF74" s="172"/>
    </row>
    <row r="75" spans="1:58" x14ac:dyDescent="0.2">
      <c r="A75" s="269" t="s">
        <v>194</v>
      </c>
      <c r="B75" s="270">
        <f t="shared" si="18"/>
        <v>0</v>
      </c>
      <c r="C75" s="270">
        <f t="shared" ref="C75:L75" si="26">C25*C$57</f>
        <v>0</v>
      </c>
      <c r="D75" s="270">
        <f t="shared" si="26"/>
        <v>0</v>
      </c>
      <c r="E75" s="270">
        <f t="shared" si="26"/>
        <v>0</v>
      </c>
      <c r="F75" s="270">
        <f t="shared" si="26"/>
        <v>0</v>
      </c>
      <c r="G75" s="271">
        <f t="shared" si="26"/>
        <v>0</v>
      </c>
      <c r="H75" s="271">
        <f t="shared" si="26"/>
        <v>0</v>
      </c>
      <c r="I75" s="270">
        <f t="shared" si="26"/>
        <v>0</v>
      </c>
      <c r="J75" s="270">
        <f t="shared" si="26"/>
        <v>0</v>
      </c>
      <c r="K75" s="271">
        <f t="shared" si="26"/>
        <v>0</v>
      </c>
      <c r="L75" s="311">
        <f t="shared" si="26"/>
        <v>0</v>
      </c>
      <c r="M75" s="230"/>
      <c r="N75" s="231"/>
      <c r="O75" s="174"/>
      <c r="P75" s="173"/>
      <c r="Q75" s="174"/>
      <c r="R75" s="173"/>
      <c r="S75" s="172"/>
      <c r="T75" s="173"/>
      <c r="U75" s="172"/>
      <c r="V75" s="173"/>
      <c r="W75" s="172"/>
      <c r="X75" s="172"/>
      <c r="Y75" s="173"/>
      <c r="Z75" s="174"/>
      <c r="AA75" s="173"/>
      <c r="AB75" s="174"/>
      <c r="AC75" s="173"/>
      <c r="AD75" s="174"/>
      <c r="AE75" s="173"/>
      <c r="AF75" s="172"/>
      <c r="AG75" s="173"/>
      <c r="AH75" s="174"/>
      <c r="AI75" s="173"/>
      <c r="AJ75" s="175"/>
      <c r="AK75" s="173"/>
      <c r="AL75" s="174"/>
      <c r="AM75" s="173"/>
      <c r="AN75" s="174"/>
      <c r="AO75" s="173"/>
      <c r="AP75" s="174"/>
      <c r="AQ75" s="173"/>
      <c r="AR75" s="174"/>
      <c r="AS75" s="173"/>
      <c r="AT75" s="172"/>
      <c r="AU75" s="173"/>
      <c r="AV75" s="174"/>
      <c r="AW75" s="173"/>
      <c r="AX75" s="174"/>
      <c r="AY75" s="173"/>
      <c r="AZ75" s="172"/>
      <c r="BA75" s="173"/>
      <c r="BB75" s="175"/>
      <c r="BC75" s="173"/>
      <c r="BD75" s="172"/>
      <c r="BE75" s="173"/>
      <c r="BF75" s="172"/>
    </row>
    <row r="76" spans="1:58" x14ac:dyDescent="0.2">
      <c r="A76" s="269" t="s">
        <v>195</v>
      </c>
      <c r="B76" s="270">
        <f t="shared" si="18"/>
        <v>0</v>
      </c>
      <c r="C76" s="270">
        <f t="shared" ref="C76:L76" si="27">C26*C$57</f>
        <v>0</v>
      </c>
      <c r="D76" s="270">
        <f t="shared" si="27"/>
        <v>0</v>
      </c>
      <c r="E76" s="270">
        <f t="shared" si="27"/>
        <v>0</v>
      </c>
      <c r="F76" s="270">
        <f t="shared" si="27"/>
        <v>0</v>
      </c>
      <c r="G76" s="271">
        <f t="shared" si="27"/>
        <v>0</v>
      </c>
      <c r="H76" s="271">
        <f t="shared" si="27"/>
        <v>0</v>
      </c>
      <c r="I76" s="270">
        <f t="shared" si="27"/>
        <v>0</v>
      </c>
      <c r="J76" s="270">
        <f t="shared" si="27"/>
        <v>0</v>
      </c>
      <c r="K76" s="271">
        <f t="shared" si="27"/>
        <v>0</v>
      </c>
      <c r="L76" s="311">
        <f t="shared" si="27"/>
        <v>0</v>
      </c>
      <c r="M76" s="230"/>
      <c r="N76" s="231"/>
      <c r="O76" s="174"/>
      <c r="P76" s="173"/>
      <c r="Q76" s="174"/>
      <c r="R76" s="173"/>
      <c r="S76" s="172"/>
      <c r="T76" s="173"/>
      <c r="U76" s="172"/>
      <c r="V76" s="173"/>
      <c r="W76" s="172"/>
      <c r="X76" s="172"/>
      <c r="Y76" s="173"/>
      <c r="Z76" s="174"/>
      <c r="AA76" s="173"/>
      <c r="AB76" s="174"/>
      <c r="AC76" s="173"/>
      <c r="AD76" s="174"/>
      <c r="AE76" s="173"/>
      <c r="AF76" s="172"/>
      <c r="AG76" s="173"/>
      <c r="AH76" s="174"/>
      <c r="AI76" s="173"/>
      <c r="AJ76" s="175"/>
      <c r="AK76" s="173"/>
      <c r="AL76" s="174"/>
      <c r="AM76" s="173"/>
      <c r="AN76" s="174"/>
      <c r="AO76" s="173"/>
      <c r="AP76" s="174"/>
      <c r="AQ76" s="173"/>
      <c r="AR76" s="174"/>
      <c r="AS76" s="173"/>
      <c r="AT76" s="172"/>
      <c r="AU76" s="173"/>
      <c r="AV76" s="174"/>
      <c r="AW76" s="173"/>
      <c r="AX76" s="174"/>
      <c r="AY76" s="173"/>
      <c r="AZ76" s="172"/>
      <c r="BA76" s="173"/>
      <c r="BB76" s="175"/>
      <c r="BC76" s="173"/>
      <c r="BD76" s="172"/>
      <c r="BE76" s="173"/>
      <c r="BF76" s="172"/>
    </row>
    <row r="77" spans="1:58" x14ac:dyDescent="0.2">
      <c r="A77" s="269" t="s">
        <v>196</v>
      </c>
      <c r="B77" s="270">
        <f t="shared" si="18"/>
        <v>0</v>
      </c>
      <c r="C77" s="270">
        <f t="shared" ref="C77:L77" si="28">C27*C$57</f>
        <v>0</v>
      </c>
      <c r="D77" s="270">
        <f t="shared" si="28"/>
        <v>0</v>
      </c>
      <c r="E77" s="270">
        <f t="shared" si="28"/>
        <v>0</v>
      </c>
      <c r="F77" s="270">
        <f t="shared" si="28"/>
        <v>0</v>
      </c>
      <c r="G77" s="271">
        <f t="shared" si="28"/>
        <v>0</v>
      </c>
      <c r="H77" s="271">
        <f t="shared" si="28"/>
        <v>0</v>
      </c>
      <c r="I77" s="270">
        <f t="shared" si="28"/>
        <v>0</v>
      </c>
      <c r="J77" s="270">
        <f t="shared" si="28"/>
        <v>0</v>
      </c>
      <c r="K77" s="271">
        <f t="shared" si="28"/>
        <v>0</v>
      </c>
      <c r="L77" s="311">
        <f t="shared" si="28"/>
        <v>0</v>
      </c>
      <c r="M77" s="230"/>
      <c r="N77" s="231"/>
      <c r="O77" s="174"/>
      <c r="P77" s="173"/>
      <c r="Q77" s="174"/>
      <c r="R77" s="173"/>
      <c r="S77" s="172"/>
      <c r="T77" s="173"/>
      <c r="U77" s="172"/>
      <c r="V77" s="173"/>
      <c r="W77" s="172"/>
      <c r="X77" s="172"/>
      <c r="Y77" s="173"/>
      <c r="Z77" s="174"/>
      <c r="AA77" s="173"/>
      <c r="AB77" s="174"/>
      <c r="AC77" s="173"/>
      <c r="AD77" s="174"/>
      <c r="AE77" s="173"/>
      <c r="AF77" s="172"/>
      <c r="AG77" s="173"/>
      <c r="AH77" s="174"/>
      <c r="AI77" s="173"/>
      <c r="AJ77" s="175"/>
      <c r="AK77" s="173"/>
      <c r="AL77" s="174"/>
      <c r="AM77" s="173"/>
      <c r="AN77" s="174"/>
      <c r="AO77" s="173"/>
      <c r="AP77" s="174"/>
      <c r="AQ77" s="173"/>
      <c r="AR77" s="174"/>
      <c r="AS77" s="173"/>
      <c r="AT77" s="172"/>
      <c r="AU77" s="173"/>
      <c r="AV77" s="174"/>
      <c r="AW77" s="173"/>
      <c r="AX77" s="174"/>
      <c r="AY77" s="173"/>
      <c r="AZ77" s="172"/>
      <c r="BA77" s="173"/>
      <c r="BB77" s="175"/>
      <c r="BC77" s="173"/>
      <c r="BD77" s="172"/>
      <c r="BE77" s="173"/>
      <c r="BF77" s="172"/>
    </row>
    <row r="78" spans="1:58" x14ac:dyDescent="0.2">
      <c r="A78" s="269" t="s">
        <v>197</v>
      </c>
      <c r="B78" s="270">
        <f t="shared" si="18"/>
        <v>0</v>
      </c>
      <c r="C78" s="270">
        <f t="shared" ref="C78:L78" si="29">C28*C$57</f>
        <v>0</v>
      </c>
      <c r="D78" s="270">
        <f t="shared" si="29"/>
        <v>0</v>
      </c>
      <c r="E78" s="270">
        <f t="shared" si="29"/>
        <v>0</v>
      </c>
      <c r="F78" s="270">
        <f t="shared" si="29"/>
        <v>0</v>
      </c>
      <c r="G78" s="271">
        <f t="shared" si="29"/>
        <v>0</v>
      </c>
      <c r="H78" s="271">
        <f t="shared" si="29"/>
        <v>0</v>
      </c>
      <c r="I78" s="270">
        <f t="shared" si="29"/>
        <v>0</v>
      </c>
      <c r="J78" s="270">
        <f t="shared" si="29"/>
        <v>0</v>
      </c>
      <c r="K78" s="271">
        <f t="shared" si="29"/>
        <v>0</v>
      </c>
      <c r="L78" s="311">
        <f t="shared" si="29"/>
        <v>0</v>
      </c>
      <c r="M78" s="230"/>
      <c r="N78" s="231"/>
      <c r="O78" s="174"/>
      <c r="P78" s="173"/>
      <c r="Q78" s="174"/>
      <c r="R78" s="173"/>
      <c r="S78" s="172"/>
      <c r="T78" s="173"/>
      <c r="U78" s="172"/>
      <c r="V78" s="173"/>
      <c r="W78" s="172"/>
      <c r="X78" s="172"/>
      <c r="Y78" s="173"/>
      <c r="Z78" s="174"/>
      <c r="AA78" s="173"/>
      <c r="AB78" s="174"/>
      <c r="AC78" s="173"/>
      <c r="AD78" s="174"/>
      <c r="AE78" s="173"/>
      <c r="AF78" s="172"/>
      <c r="AG78" s="173"/>
      <c r="AH78" s="174"/>
      <c r="AI78" s="173"/>
      <c r="AJ78" s="175"/>
      <c r="AK78" s="173"/>
      <c r="AL78" s="174"/>
      <c r="AM78" s="173"/>
      <c r="AN78" s="174"/>
      <c r="AO78" s="173"/>
      <c r="AP78" s="174"/>
      <c r="AQ78" s="173"/>
      <c r="AR78" s="174"/>
      <c r="AS78" s="173"/>
      <c r="AT78" s="172"/>
      <c r="AU78" s="173"/>
      <c r="AV78" s="174"/>
      <c r="AW78" s="173"/>
      <c r="AX78" s="174"/>
      <c r="AY78" s="173"/>
      <c r="AZ78" s="172"/>
      <c r="BA78" s="173"/>
      <c r="BB78" s="175"/>
      <c r="BC78" s="173"/>
      <c r="BD78" s="172"/>
      <c r="BE78" s="173"/>
      <c r="BF78" s="172"/>
    </row>
    <row r="79" spans="1:58" x14ac:dyDescent="0.2">
      <c r="A79" s="269" t="s">
        <v>198</v>
      </c>
      <c r="B79" s="270">
        <f t="shared" si="18"/>
        <v>0</v>
      </c>
      <c r="C79" s="270">
        <f t="shared" ref="C79:L79" si="30">C29*C$57</f>
        <v>0</v>
      </c>
      <c r="D79" s="270">
        <f t="shared" si="30"/>
        <v>0</v>
      </c>
      <c r="E79" s="270">
        <f t="shared" si="30"/>
        <v>0</v>
      </c>
      <c r="F79" s="270">
        <f t="shared" si="30"/>
        <v>0</v>
      </c>
      <c r="G79" s="271">
        <f t="shared" si="30"/>
        <v>0</v>
      </c>
      <c r="H79" s="271">
        <f t="shared" si="30"/>
        <v>0</v>
      </c>
      <c r="I79" s="270">
        <f t="shared" si="30"/>
        <v>0</v>
      </c>
      <c r="J79" s="270">
        <f t="shared" si="30"/>
        <v>0</v>
      </c>
      <c r="K79" s="271">
        <f t="shared" si="30"/>
        <v>0</v>
      </c>
      <c r="L79" s="311">
        <f t="shared" si="30"/>
        <v>0</v>
      </c>
      <c r="M79" s="230"/>
      <c r="N79" s="231"/>
      <c r="O79" s="174"/>
      <c r="P79" s="173"/>
      <c r="Q79" s="174"/>
      <c r="R79" s="173"/>
      <c r="S79" s="172"/>
      <c r="T79" s="173"/>
      <c r="U79" s="172"/>
      <c r="V79" s="173"/>
      <c r="W79" s="172"/>
      <c r="X79" s="172"/>
      <c r="Y79" s="173"/>
      <c r="Z79" s="174"/>
      <c r="AA79" s="173"/>
      <c r="AB79" s="174"/>
      <c r="AC79" s="173"/>
      <c r="AD79" s="174"/>
      <c r="AE79" s="173"/>
      <c r="AF79" s="172"/>
      <c r="AG79" s="173"/>
      <c r="AH79" s="174"/>
      <c r="AI79" s="173"/>
      <c r="AJ79" s="175"/>
      <c r="AK79" s="173"/>
      <c r="AL79" s="174"/>
      <c r="AM79" s="173"/>
      <c r="AN79" s="174"/>
      <c r="AO79" s="173"/>
      <c r="AP79" s="174"/>
      <c r="AQ79" s="173"/>
      <c r="AR79" s="174"/>
      <c r="AS79" s="173"/>
      <c r="AT79" s="172"/>
      <c r="AU79" s="173"/>
      <c r="AV79" s="174"/>
      <c r="AW79" s="173"/>
      <c r="AX79" s="174"/>
      <c r="AY79" s="173"/>
      <c r="AZ79" s="172"/>
      <c r="BA79" s="173"/>
      <c r="BB79" s="175"/>
      <c r="BC79" s="173"/>
      <c r="BD79" s="172"/>
      <c r="BE79" s="173"/>
      <c r="BF79" s="172"/>
    </row>
    <row r="80" spans="1:58" x14ac:dyDescent="0.2">
      <c r="A80" s="269" t="s">
        <v>199</v>
      </c>
      <c r="B80" s="270">
        <f t="shared" si="18"/>
        <v>0</v>
      </c>
      <c r="C80" s="270">
        <f t="shared" ref="C80:L80" si="31">C30*C$57</f>
        <v>0</v>
      </c>
      <c r="D80" s="270">
        <f t="shared" si="31"/>
        <v>0</v>
      </c>
      <c r="E80" s="270">
        <f t="shared" si="31"/>
        <v>0</v>
      </c>
      <c r="F80" s="270">
        <f t="shared" si="31"/>
        <v>0</v>
      </c>
      <c r="G80" s="271">
        <f t="shared" si="31"/>
        <v>0</v>
      </c>
      <c r="H80" s="271">
        <f t="shared" si="31"/>
        <v>0</v>
      </c>
      <c r="I80" s="270">
        <f t="shared" si="31"/>
        <v>0</v>
      </c>
      <c r="J80" s="270">
        <f t="shared" si="31"/>
        <v>0</v>
      </c>
      <c r="K80" s="271">
        <f t="shared" si="31"/>
        <v>0</v>
      </c>
      <c r="L80" s="311">
        <f t="shared" si="31"/>
        <v>0</v>
      </c>
      <c r="M80" s="230"/>
      <c r="N80" s="231"/>
      <c r="O80" s="174"/>
      <c r="P80" s="173"/>
      <c r="Q80" s="174"/>
      <c r="R80" s="173"/>
      <c r="S80" s="172"/>
      <c r="T80" s="173"/>
      <c r="U80" s="172"/>
      <c r="V80" s="173"/>
      <c r="W80" s="172"/>
      <c r="X80" s="172"/>
      <c r="Y80" s="173"/>
      <c r="Z80" s="174"/>
      <c r="AA80" s="173"/>
      <c r="AB80" s="174"/>
      <c r="AC80" s="173"/>
      <c r="AD80" s="174"/>
      <c r="AE80" s="173"/>
      <c r="AF80" s="172"/>
      <c r="AG80" s="173"/>
      <c r="AH80" s="174"/>
      <c r="AI80" s="173"/>
      <c r="AJ80" s="175"/>
      <c r="AK80" s="173"/>
      <c r="AL80" s="174"/>
      <c r="AM80" s="173"/>
      <c r="AN80" s="174"/>
      <c r="AO80" s="173"/>
      <c r="AP80" s="174"/>
      <c r="AQ80" s="173"/>
      <c r="AR80" s="174"/>
      <c r="AS80" s="173"/>
      <c r="AT80" s="172"/>
      <c r="AU80" s="173"/>
      <c r="AV80" s="174"/>
      <c r="AW80" s="173"/>
      <c r="AX80" s="174"/>
      <c r="AY80" s="173"/>
      <c r="AZ80" s="172"/>
      <c r="BA80" s="173"/>
      <c r="BB80" s="175"/>
      <c r="BC80" s="173"/>
      <c r="BD80" s="172"/>
      <c r="BE80" s="173"/>
      <c r="BF80" s="172"/>
    </row>
    <row r="81" spans="1:58" x14ac:dyDescent="0.2">
      <c r="A81" s="269" t="s">
        <v>200</v>
      </c>
      <c r="B81" s="270">
        <f t="shared" si="18"/>
        <v>0</v>
      </c>
      <c r="C81" s="270">
        <f t="shared" ref="C81:L81" si="32">C31*C$57</f>
        <v>0</v>
      </c>
      <c r="D81" s="270">
        <f t="shared" si="32"/>
        <v>0</v>
      </c>
      <c r="E81" s="270">
        <f t="shared" si="32"/>
        <v>0</v>
      </c>
      <c r="F81" s="270">
        <f t="shared" si="32"/>
        <v>0</v>
      </c>
      <c r="G81" s="271">
        <f t="shared" si="32"/>
        <v>0</v>
      </c>
      <c r="H81" s="271">
        <f t="shared" si="32"/>
        <v>0</v>
      </c>
      <c r="I81" s="270">
        <f t="shared" si="32"/>
        <v>0</v>
      </c>
      <c r="J81" s="270">
        <f t="shared" si="32"/>
        <v>0</v>
      </c>
      <c r="K81" s="271">
        <f t="shared" si="32"/>
        <v>0</v>
      </c>
      <c r="L81" s="311">
        <f t="shared" si="32"/>
        <v>0</v>
      </c>
      <c r="M81" s="230"/>
      <c r="N81" s="231"/>
      <c r="O81" s="174"/>
      <c r="P81" s="173"/>
      <c r="Q81" s="174"/>
      <c r="R81" s="173"/>
      <c r="S81" s="172"/>
      <c r="T81" s="173"/>
      <c r="U81" s="172"/>
      <c r="V81" s="173"/>
      <c r="W81" s="172"/>
      <c r="X81" s="172"/>
      <c r="Y81" s="173"/>
      <c r="Z81" s="174"/>
      <c r="AA81" s="173"/>
      <c r="AB81" s="174"/>
      <c r="AC81" s="173"/>
      <c r="AD81" s="174"/>
      <c r="AE81" s="173"/>
      <c r="AF81" s="172"/>
      <c r="AG81" s="173"/>
      <c r="AH81" s="174"/>
      <c r="AI81" s="173"/>
      <c r="AJ81" s="175"/>
      <c r="AK81" s="173"/>
      <c r="AL81" s="174"/>
      <c r="AM81" s="173"/>
      <c r="AN81" s="174"/>
      <c r="AO81" s="173"/>
      <c r="AP81" s="174"/>
      <c r="AQ81" s="173"/>
      <c r="AR81" s="174"/>
      <c r="AS81" s="173"/>
      <c r="AT81" s="172"/>
      <c r="AU81" s="173"/>
      <c r="AV81" s="174"/>
      <c r="AW81" s="173"/>
      <c r="AX81" s="174"/>
      <c r="AY81" s="173"/>
      <c r="AZ81" s="172"/>
      <c r="BA81" s="173"/>
      <c r="BB81" s="175"/>
      <c r="BC81" s="173"/>
      <c r="BD81" s="172"/>
      <c r="BE81" s="173"/>
      <c r="BF81" s="172"/>
    </row>
    <row r="82" spans="1:58" x14ac:dyDescent="0.2">
      <c r="A82" s="269" t="s">
        <v>201</v>
      </c>
      <c r="B82" s="270">
        <f t="shared" si="18"/>
        <v>0</v>
      </c>
      <c r="C82" s="270">
        <f t="shared" ref="C82:L82" si="33">C32*C$57</f>
        <v>0</v>
      </c>
      <c r="D82" s="270">
        <f t="shared" si="33"/>
        <v>0</v>
      </c>
      <c r="E82" s="270">
        <f t="shared" si="33"/>
        <v>0</v>
      </c>
      <c r="F82" s="270">
        <f t="shared" si="33"/>
        <v>0</v>
      </c>
      <c r="G82" s="271">
        <f t="shared" si="33"/>
        <v>0</v>
      </c>
      <c r="H82" s="271">
        <f t="shared" si="33"/>
        <v>0</v>
      </c>
      <c r="I82" s="270">
        <f t="shared" si="33"/>
        <v>0</v>
      </c>
      <c r="J82" s="270">
        <f t="shared" si="33"/>
        <v>0</v>
      </c>
      <c r="K82" s="271">
        <f t="shared" si="33"/>
        <v>0</v>
      </c>
      <c r="L82" s="311">
        <f t="shared" si="33"/>
        <v>0</v>
      </c>
      <c r="M82" s="230"/>
      <c r="N82" s="231"/>
      <c r="O82" s="174"/>
      <c r="P82" s="173"/>
      <c r="Q82" s="174"/>
      <c r="R82" s="173"/>
      <c r="S82" s="172"/>
      <c r="T82" s="173"/>
      <c r="U82" s="172"/>
      <c r="V82" s="173"/>
      <c r="W82" s="172"/>
      <c r="X82" s="172"/>
      <c r="Y82" s="173"/>
      <c r="Z82" s="174"/>
      <c r="AA82" s="173"/>
      <c r="AB82" s="174"/>
      <c r="AC82" s="173"/>
      <c r="AD82" s="174"/>
      <c r="AE82" s="173"/>
      <c r="AF82" s="172"/>
      <c r="AG82" s="173"/>
      <c r="AH82" s="174"/>
      <c r="AI82" s="173"/>
      <c r="AJ82" s="175"/>
      <c r="AK82" s="173"/>
      <c r="AL82" s="174"/>
      <c r="AM82" s="173"/>
      <c r="AN82" s="174"/>
      <c r="AO82" s="173"/>
      <c r="AP82" s="174"/>
      <c r="AQ82" s="173"/>
      <c r="AR82" s="174"/>
      <c r="AS82" s="173"/>
      <c r="AT82" s="172"/>
      <c r="AU82" s="173"/>
      <c r="AV82" s="174"/>
      <c r="AW82" s="173"/>
      <c r="AX82" s="174"/>
      <c r="AY82" s="173"/>
      <c r="AZ82" s="172"/>
      <c r="BA82" s="173"/>
      <c r="BB82" s="175"/>
      <c r="BC82" s="173"/>
      <c r="BD82" s="172"/>
      <c r="BE82" s="173"/>
      <c r="BF82" s="172"/>
    </row>
    <row r="83" spans="1:58" ht="13.5" thickBot="1" x14ac:dyDescent="0.25">
      <c r="A83" s="273" t="s">
        <v>202</v>
      </c>
      <c r="B83" s="270">
        <f t="shared" si="18"/>
        <v>0</v>
      </c>
      <c r="C83" s="270">
        <f t="shared" ref="C83:L83" si="34">C33*C$57</f>
        <v>0</v>
      </c>
      <c r="D83" s="270">
        <f t="shared" si="34"/>
        <v>0</v>
      </c>
      <c r="E83" s="270">
        <f t="shared" si="34"/>
        <v>0</v>
      </c>
      <c r="F83" s="270">
        <f t="shared" si="34"/>
        <v>0</v>
      </c>
      <c r="G83" s="271">
        <f t="shared" si="34"/>
        <v>0</v>
      </c>
      <c r="H83" s="271">
        <f t="shared" si="34"/>
        <v>0</v>
      </c>
      <c r="I83" s="270">
        <f t="shared" si="34"/>
        <v>0</v>
      </c>
      <c r="J83" s="270">
        <f t="shared" si="34"/>
        <v>0</v>
      </c>
      <c r="K83" s="314">
        <f t="shared" si="34"/>
        <v>0</v>
      </c>
      <c r="L83" s="311">
        <f t="shared" si="34"/>
        <v>0</v>
      </c>
      <c r="M83" s="230"/>
      <c r="N83" s="231"/>
      <c r="O83" s="174"/>
      <c r="P83" s="173"/>
      <c r="Q83" s="174"/>
      <c r="R83" s="173"/>
      <c r="S83" s="172"/>
      <c r="T83" s="173"/>
      <c r="U83" s="172"/>
      <c r="V83" s="173"/>
      <c r="W83" s="172"/>
      <c r="X83" s="172"/>
      <c r="Y83" s="173"/>
      <c r="Z83" s="174"/>
      <c r="AA83" s="173"/>
      <c r="AB83" s="174"/>
      <c r="AC83" s="173"/>
      <c r="AD83" s="174"/>
      <c r="AE83" s="173"/>
      <c r="AF83" s="172"/>
      <c r="AG83" s="173"/>
      <c r="AH83" s="174"/>
      <c r="AI83" s="173"/>
      <c r="AJ83" s="175"/>
      <c r="AK83" s="173"/>
      <c r="AL83" s="174"/>
      <c r="AM83" s="173"/>
      <c r="AN83" s="174"/>
      <c r="AO83" s="173"/>
      <c r="AP83" s="174"/>
      <c r="AQ83" s="173"/>
      <c r="AR83" s="174"/>
      <c r="AS83" s="173"/>
      <c r="AT83" s="172"/>
      <c r="AU83" s="173"/>
      <c r="AV83" s="174"/>
      <c r="AW83" s="173"/>
      <c r="AX83" s="174"/>
      <c r="AY83" s="173"/>
      <c r="AZ83" s="172"/>
      <c r="BA83" s="173"/>
      <c r="BB83" s="175"/>
      <c r="BC83" s="173"/>
      <c r="BD83" s="172"/>
      <c r="BE83" s="173"/>
      <c r="BF83" s="172"/>
    </row>
    <row r="84" spans="1:58" ht="13.5" thickBot="1" x14ac:dyDescent="0.25">
      <c r="A84" s="274" t="s">
        <v>186</v>
      </c>
      <c r="B84" s="264">
        <f>SUM(B59:B83)</f>
        <v>0</v>
      </c>
      <c r="C84" s="264">
        <f>SUM(C59:C83)</f>
        <v>0</v>
      </c>
      <c r="D84" s="264">
        <f t="shared" ref="D84:J84" si="35">SUM(D59:D83)</f>
        <v>0</v>
      </c>
      <c r="E84" s="264">
        <f t="shared" si="35"/>
        <v>0</v>
      </c>
      <c r="F84" s="264">
        <f t="shared" si="35"/>
        <v>0</v>
      </c>
      <c r="G84" s="264">
        <f t="shared" si="35"/>
        <v>0</v>
      </c>
      <c r="H84" s="264">
        <f t="shared" si="35"/>
        <v>0</v>
      </c>
      <c r="I84" s="264">
        <f t="shared" si="35"/>
        <v>0</v>
      </c>
      <c r="J84" s="264">
        <f t="shared" si="35"/>
        <v>0</v>
      </c>
      <c r="K84" s="264">
        <f>SUM(K59:K83)</f>
        <v>0</v>
      </c>
      <c r="L84" s="312">
        <f>SUM(L59:L83)</f>
        <v>0</v>
      </c>
      <c r="M84" s="230"/>
      <c r="N84" s="231"/>
      <c r="O84" s="174"/>
      <c r="P84" s="173"/>
      <c r="Q84" s="174"/>
      <c r="R84" s="173"/>
      <c r="S84" s="172"/>
      <c r="T84" s="173"/>
      <c r="U84" s="172"/>
      <c r="V84" s="173"/>
      <c r="W84" s="172"/>
      <c r="X84" s="172"/>
      <c r="Y84" s="173"/>
      <c r="Z84" s="174"/>
      <c r="AA84" s="173"/>
      <c r="AB84" s="174"/>
      <c r="AC84" s="173"/>
      <c r="AD84" s="174"/>
      <c r="AE84" s="173"/>
      <c r="AF84" s="172"/>
      <c r="AG84" s="173"/>
      <c r="AH84" s="174"/>
      <c r="AI84" s="173"/>
      <c r="AJ84" s="175"/>
      <c r="AK84" s="173"/>
      <c r="AL84" s="174"/>
      <c r="AM84" s="173"/>
      <c r="AN84" s="174"/>
      <c r="AO84" s="173"/>
      <c r="AP84" s="174"/>
      <c r="AQ84" s="173"/>
      <c r="AR84" s="174"/>
      <c r="AS84" s="173"/>
      <c r="AT84" s="172"/>
      <c r="AU84" s="173"/>
      <c r="AV84" s="174"/>
      <c r="AW84" s="173"/>
      <c r="AX84" s="174"/>
      <c r="AY84" s="173"/>
      <c r="AZ84" s="172"/>
      <c r="BA84" s="173"/>
      <c r="BB84" s="175"/>
      <c r="BC84" s="173"/>
      <c r="BD84" s="172"/>
      <c r="BE84" s="173"/>
      <c r="BF84" s="172"/>
    </row>
    <row r="85" spans="1:58" x14ac:dyDescent="0.2">
      <c r="A85" s="78" t="s">
        <v>63</v>
      </c>
      <c r="B85" s="230"/>
      <c r="C85" s="230"/>
      <c r="D85" s="230"/>
      <c r="E85" s="230"/>
      <c r="F85" s="230"/>
      <c r="G85" s="230"/>
      <c r="H85" s="230"/>
      <c r="I85" s="229"/>
      <c r="J85" s="230"/>
      <c r="K85" s="230"/>
      <c r="L85" s="230"/>
      <c r="M85" s="230"/>
      <c r="N85" s="231"/>
      <c r="O85" s="174"/>
      <c r="P85" s="173"/>
      <c r="Q85" s="174"/>
      <c r="R85" s="173"/>
      <c r="S85" s="172"/>
      <c r="T85" s="173"/>
      <c r="U85" s="172"/>
      <c r="V85" s="173"/>
      <c r="W85" s="172"/>
      <c r="X85" s="172"/>
      <c r="Y85" s="173"/>
      <c r="Z85" s="174"/>
      <c r="AA85" s="173"/>
      <c r="AB85" s="174"/>
      <c r="AC85" s="173"/>
      <c r="AD85" s="174"/>
      <c r="AE85" s="173"/>
      <c r="AF85" s="172"/>
      <c r="AG85" s="173"/>
      <c r="AH85" s="174"/>
      <c r="AI85" s="173"/>
      <c r="AJ85" s="175"/>
      <c r="AK85" s="173"/>
      <c r="AL85" s="174"/>
      <c r="AM85" s="173"/>
      <c r="AN85" s="174"/>
      <c r="AO85" s="173"/>
      <c r="AP85" s="174"/>
      <c r="AQ85" s="173"/>
      <c r="AR85" s="174"/>
      <c r="AS85" s="173"/>
      <c r="AT85" s="172"/>
      <c r="AU85" s="173"/>
      <c r="AV85" s="174"/>
      <c r="AW85" s="173"/>
      <c r="AX85" s="174"/>
      <c r="AY85" s="173"/>
      <c r="AZ85" s="172"/>
      <c r="BA85" s="173"/>
      <c r="BB85" s="175"/>
      <c r="BC85" s="173"/>
      <c r="BD85" s="172"/>
      <c r="BE85" s="173"/>
      <c r="BF85" s="172"/>
    </row>
    <row r="86" spans="1:58" x14ac:dyDescent="0.2">
      <c r="A86" s="78" t="s">
        <v>187</v>
      </c>
      <c r="B86" s="230"/>
      <c r="C86" s="230"/>
      <c r="D86" s="230"/>
      <c r="E86" s="230"/>
      <c r="F86" s="230"/>
      <c r="G86" s="230"/>
      <c r="H86" s="230"/>
      <c r="I86" s="229"/>
      <c r="J86" s="230"/>
      <c r="K86" s="230"/>
      <c r="L86" s="230"/>
      <c r="M86" s="230"/>
      <c r="N86" s="231"/>
      <c r="O86" s="174"/>
      <c r="P86" s="173"/>
      <c r="Q86" s="174"/>
      <c r="R86" s="173"/>
      <c r="S86" s="172"/>
      <c r="T86" s="173"/>
      <c r="U86" s="172"/>
      <c r="V86" s="173"/>
      <c r="W86" s="172"/>
      <c r="X86" s="172"/>
      <c r="Y86" s="173"/>
      <c r="Z86" s="174"/>
      <c r="AA86" s="173"/>
      <c r="AB86" s="174"/>
      <c r="AC86" s="173"/>
      <c r="AD86" s="174"/>
      <c r="AE86" s="173"/>
      <c r="AF86" s="172"/>
      <c r="AG86" s="173"/>
      <c r="AH86" s="174"/>
      <c r="AI86" s="173"/>
      <c r="AJ86" s="175"/>
      <c r="AK86" s="173"/>
      <c r="AL86" s="174"/>
      <c r="AM86" s="173"/>
      <c r="AN86" s="174"/>
      <c r="AO86" s="173"/>
      <c r="AP86" s="174"/>
      <c r="AQ86" s="173"/>
      <c r="AR86" s="174"/>
      <c r="AS86" s="173"/>
      <c r="AT86" s="172"/>
      <c r="AU86" s="173"/>
      <c r="AV86" s="174"/>
      <c r="AW86" s="173"/>
      <c r="AX86" s="174"/>
      <c r="AY86" s="173"/>
      <c r="AZ86" s="172"/>
      <c r="BA86" s="173"/>
      <c r="BB86" s="175"/>
      <c r="BC86" s="173"/>
      <c r="BD86" s="172"/>
      <c r="BE86" s="173"/>
      <c r="BF86" s="172"/>
    </row>
    <row r="87" spans="1:58" x14ac:dyDescent="0.2">
      <c r="A87" s="81" t="s">
        <v>188</v>
      </c>
      <c r="B87" s="230"/>
      <c r="C87" s="230"/>
      <c r="D87" s="230"/>
      <c r="E87" s="230"/>
      <c r="F87" s="230"/>
      <c r="G87" s="230"/>
      <c r="H87" s="230"/>
      <c r="I87" s="229"/>
      <c r="J87" s="230"/>
      <c r="K87" s="230"/>
      <c r="L87" s="230"/>
      <c r="M87" s="230"/>
      <c r="N87" s="231"/>
      <c r="O87" s="174"/>
      <c r="P87" s="173"/>
      <c r="Q87" s="174"/>
      <c r="R87" s="173"/>
      <c r="S87" s="172"/>
      <c r="T87" s="173"/>
      <c r="U87" s="172"/>
      <c r="V87" s="173"/>
      <c r="W87" s="172"/>
      <c r="X87" s="172"/>
      <c r="Y87" s="173"/>
      <c r="Z87" s="174"/>
      <c r="AA87" s="173"/>
      <c r="AB87" s="174"/>
      <c r="AC87" s="173"/>
      <c r="AD87" s="174"/>
      <c r="AE87" s="173"/>
      <c r="AF87" s="172"/>
      <c r="AG87" s="173"/>
      <c r="AH87" s="174"/>
      <c r="AI87" s="173"/>
      <c r="AJ87" s="175"/>
      <c r="AK87" s="173"/>
      <c r="AL87" s="174"/>
      <c r="AM87" s="173"/>
      <c r="AN87" s="174"/>
      <c r="AO87" s="173"/>
      <c r="AP87" s="174"/>
      <c r="AQ87" s="173"/>
      <c r="AR87" s="174"/>
      <c r="AS87" s="173"/>
      <c r="AT87" s="172"/>
      <c r="AU87" s="173"/>
      <c r="AV87" s="174"/>
      <c r="AW87" s="173"/>
      <c r="AX87" s="174"/>
      <c r="AY87" s="173"/>
      <c r="AZ87" s="172"/>
      <c r="BA87" s="173"/>
      <c r="BB87" s="175"/>
      <c r="BC87" s="173"/>
      <c r="BD87" s="172"/>
      <c r="BE87" s="173"/>
      <c r="BF87" s="172"/>
    </row>
    <row r="88" spans="1:58" x14ac:dyDescent="0.2">
      <c r="A88" s="81" t="s">
        <v>189</v>
      </c>
      <c r="B88" s="230"/>
      <c r="C88" s="230"/>
      <c r="D88" s="230"/>
      <c r="E88" s="230"/>
      <c r="F88" s="230"/>
      <c r="G88" s="230"/>
      <c r="H88" s="230"/>
      <c r="I88" s="229"/>
      <c r="J88" s="230"/>
      <c r="K88" s="230"/>
      <c r="L88" s="230"/>
      <c r="M88" s="230"/>
      <c r="N88" s="231"/>
      <c r="O88" s="174"/>
      <c r="P88" s="173"/>
      <c r="Q88" s="174"/>
      <c r="R88" s="173"/>
      <c r="S88" s="172"/>
      <c r="T88" s="173"/>
      <c r="U88" s="172"/>
      <c r="V88" s="173"/>
      <c r="W88" s="172"/>
      <c r="X88" s="172"/>
      <c r="Y88" s="173"/>
      <c r="Z88" s="174"/>
      <c r="AA88" s="173"/>
      <c r="AB88" s="174"/>
      <c r="AC88" s="173"/>
      <c r="AD88" s="174"/>
      <c r="AE88" s="173"/>
      <c r="AF88" s="172"/>
      <c r="AG88" s="173"/>
      <c r="AH88" s="174"/>
      <c r="AI88" s="173"/>
      <c r="AJ88" s="175"/>
      <c r="AK88" s="173"/>
      <c r="AL88" s="174"/>
      <c r="AM88" s="173"/>
      <c r="AN88" s="174"/>
      <c r="AO88" s="173"/>
      <c r="AP88" s="174"/>
      <c r="AQ88" s="173"/>
      <c r="AR88" s="174"/>
      <c r="AS88" s="173"/>
      <c r="AT88" s="172"/>
      <c r="AU88" s="173"/>
      <c r="AV88" s="174"/>
      <c r="AW88" s="173"/>
      <c r="AX88" s="174"/>
      <c r="AY88" s="173"/>
      <c r="AZ88" s="172"/>
      <c r="BA88" s="173"/>
      <c r="BB88" s="175"/>
      <c r="BC88" s="173"/>
      <c r="BD88" s="172"/>
      <c r="BE88" s="173"/>
      <c r="BF88" s="172"/>
    </row>
    <row r="89" spans="1:58" x14ac:dyDescent="0.2">
      <c r="A89" s="81" t="s">
        <v>190</v>
      </c>
      <c r="B89" s="230"/>
      <c r="C89" s="230"/>
      <c r="D89" s="230"/>
      <c r="E89" s="230"/>
      <c r="F89" s="230"/>
      <c r="G89" s="230"/>
      <c r="H89" s="230"/>
      <c r="I89" s="229"/>
      <c r="J89" s="230"/>
      <c r="K89" s="230"/>
      <c r="L89" s="230"/>
      <c r="M89" s="230"/>
      <c r="N89" s="231"/>
      <c r="O89" s="174"/>
      <c r="P89" s="173"/>
      <c r="Q89" s="174"/>
      <c r="R89" s="173"/>
      <c r="S89" s="172"/>
      <c r="T89" s="173"/>
      <c r="U89" s="172"/>
      <c r="V89" s="173"/>
      <c r="W89" s="172"/>
      <c r="X89" s="172"/>
      <c r="Y89" s="173"/>
      <c r="Z89" s="174"/>
      <c r="AA89" s="173"/>
      <c r="AB89" s="174"/>
      <c r="AC89" s="173"/>
      <c r="AD89" s="174"/>
      <c r="AE89" s="173"/>
      <c r="AF89" s="172"/>
      <c r="AG89" s="173"/>
      <c r="AH89" s="174"/>
      <c r="AI89" s="173"/>
      <c r="AJ89" s="175"/>
      <c r="AK89" s="173"/>
      <c r="AL89" s="174"/>
      <c r="AM89" s="173"/>
      <c r="AN89" s="174"/>
      <c r="AO89" s="173"/>
      <c r="AP89" s="174"/>
      <c r="AQ89" s="173"/>
      <c r="AR89" s="174"/>
      <c r="AS89" s="173"/>
      <c r="AT89" s="172"/>
      <c r="AU89" s="173"/>
      <c r="AV89" s="174"/>
      <c r="AW89" s="173"/>
      <c r="AX89" s="174"/>
      <c r="AY89" s="173"/>
      <c r="AZ89" s="172"/>
      <c r="BA89" s="173"/>
      <c r="BB89" s="175"/>
      <c r="BC89" s="173"/>
      <c r="BD89" s="172"/>
      <c r="BE89" s="173"/>
      <c r="BF89" s="172"/>
    </row>
    <row r="90" spans="1:58" ht="13.5" thickBot="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row>
    <row r="91" spans="1:58" ht="16.5" thickBot="1" x14ac:dyDescent="0.3">
      <c r="A91" s="111" t="s">
        <v>55</v>
      </c>
      <c r="B91" s="11"/>
      <c r="C91" s="11"/>
      <c r="D91" s="11"/>
      <c r="E91" s="11"/>
      <c r="F91" s="11"/>
      <c r="G91" s="11"/>
      <c r="H91" s="11"/>
      <c r="I91" s="11"/>
      <c r="J91" s="11"/>
      <c r="K91" s="11"/>
      <c r="L91" s="11"/>
      <c r="M91" s="11"/>
      <c r="N91" s="11"/>
      <c r="O91" s="11"/>
      <c r="P91" s="11"/>
      <c r="Q91" s="11"/>
      <c r="R91" s="11"/>
      <c r="S91" s="11"/>
      <c r="T91" s="11"/>
      <c r="U91" s="11"/>
      <c r="V91" s="11"/>
      <c r="W91" s="11"/>
      <c r="X91" s="11"/>
      <c r="Y91" s="11"/>
    </row>
    <row r="92" spans="1:58" ht="77.25" thickBot="1" x14ac:dyDescent="0.25">
      <c r="A92" s="139" t="s">
        <v>2</v>
      </c>
      <c r="B92" s="198" t="s">
        <v>69</v>
      </c>
      <c r="C92" s="199" t="s">
        <v>85</v>
      </c>
      <c r="D92" s="15"/>
      <c r="E92" s="11"/>
      <c r="F92" s="11"/>
      <c r="G92" s="11"/>
      <c r="H92" s="11"/>
      <c r="I92" s="11"/>
      <c r="J92" s="11"/>
      <c r="K92" s="11"/>
      <c r="L92" s="11"/>
      <c r="M92" s="11"/>
      <c r="N92" s="11"/>
      <c r="O92" s="11"/>
      <c r="P92" s="11"/>
      <c r="Q92" s="11"/>
      <c r="R92" s="11"/>
      <c r="S92" s="11"/>
      <c r="T92" s="11"/>
      <c r="U92" s="11"/>
      <c r="V92" s="11"/>
      <c r="W92" s="11"/>
      <c r="X92" s="11"/>
      <c r="Y92" s="11"/>
    </row>
    <row r="93" spans="1:58" x14ac:dyDescent="0.2">
      <c r="A93" s="202" t="s">
        <v>26</v>
      </c>
      <c r="B93" s="232">
        <f>B50*B57</f>
        <v>0</v>
      </c>
      <c r="C93" s="182">
        <f>B84</f>
        <v>0</v>
      </c>
      <c r="D93" s="11"/>
      <c r="E93" s="11"/>
      <c r="F93" s="11"/>
      <c r="G93" s="11"/>
      <c r="H93" s="11"/>
      <c r="I93" s="11"/>
      <c r="J93" s="11"/>
      <c r="K93" s="11"/>
      <c r="L93" s="11"/>
      <c r="M93" s="11"/>
      <c r="N93" s="11"/>
      <c r="O93" s="11"/>
      <c r="P93" s="11"/>
      <c r="Q93" s="11"/>
      <c r="R93" s="11"/>
      <c r="S93" s="11"/>
      <c r="T93" s="11"/>
      <c r="U93" s="11"/>
      <c r="V93" s="11"/>
      <c r="W93" s="11"/>
      <c r="X93" s="11"/>
      <c r="Y93" s="11"/>
    </row>
    <row r="94" spans="1:58" x14ac:dyDescent="0.2">
      <c r="A94" s="29" t="s">
        <v>31</v>
      </c>
      <c r="B94" s="233">
        <f>C48*C57</f>
        <v>0</v>
      </c>
      <c r="C94" s="32">
        <f>C84</f>
        <v>0</v>
      </c>
      <c r="D94" s="19"/>
      <c r="E94" s="11"/>
      <c r="F94" s="11"/>
      <c r="G94" s="11"/>
      <c r="H94" s="11"/>
      <c r="I94" s="11"/>
      <c r="J94" s="11"/>
      <c r="K94" s="11"/>
      <c r="L94" s="11"/>
      <c r="M94" s="11"/>
      <c r="N94" s="11"/>
      <c r="O94" s="11"/>
      <c r="P94" s="11"/>
      <c r="Q94" s="11"/>
      <c r="R94" s="11"/>
      <c r="S94" s="11"/>
      <c r="T94" s="11"/>
      <c r="U94" s="11"/>
      <c r="V94" s="11"/>
      <c r="W94" s="11"/>
      <c r="X94" s="11"/>
      <c r="Y94" s="11"/>
    </row>
    <row r="95" spans="1:58" x14ac:dyDescent="0.2">
      <c r="A95" s="29" t="s">
        <v>4</v>
      </c>
      <c r="B95" s="233">
        <f>D48*D57</f>
        <v>0</v>
      </c>
      <c r="C95" s="32">
        <f>D84</f>
        <v>0</v>
      </c>
      <c r="D95" s="11"/>
      <c r="E95" s="11"/>
      <c r="F95" s="11"/>
      <c r="G95" s="11"/>
      <c r="H95" s="11"/>
      <c r="I95" s="11"/>
      <c r="J95" s="11"/>
      <c r="K95" s="11"/>
      <c r="L95" s="11"/>
      <c r="M95" s="11"/>
      <c r="N95" s="11"/>
      <c r="O95" s="11"/>
      <c r="P95" s="11"/>
      <c r="Q95" s="11"/>
      <c r="R95" s="11"/>
      <c r="S95" s="11"/>
      <c r="T95" s="11"/>
      <c r="U95" s="11"/>
      <c r="V95" s="11"/>
      <c r="W95" s="11"/>
      <c r="X95" s="11"/>
      <c r="Y95" s="11"/>
    </row>
    <row r="96" spans="1:58" x14ac:dyDescent="0.2">
      <c r="A96" s="99" t="s">
        <v>7</v>
      </c>
      <c r="B96" s="233">
        <f>E48*E57</f>
        <v>0</v>
      </c>
      <c r="C96" s="32">
        <f>E84</f>
        <v>0</v>
      </c>
      <c r="D96" s="11"/>
      <c r="E96" s="11"/>
      <c r="F96" s="11"/>
      <c r="G96" s="11"/>
      <c r="H96" s="11"/>
      <c r="I96" s="11"/>
      <c r="J96" s="11"/>
      <c r="K96" s="11"/>
      <c r="L96" s="11"/>
      <c r="M96" s="11"/>
      <c r="N96" s="11"/>
      <c r="O96" s="11"/>
      <c r="P96" s="11"/>
      <c r="Q96" s="11"/>
      <c r="R96" s="11"/>
      <c r="S96" s="11"/>
      <c r="T96" s="11"/>
      <c r="U96" s="11"/>
      <c r="V96" s="11"/>
      <c r="W96" s="11"/>
      <c r="X96" s="11"/>
      <c r="Y96" s="11"/>
    </row>
    <row r="97" spans="1:25" x14ac:dyDescent="0.2">
      <c r="A97" s="99" t="s">
        <v>32</v>
      </c>
      <c r="B97" s="233">
        <f>F48*F57</f>
        <v>0</v>
      </c>
      <c r="C97" s="32">
        <f>F84</f>
        <v>0</v>
      </c>
      <c r="D97" s="11"/>
      <c r="E97" s="11"/>
      <c r="F97" s="11"/>
      <c r="G97" s="11"/>
      <c r="H97" s="11"/>
      <c r="I97" s="11"/>
      <c r="J97" s="11"/>
      <c r="K97" s="11"/>
      <c r="L97" s="11"/>
      <c r="M97" s="11"/>
      <c r="N97" s="11"/>
      <c r="O97" s="11"/>
      <c r="P97" s="11"/>
      <c r="Q97" s="11"/>
      <c r="R97" s="11"/>
      <c r="S97" s="11"/>
      <c r="T97" s="11"/>
      <c r="U97" s="11"/>
      <c r="V97" s="11"/>
      <c r="W97" s="11"/>
      <c r="X97" s="11"/>
      <c r="Y97" s="11"/>
    </row>
    <row r="98" spans="1:25" x14ac:dyDescent="0.2">
      <c r="A98" s="99" t="s">
        <v>33</v>
      </c>
      <c r="B98" s="234">
        <f>G48*G57</f>
        <v>0</v>
      </c>
      <c r="C98" s="32">
        <f>G84</f>
        <v>0</v>
      </c>
      <c r="D98" s="11"/>
      <c r="E98" s="11"/>
      <c r="F98" s="11"/>
      <c r="G98" s="11"/>
      <c r="H98" s="11"/>
      <c r="I98" s="11"/>
      <c r="J98" s="11"/>
      <c r="K98" s="11"/>
      <c r="L98" s="11"/>
      <c r="M98" s="11"/>
      <c r="N98" s="11"/>
      <c r="O98" s="11"/>
      <c r="P98" s="11"/>
      <c r="Q98" s="11"/>
      <c r="R98" s="11"/>
      <c r="S98" s="11"/>
      <c r="T98" s="11"/>
      <c r="U98" s="11"/>
      <c r="V98" s="11"/>
      <c r="W98" s="11"/>
      <c r="X98" s="11"/>
      <c r="Y98" s="11"/>
    </row>
    <row r="99" spans="1:25" x14ac:dyDescent="0.2">
      <c r="A99" s="99" t="s">
        <v>14</v>
      </c>
      <c r="B99" s="234">
        <f>H48*H57</f>
        <v>0</v>
      </c>
      <c r="C99" s="32">
        <f>H84</f>
        <v>0</v>
      </c>
      <c r="D99" s="11"/>
      <c r="E99" s="11"/>
      <c r="F99" s="11"/>
      <c r="G99" s="11"/>
      <c r="H99" s="11"/>
      <c r="I99" s="11"/>
      <c r="J99" s="11"/>
      <c r="K99" s="11"/>
      <c r="L99" s="11"/>
      <c r="M99" s="11"/>
      <c r="N99" s="11"/>
      <c r="O99" s="11"/>
      <c r="P99" s="11"/>
      <c r="Q99" s="11"/>
      <c r="R99" s="11"/>
      <c r="S99" s="11"/>
      <c r="T99" s="11"/>
      <c r="U99" s="11"/>
      <c r="V99" s="11"/>
      <c r="W99" s="11"/>
      <c r="X99" s="11"/>
      <c r="Y99" s="11"/>
    </row>
    <row r="100" spans="1:25" x14ac:dyDescent="0.2">
      <c r="A100" s="99" t="s">
        <v>10</v>
      </c>
      <c r="B100" s="234">
        <f>I48*I57</f>
        <v>0</v>
      </c>
      <c r="C100" s="100">
        <f>I84</f>
        <v>0</v>
      </c>
      <c r="D100" s="11"/>
      <c r="E100" s="11"/>
      <c r="F100" s="11"/>
      <c r="G100" s="11"/>
      <c r="H100" s="11"/>
      <c r="I100" s="11"/>
      <c r="J100" s="11"/>
      <c r="K100" s="11"/>
      <c r="L100" s="11"/>
      <c r="M100" s="11"/>
      <c r="N100" s="11"/>
      <c r="O100" s="11"/>
      <c r="P100" s="11"/>
      <c r="Q100" s="11"/>
      <c r="R100" s="11"/>
      <c r="S100" s="11"/>
      <c r="T100" s="11"/>
      <c r="U100" s="11"/>
      <c r="V100" s="11"/>
      <c r="W100" s="11"/>
      <c r="X100" s="11"/>
      <c r="Y100" s="11"/>
    </row>
    <row r="101" spans="1:25" x14ac:dyDescent="0.2">
      <c r="A101" s="99" t="s">
        <v>48</v>
      </c>
      <c r="B101" s="234">
        <f>J48*J57</f>
        <v>0</v>
      </c>
      <c r="C101" s="100">
        <f>J84</f>
        <v>0</v>
      </c>
      <c r="D101" s="19"/>
      <c r="E101" s="11"/>
      <c r="F101" s="11"/>
      <c r="G101" s="11"/>
      <c r="H101" s="11"/>
      <c r="I101" s="11"/>
      <c r="J101" s="11"/>
      <c r="K101" s="11"/>
      <c r="L101" s="11"/>
      <c r="M101" s="11"/>
      <c r="N101" s="11"/>
      <c r="O101" s="11"/>
      <c r="P101" s="11"/>
      <c r="Q101" s="11"/>
      <c r="R101" s="11"/>
      <c r="S101" s="11"/>
      <c r="T101" s="11"/>
      <c r="U101" s="11"/>
      <c r="V101" s="11"/>
      <c r="W101" s="11"/>
      <c r="X101" s="11"/>
      <c r="Y101" s="11"/>
    </row>
    <row r="102" spans="1:25" x14ac:dyDescent="0.2">
      <c r="A102" s="29" t="s">
        <v>19</v>
      </c>
      <c r="B102" s="233">
        <f>K48*K57</f>
        <v>0</v>
      </c>
      <c r="C102" s="32">
        <f>K84</f>
        <v>0</v>
      </c>
      <c r="D102" s="19"/>
      <c r="E102" s="11"/>
      <c r="F102" s="11"/>
      <c r="G102" s="11"/>
      <c r="H102" s="11"/>
      <c r="I102" s="11"/>
      <c r="J102" s="11"/>
      <c r="K102" s="11"/>
      <c r="L102" s="11"/>
      <c r="M102" s="11"/>
      <c r="N102" s="11"/>
      <c r="O102" s="11"/>
      <c r="P102" s="11"/>
      <c r="Q102" s="11"/>
      <c r="R102" s="11"/>
      <c r="S102" s="11"/>
      <c r="T102" s="11"/>
      <c r="U102" s="11"/>
      <c r="V102" s="11"/>
      <c r="W102" s="11"/>
      <c r="X102" s="11"/>
      <c r="Y102" s="11"/>
    </row>
    <row r="103" spans="1:25" ht="13.5" thickBot="1" x14ac:dyDescent="0.25">
      <c r="A103" s="200" t="s">
        <v>28</v>
      </c>
      <c r="B103" s="318">
        <f>L48*L57</f>
        <v>0</v>
      </c>
      <c r="C103" s="319">
        <f>L84</f>
        <v>0</v>
      </c>
      <c r="D103" s="19"/>
      <c r="E103" s="11"/>
      <c r="F103" s="11"/>
      <c r="G103" s="11"/>
      <c r="H103" s="11"/>
      <c r="I103" s="11"/>
      <c r="J103" s="11"/>
      <c r="K103" s="11"/>
      <c r="L103" s="11"/>
      <c r="M103" s="11"/>
      <c r="N103" s="11"/>
      <c r="O103" s="11"/>
      <c r="P103" s="11"/>
      <c r="Q103" s="11"/>
      <c r="R103" s="11"/>
      <c r="S103" s="11"/>
      <c r="T103" s="11"/>
      <c r="U103" s="11"/>
      <c r="V103" s="11"/>
      <c r="W103" s="11"/>
      <c r="X103" s="11"/>
      <c r="Y103" s="11"/>
    </row>
    <row r="104" spans="1:25" ht="13.5" thickBot="1" x14ac:dyDescent="0.25">
      <c r="A104" s="200" t="s">
        <v>46</v>
      </c>
      <c r="B104" s="235">
        <f>SUM(B93:B103)</f>
        <v>0</v>
      </c>
      <c r="C104" s="201">
        <f>SUM(C93:C103)</f>
        <v>0</v>
      </c>
      <c r="D104" s="19"/>
      <c r="E104" s="11"/>
      <c r="F104" s="11"/>
      <c r="G104" s="11"/>
      <c r="H104" s="11"/>
      <c r="I104" s="11"/>
      <c r="J104" s="11"/>
      <c r="K104" s="11"/>
      <c r="L104" s="11"/>
      <c r="M104" s="11"/>
      <c r="N104" s="11"/>
      <c r="O104" s="11"/>
      <c r="P104" s="11"/>
      <c r="Q104" s="11"/>
      <c r="R104" s="11"/>
      <c r="S104" s="11"/>
      <c r="T104" s="11"/>
      <c r="U104" s="11"/>
      <c r="V104" s="11"/>
      <c r="W104" s="11"/>
      <c r="X104" s="11"/>
      <c r="Y104" s="11"/>
    </row>
    <row r="105" spans="1:25" x14ac:dyDescent="0.2">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row>
    <row r="106" spans="1:25" x14ac:dyDescent="0.2">
      <c r="A106" s="11"/>
      <c r="B106" s="236" t="s">
        <v>22</v>
      </c>
      <c r="C106" s="11"/>
      <c r="D106" s="11"/>
      <c r="E106" s="11"/>
      <c r="F106" s="11"/>
      <c r="G106" s="11"/>
      <c r="H106" s="11"/>
      <c r="I106" s="11"/>
      <c r="J106" s="11"/>
      <c r="K106" s="11"/>
      <c r="L106" s="11"/>
      <c r="M106" s="11"/>
      <c r="N106" s="11"/>
      <c r="O106" s="11"/>
      <c r="P106" s="11"/>
      <c r="Q106" s="11"/>
      <c r="R106" s="11"/>
      <c r="S106" s="11"/>
      <c r="T106" s="11"/>
      <c r="U106" s="11"/>
      <c r="V106" s="11"/>
      <c r="W106" s="11"/>
      <c r="X106" s="11"/>
      <c r="Y106" s="11"/>
    </row>
    <row r="107" spans="1:25" x14ac:dyDescent="0.2">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row>
    <row r="108" spans="1:25" x14ac:dyDescent="0.2">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row>
    <row r="109" spans="1:25" x14ac:dyDescent="0.2">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row>
    <row r="110" spans="1:25" x14ac:dyDescent="0.2">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row>
    <row r="111" spans="1:25" x14ac:dyDescent="0.2">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row>
    <row r="112" spans="1:25" x14ac:dyDescent="0.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row>
    <row r="113" spans="1:25" x14ac:dyDescent="0.2">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row>
    <row r="114" spans="1:25" x14ac:dyDescent="0.2">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row>
    <row r="115" spans="1:25" x14ac:dyDescent="0.2">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row>
    <row r="116" spans="1:25" x14ac:dyDescent="0.2">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row>
    <row r="117" spans="1:25" x14ac:dyDescent="0.2">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row>
    <row r="118" spans="1:25" x14ac:dyDescent="0.2">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row>
    <row r="119" spans="1:25" x14ac:dyDescent="0.2">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row>
    <row r="120" spans="1:25" x14ac:dyDescent="0.2">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row>
    <row r="121" spans="1:25" x14ac:dyDescent="0.2">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row>
    <row r="122" spans="1:25" x14ac:dyDescent="0.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row>
    <row r="123" spans="1:25" x14ac:dyDescent="0.2">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row>
    <row r="124" spans="1:25" x14ac:dyDescent="0.2">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row>
    <row r="125" spans="1:25" x14ac:dyDescent="0.2">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row>
    <row r="126" spans="1:25" x14ac:dyDescent="0.2">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row>
    <row r="127" spans="1:25" x14ac:dyDescent="0.2">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row>
    <row r="128" spans="1:25"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row>
    <row r="129" spans="1:25"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row>
    <row r="130" spans="1:25"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row>
    <row r="131" spans="1:25" x14ac:dyDescent="0.2">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row>
    <row r="132" spans="1:25" x14ac:dyDescent="0.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row>
    <row r="133" spans="1:25"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row>
    <row r="134" spans="1:25" x14ac:dyDescent="0.2">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row>
    <row r="135" spans="1:25" x14ac:dyDescent="0.2">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row>
    <row r="136" spans="1:25" x14ac:dyDescent="0.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row>
    <row r="137" spans="1:25" x14ac:dyDescent="0.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row>
    <row r="138" spans="1:25" x14ac:dyDescent="0.2">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row>
    <row r="139" spans="1:25" x14ac:dyDescent="0.2">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row>
    <row r="140" spans="1:25" x14ac:dyDescent="0.2">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row>
    <row r="141" spans="1:25" x14ac:dyDescent="0.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row>
    <row r="142" spans="1:25"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row>
    <row r="143" spans="1:25"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row>
    <row r="144" spans="1:25"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row>
    <row r="145" spans="1:25"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row>
    <row r="146" spans="1:25"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row>
    <row r="147" spans="1:25"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row>
    <row r="148" spans="1:25"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row>
    <row r="149" spans="1:25"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row>
    <row r="150" spans="1:25"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row>
    <row r="151" spans="1:25"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row>
    <row r="152" spans="1:25"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row>
    <row r="153" spans="1:25"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row>
    <row r="154" spans="1:25"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row>
    <row r="155" spans="1:25" x14ac:dyDescent="0.2">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row>
    <row r="156" spans="1:25" x14ac:dyDescent="0.2">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row>
    <row r="157" spans="1:25" x14ac:dyDescent="0.2">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row>
    <row r="158" spans="1:25" x14ac:dyDescent="0.2">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row>
    <row r="159" spans="1:25" x14ac:dyDescent="0.2">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row>
    <row r="160" spans="1:25" x14ac:dyDescent="0.2">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row>
    <row r="161" spans="1:25" x14ac:dyDescent="0.2">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row>
    <row r="162" spans="1:25" x14ac:dyDescent="0.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row>
    <row r="163" spans="1:25" x14ac:dyDescent="0.2">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row>
    <row r="164" spans="1:25" x14ac:dyDescent="0.2">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row>
  </sheetData>
  <mergeCells count="3">
    <mergeCell ref="A55:A56"/>
    <mergeCell ref="A3:A4"/>
    <mergeCell ref="B58:L58"/>
  </mergeCells>
  <pageMargins left="0" right="0" top="0" bottom="0" header="0.3" footer="0.3"/>
  <pageSetup paperSize="17"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Summary</vt:lpstr>
      <vt:lpstr>Pricing Points</vt:lpstr>
      <vt:lpstr>BRA Resource Clearing Results</vt:lpstr>
      <vt:lpstr>BRA Load Pricing Results</vt:lpstr>
      <vt:lpstr>BRA CTRs</vt:lpstr>
      <vt:lpstr>BRA ICTRs</vt:lpstr>
      <vt:lpstr>FPR</vt:lpstr>
      <vt:lpstr>OPL_ScalingFactor</vt:lpstr>
      <vt:lpstr>'BRA CTRs'!Print_Area</vt:lpstr>
      <vt:lpstr>'BRA ICTRs'!Print_Area</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Keech</dc:creator>
  <cp:lastModifiedBy>Hayik, Seth A.</cp:lastModifiedBy>
  <cp:lastPrinted>2019-09-17T17:18:56Z</cp:lastPrinted>
  <dcterms:created xsi:type="dcterms:W3CDTF">2007-03-21T19:37:11Z</dcterms:created>
  <dcterms:modified xsi:type="dcterms:W3CDTF">2025-12-17T21:03:17Z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2025-11-17T15:50:54Z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23c1b309-7c7e-47f2-a3b0-40b70bbe4941</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