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rp\shares\home\Bachut\My Documents\"/>
    </mc:Choice>
  </mc:AlternateContent>
  <xr:revisionPtr revIDLastSave="0" documentId="8_{AAFF9C27-7629-4F46-89B4-3266FEB3DBBB}" xr6:coauthVersionLast="47" xr6:coauthVersionMax="47" xr10:uidLastSave="{00000000-0000-0000-0000-000000000000}"/>
  <bookViews>
    <workbookView xWindow="-28920" yWindow="-120" windowWidth="29040" windowHeight="15720" xr2:uid="{2814A4E7-173A-404B-B642-32431BBACC19}"/>
  </bookViews>
  <sheets>
    <sheet name="Planning Parameters" sheetId="3" r:id="rId1"/>
    <sheet name="Net CONE" sheetId="4" r:id="rId2"/>
    <sheet name="Key Transmission Upgrades" sheetId="5" r:id="rId3"/>
  </sheets>
  <externalReferences>
    <externalReference r:id="rId4"/>
  </externalReferences>
  <definedNames>
    <definedName name="Price_Cap">'Planning Parameters'!$B$9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0" i="3" l="1"/>
  <c r="F41" i="4"/>
  <c r="M47" i="3"/>
  <c r="H42" i="4" l="1"/>
  <c r="H40" i="4"/>
  <c r="H31" i="4"/>
  <c r="H32" i="4"/>
  <c r="H33" i="4"/>
  <c r="H34" i="4"/>
  <c r="H35" i="4"/>
  <c r="H36" i="4"/>
  <c r="H37" i="4"/>
  <c r="H38" i="4"/>
  <c r="H30" i="4"/>
  <c r="H26" i="4"/>
  <c r="H27" i="4"/>
  <c r="H25" i="4"/>
  <c r="H22" i="4"/>
  <c r="H23" i="4"/>
  <c r="H21" i="4"/>
  <c r="H14" i="4"/>
  <c r="H15" i="4"/>
  <c r="H16" i="4"/>
  <c r="H17" i="4"/>
  <c r="H18" i="4"/>
  <c r="H19" i="4"/>
  <c r="H13" i="4"/>
  <c r="E42" i="4"/>
  <c r="E39" i="4"/>
  <c r="E29" i="4"/>
  <c r="E24" i="4"/>
  <c r="E20" i="4"/>
  <c r="E12" i="4"/>
  <c r="G42" i="4"/>
  <c r="F42" i="4"/>
  <c r="B42" i="4"/>
  <c r="G40" i="4"/>
  <c r="D39" i="4"/>
  <c r="C39" i="4"/>
  <c r="G38" i="4"/>
  <c r="G37" i="4"/>
  <c r="G36" i="4"/>
  <c r="G35" i="4"/>
  <c r="G34" i="4"/>
  <c r="G33" i="4"/>
  <c r="G32" i="4"/>
  <c r="G31" i="4"/>
  <c r="G30" i="4"/>
  <c r="D29" i="4"/>
  <c r="G28" i="4"/>
  <c r="F28" i="4"/>
  <c r="G27" i="4"/>
  <c r="G26" i="4"/>
  <c r="G25" i="4"/>
  <c r="D24" i="4"/>
  <c r="G23" i="4"/>
  <c r="F23" i="4"/>
  <c r="G22" i="4"/>
  <c r="G21" i="4"/>
  <c r="D20" i="4"/>
  <c r="G19" i="4"/>
  <c r="F19" i="4"/>
  <c r="G18" i="4"/>
  <c r="G17" i="4"/>
  <c r="G16" i="4"/>
  <c r="G15" i="4"/>
  <c r="G14" i="4"/>
  <c r="G13" i="4"/>
  <c r="D12" i="4"/>
  <c r="R47" i="3"/>
  <c r="I47" i="3"/>
  <c r="F47" i="3"/>
  <c r="E47" i="3"/>
  <c r="D47" i="3"/>
  <c r="F30" i="3"/>
  <c r="E30" i="3"/>
  <c r="D30" i="3"/>
  <c r="C30" i="3"/>
  <c r="B30" i="3"/>
  <c r="E14" i="4" l="1"/>
  <c r="E15" i="4"/>
  <c r="E16" i="4"/>
  <c r="E35" i="4"/>
  <c r="E36" i="4"/>
  <c r="E37" i="4"/>
  <c r="E38" i="4"/>
  <c r="E30" i="4"/>
  <c r="E41" i="4" s="1"/>
  <c r="H41" i="4" s="1"/>
  <c r="E25" i="4"/>
  <c r="E17" i="4"/>
  <c r="E18" i="4"/>
  <c r="E19" i="4"/>
  <c r="E13" i="4"/>
  <c r="E40" i="4"/>
  <c r="E31" i="4"/>
  <c r="E32" i="4"/>
  <c r="E33" i="4"/>
  <c r="E34" i="4"/>
  <c r="E26" i="4"/>
  <c r="E27" i="4"/>
  <c r="E22" i="4"/>
  <c r="E23" i="4"/>
  <c r="E21" i="4"/>
  <c r="I18" i="4"/>
  <c r="I17" i="4"/>
  <c r="I16" i="4"/>
  <c r="I15" i="4"/>
  <c r="I14" i="4"/>
  <c r="I13" i="4"/>
  <c r="I26" i="4"/>
  <c r="I25" i="4"/>
  <c r="D42" i="4"/>
  <c r="I23" i="4"/>
  <c r="I22" i="4"/>
  <c r="I21" i="4"/>
  <c r="I19" i="4"/>
  <c r="G41" i="4"/>
  <c r="I40" i="4"/>
  <c r="I38" i="4"/>
  <c r="I37" i="4"/>
  <c r="I36" i="4"/>
  <c r="I35" i="4"/>
  <c r="I34" i="4"/>
  <c r="I33" i="4"/>
  <c r="I31" i="4"/>
  <c r="I30" i="4"/>
  <c r="I32" i="4"/>
  <c r="I27" i="4"/>
  <c r="C47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E28" i="4" l="1"/>
  <c r="H28" i="4"/>
  <c r="I42" i="4"/>
  <c r="I28" i="4" l="1"/>
  <c r="I41" i="4"/>
</calcChain>
</file>

<file path=xl/sharedStrings.xml><?xml version="1.0" encoding="utf-8"?>
<sst xmlns="http://schemas.openxmlformats.org/spreadsheetml/2006/main" count="582" uniqueCount="223">
  <si>
    <t>2029/2030 RPM Base Residual Auction Planning Parameters</t>
  </si>
  <si>
    <t xml:space="preserve"> </t>
  </si>
  <si>
    <t>RTO</t>
  </si>
  <si>
    <t>Notes:</t>
  </si>
  <si>
    <t xml:space="preserve">Installed Reserve Margin (IRM) </t>
  </si>
  <si>
    <t>endorsed at the August 19, 2026 MRC meeting. See:https://www.pjm.com/-/media/DotCom/committees-groups/committees/mc/2026/20260819/20260819-item-05---2029-2030-bra-irm-fpr---presentation.pdf</t>
  </si>
  <si>
    <t>Pool-Wide Accredited UCAP Factor</t>
  </si>
  <si>
    <t>endorsed at the August 19, 2026 MRC meeting.</t>
  </si>
  <si>
    <t>Reference Resource AUCAP Factor</t>
  </si>
  <si>
    <t>Forecast Pool Requirement (FPR)</t>
  </si>
  <si>
    <t>Preliminary Forecast Peak Load</t>
  </si>
  <si>
    <t>2026 Load Report with adjustments for load served outside PJM.</t>
  </si>
  <si>
    <t>Locational Deliverability Area</t>
  </si>
  <si>
    <t>PJM WEST</t>
  </si>
  <si>
    <t>MAAC</t>
  </si>
  <si>
    <t>EMAAC</t>
  </si>
  <si>
    <t>SWMAAC</t>
  </si>
  <si>
    <t>PS</t>
  </si>
  <si>
    <t>PS NORTH</t>
  </si>
  <si>
    <t>DPL SOUTH</t>
  </si>
  <si>
    <t>PEPCO</t>
  </si>
  <si>
    <t>ATSI</t>
  </si>
  <si>
    <t>ATSI-Cleveland</t>
  </si>
  <si>
    <t>COMED</t>
  </si>
  <si>
    <t>BGE</t>
  </si>
  <si>
    <t>PL</t>
  </si>
  <si>
    <t>DAYTON</t>
  </si>
  <si>
    <t>DEOK</t>
  </si>
  <si>
    <t>DOM</t>
  </si>
  <si>
    <t>JCPL</t>
  </si>
  <si>
    <t>CETO</t>
  </si>
  <si>
    <t>NA</t>
  </si>
  <si>
    <t>CETL</t>
  </si>
  <si>
    <t>Reliability Requirement</t>
  </si>
  <si>
    <t>Total Peak Load of FRR Entities</t>
  </si>
  <si>
    <t>Preliminary FRR Obligation</t>
  </si>
  <si>
    <t>Reliability Requirement adjusted for FRR</t>
  </si>
  <si>
    <t>Gross CONE, $/MW-Day (UCAP Price)</t>
  </si>
  <si>
    <t>E&amp;AS Value, $/MW-Day (UCAP Price)</t>
  </si>
  <si>
    <t>Point (a) UCAP Price, $/MW-Day</t>
  </si>
  <si>
    <t>Point (b) UCAP Price, $/MW-Day</t>
  </si>
  <si>
    <t>Point (c) UCAP Price, $/MW-Day</t>
  </si>
  <si>
    <t>Point (a) UCAP Level, MW</t>
  </si>
  <si>
    <t>Point (b) UCAP Level, MW</t>
  </si>
  <si>
    <t>Point (c) UCAP Level, MW</t>
  </si>
  <si>
    <t>Nominated PRD Value, MW</t>
  </si>
  <si>
    <t>VRR Curve adjusted for PRD:</t>
  </si>
  <si>
    <t>Point (a1) UCAP Price, $/MW-Day</t>
  </si>
  <si>
    <t>Point (b1) UCAP Price, $/MW-Day</t>
  </si>
  <si>
    <t>Point (prd1) UCAP Price, $/MW-Day</t>
  </si>
  <si>
    <t>Point (a1) UCAP Level, MW</t>
  </si>
  <si>
    <t>Point (b1) UCAP Level, MW</t>
  </si>
  <si>
    <t>Point (prd1) UCAP Level, MW</t>
  </si>
  <si>
    <t>Pre-Auction Credit Rate, $/MW</t>
  </si>
  <si>
    <t>FRR Load Requirement (% Obligation):</t>
  </si>
  <si>
    <t>Minimum Internal Resource Requirement</t>
  </si>
  <si>
    <t>LDA CETO/CETL Data; Zonal Peak Loads, Base Zonal FRR Scaling Factors, and FRR load.</t>
  </si>
  <si>
    <t>LDA/Zone</t>
  </si>
  <si>
    <t>CETO (Capacity Emergency Transfer Objective)</t>
  </si>
  <si>
    <t>CETL (Capacity Emergency Transfer Limit)</t>
  </si>
  <si>
    <t>CETL to CETO Ratio %</t>
  </si>
  <si>
    <t>LA Adder**</t>
  </si>
  <si>
    <t>Preliminary Zonal Peak Load Forecast minus LA Adder</t>
  </si>
  <si>
    <t>Base Zonal FRR Scaling Factor</t>
  </si>
  <si>
    <t>Preliminary Zonal Peak Load Forecast</t>
  </si>
  <si>
    <t xml:space="preserve">FRR Portion of the Preliminary Peak Load Forecast       </t>
  </si>
  <si>
    <t>Preliminary Zonal Peak Load Forecast minus FRR Load</t>
  </si>
  <si>
    <t>AE</t>
  </si>
  <si>
    <t>AEP</t>
  </si>
  <si>
    <t>APS</t>
  </si>
  <si>
    <t>ATSI-CLEVELAND</t>
  </si>
  <si>
    <t>DLCO</t>
  </si>
  <si>
    <t>DPL</t>
  </si>
  <si>
    <t>EKPC</t>
  </si>
  <si>
    <t>METED</t>
  </si>
  <si>
    <t>OVEC</t>
  </si>
  <si>
    <t>PECO</t>
  </si>
  <si>
    <t>PENLC</t>
  </si>
  <si>
    <t>PL (incl. UGI)</t>
  </si>
  <si>
    <t>RECO</t>
  </si>
  <si>
    <t>Western MAAC</t>
  </si>
  <si>
    <t>* LDA has adequate internal resources to meet the reliability criterion.</t>
  </si>
  <si>
    <t>** LA Adder represents Load Adjustments in auction DY for each zone. See M19 Attachment B.</t>
  </si>
  <si>
    <t>Limiting conditions at the CETL for modeled LDAs:</t>
  </si>
  <si>
    <t xml:space="preserve">LDA      </t>
  </si>
  <si>
    <t>Violation</t>
  </si>
  <si>
    <t>Limiting Facility</t>
  </si>
  <si>
    <t>Mean Thermal</t>
  </si>
  <si>
    <t>Discreet Thermal</t>
  </si>
  <si>
    <t>Discrete Voltage</t>
  </si>
  <si>
    <t>PSNORTH</t>
  </si>
  <si>
    <t>Discrete Thermal</t>
  </si>
  <si>
    <t>DPLSOUTH</t>
  </si>
  <si>
    <t>Mean/Discrete Thermal</t>
  </si>
  <si>
    <t>Mean/Discrete Voltage</t>
  </si>
  <si>
    <t>8/31/2026 - Initial posting - please note that resources with Reliability Must Run requirements are included in the Planning Parameters modeling.</t>
  </si>
  <si>
    <t>Price Cap ($/MW-ICAP)</t>
  </si>
  <si>
    <t>Established in ER26-1556</t>
  </si>
  <si>
    <t>Price Floor ($/MW-ICAP)</t>
  </si>
  <si>
    <t>Point (d) UCAP Price, $/MW-Day</t>
  </si>
  <si>
    <t>Point (d) UCAP Level, MW</t>
  </si>
  <si>
    <t>Point (b2) UCAP Price, $/MW-Day</t>
  </si>
  <si>
    <t>Point (b2) UCAP Level, MW</t>
  </si>
  <si>
    <t>2024 Zonal W/N Coincident Peak Loads</t>
  </si>
  <si>
    <t>RPM CONE and E&amp;AS Values for 2029/2030 Base Residual Auction</t>
  </si>
  <si>
    <t>ICAP to UCAP Conversion Factor:</t>
  </si>
  <si>
    <t>UCAP Price = ICAP Price / Pool-Wide Average Accredited UCAP Factor</t>
  </si>
  <si>
    <t>Reference Resource Accredited UCAP Factor</t>
  </si>
  <si>
    <t>CONE Area 1: AE, DPL, JCPL, PECO, PS, RECO</t>
  </si>
  <si>
    <t>CONE Area 2: BGE, PEPCO</t>
  </si>
  <si>
    <t>CONE Area 3: AEP, APS, ATSI, Dayton, DEOK, Dominion, Duquesne (DLCo), EKPC, OVEC</t>
  </si>
  <si>
    <t>CONE Area 4: MetEd, Penelec, PPL</t>
  </si>
  <si>
    <t>CONE Area 5: ComEd</t>
  </si>
  <si>
    <t>Zone/LDA</t>
  </si>
  <si>
    <t>2028/2029 BRA CONE: Levelized Revenue Requirement,     $/MW-Year *</t>
  </si>
  <si>
    <t>Escalation</t>
  </si>
  <si>
    <t>2029/2030 BRA CONE: Levelized Revenue Requirement, $/MW-Year</t>
  </si>
  <si>
    <t>Gross CONE, $/MW-Day, UCAP Price</t>
  </si>
  <si>
    <t>Forward Net E&amp;AS Revenue Offset, $/MW-Year, ICAP</t>
  </si>
  <si>
    <t>Forward Net E&amp;AS Revenue Offset, $/MW-Year, UCAP</t>
  </si>
  <si>
    <t>Net CONE,         $/MW-Day,    ICAP Price</t>
  </si>
  <si>
    <t>Net CONE,   $/MW-Day,  UCAP Price</t>
  </si>
  <si>
    <t>LDA Modeled with VRR Curve</t>
  </si>
  <si>
    <t>CONE Area 1</t>
  </si>
  <si>
    <t>PE</t>
  </si>
  <si>
    <t>PSEG</t>
  </si>
  <si>
    <t>PS, PSEG NORTH</t>
  </si>
  <si>
    <t>CONE Area 2</t>
  </si>
  <si>
    <t>CONE Area 4</t>
  </si>
  <si>
    <t>PENELEC</t>
  </si>
  <si>
    <t>PPL</t>
  </si>
  <si>
    <t>CONE Area 3</t>
  </si>
  <si>
    <t>ATSI, ATSI CLEVELAND</t>
  </si>
  <si>
    <t>CONE Area 5</t>
  </si>
  <si>
    <t>CONE Area 5 29/30, 30/31, and 30/32 includes asset life factor of 1.025, 1.054, and 1.088 respectively.</t>
  </si>
  <si>
    <t>* The 2028/2029 BRA CONE values are based on PJM’s filing (Docket No. ER26-455) which was FERC approved on January 21, 2026.</t>
  </si>
  <si>
    <t>&gt;2,538.1</t>
  </si>
  <si>
    <t>&gt;115%</t>
  </si>
  <si>
    <t>&gt;6,243.4</t>
  </si>
  <si>
    <t>&gt;1,897.5</t>
  </si>
  <si>
    <t>&gt;2,104.5</t>
  </si>
  <si>
    <t>&gt;1,660.6</t>
  </si>
  <si>
    <t>&gt;1,079.9</t>
  </si>
  <si>
    <t>&gt;1,782.5</t>
  </si>
  <si>
    <t>&gt;3,642.1</t>
  </si>
  <si>
    <t>&gt;335.8</t>
  </si>
  <si>
    <t>*</t>
  </si>
  <si>
    <t>Keystone - Cabot 500 kV for the loss of South Bend - Yukon 500 kV 
Bramah - Gracetone 500 kV for the loss of Peach Bottom - Graceton 500 kV</t>
  </si>
  <si>
    <t>Morrisville - Loudoun 500 kV line for the loss of Brister - Ox  500 kV line</t>
  </si>
  <si>
    <t>Morrisville - Loudoun 500 kV line for the loss of Meadow Brook - Loudoun 500 kV line
Peachbottom - Cooper 500 kV for the loss of Keeney - RockSpring 500 kV line</t>
  </si>
  <si>
    <t>Voltage drop on Rice 500 kV bus for the loss of Rice - Hunterstown 500 kV</t>
  </si>
  <si>
    <t>Morrisville - Loudoun 500 kV line for the loss of Meadow Brook - Loudoun 500 kV line
Laurel Ave - Livingston 230 kV for the loss of Roseland - West Orange 230 kV
Roseland _Wilpipe 230 kV for the loss of Rosland - Cedar Grove 230 kV</t>
  </si>
  <si>
    <t>Milford to Bennett 230 kV for the loss of Milford to Indian River 230 kV line</t>
  </si>
  <si>
    <t xml:space="preserve">Morrisville - Loudoun 500 kV line for the loss of Meadow Brook - Loudoun 500 kV line
Brandon Shore- Solley ckt 42 230kv line for the loss of West.CHAPEL - Brandon Shore ckt 43 230 kv  </t>
  </si>
  <si>
    <t xml:space="preserve">No limiting facility found </t>
  </si>
  <si>
    <t>Bentley to Crestwood Tap 138 kV line for the loss of single 138 kV bus Crestwood TP1</t>
  </si>
  <si>
    <t>Goodings Grove - Lockport 345 kv line for the loss of Lockport -  Kendall 345 kv line
Electric Junction- ESS W407- Lombard 345kv line in base case</t>
  </si>
  <si>
    <t>Morrisville - Loudoun 500 kV line for the loss of Brister - Ox 500 kV line
Susquahanna 500/230 kV transformer #21 for the loss of the Shickshinny - Lackawanna  500 kV</t>
  </si>
  <si>
    <t>S.W. Lima - West Moulton 138 kV  for the loss of Gristmill - S.W. Lima 345 kV</t>
  </si>
  <si>
    <t>Pierce to Foster 345 kV line for the loss of Tanner Creek to Miami Fort 345 kV line</t>
  </si>
  <si>
    <t>Doubs - Goose Creek 500 kV for the loss of  Meadow Brook - Loudoun 500 kV
Twin Creek - Edwards Ferry 230 kV for the loss of Doubs - Goose Creek 500 kV</t>
  </si>
  <si>
    <t>Morrisville - Loudoun 500 kV line for the loss of Meadow Brook - Loudoun 500 kV line
Smithburg 500/230 kV transformer #4 for the loss of East Windsor - Smithburg 230 kV (E2005)</t>
  </si>
  <si>
    <t/>
  </si>
  <si>
    <t>New Key Transmission Upgrades included for 2029/2030 model</t>
  </si>
  <si>
    <t>UpgradeId</t>
  </si>
  <si>
    <t>Description</t>
  </si>
  <si>
    <t>Transmission Owner</t>
  </si>
  <si>
    <t>b3919.1</t>
  </si>
  <si>
    <t>Reconfigure Maliszewski 765 kV station from 2 breakers to a 6 breaker ring bus. Install a new 765/345 kV transformer. Establish new 345 kV breaker yard with 3 string breaker and a half to include a line exit to Hyatt and a line exit to Corridor.  Loop the existing Hyatt - West Millersport 345 kV line into the new established 345 kV yard at the Maliszewski station.</t>
  </si>
  <si>
    <t>b3919.2</t>
  </si>
  <si>
    <t xml:space="preserve">Establish a 0.18 mile double circuit 345 kV line extension to cut the existing Hyatt – West Millersport 345 kV line in and out of Corridor station. </t>
  </si>
  <si>
    <t>b3919.3</t>
  </si>
  <si>
    <t xml:space="preserve">Install three new 345 kV breakers at Corridor station in order to accommodate the cut in of the Hyatt- West Millersport 345 kV line. </t>
  </si>
  <si>
    <t>b3919.6</t>
  </si>
  <si>
    <t>Rebuild 4.4-miles of the existing Marysville - Hyatt 345 kV double circuit line where it extends into Marysville station.</t>
  </si>
  <si>
    <t>b3780.13</t>
  </si>
  <si>
    <t>Batavia Road to Riverside 230 kV reconductor New rating: 1941 MVA SN / 2181 MVA SE</t>
  </si>
  <si>
    <t>b3780.4</t>
  </si>
  <si>
    <t>Peach Bottom to Graceton (BGE) – transmission work New rating: 4503 MVA SN/ 5022 MVA SE</t>
  </si>
  <si>
    <t>b3780.5</t>
  </si>
  <si>
    <t>Build Solley Road substation + Statcom. New STATCOM rating: 350 MVAR Add 4x 230 kV breakers bays.</t>
  </si>
  <si>
    <t>b3780.6</t>
  </si>
  <si>
    <t>Build Granite substation + Statcom. New STATCOM rating: 350 MVAR Add 4x 230 kV breaker bays.</t>
  </si>
  <si>
    <t>b3780.8</t>
  </si>
  <si>
    <t>Graceton 500 kV expansion Add 3x 500 kV breaker bays, 2x 500/230 kV auto transformer, 1x 500 kV caps. New transformer rating: 1559 MVA SN / 1940 MVA SE New capacitor rating: 250 MVAR</t>
  </si>
  <si>
    <t>b3780.9</t>
  </si>
  <si>
    <t>Graceton to Batavia Road 230 kV double circuit pole line New rating: 1331 MVA SN/ 1594 MVA SE</t>
  </si>
  <si>
    <t>b3737.50</t>
  </si>
  <si>
    <t>Bring the Peach Bottom-Delta York 500 ‘5034’ kV line “in and out” of Bramah substation by partially demolishing the 5034 line to construct a new Peach Bottom-Bramah-Delta York 500 kV line, with 0.87 miles of cut-in and cut-out lines.</t>
  </si>
  <si>
    <t>b3780.1</t>
  </si>
  <si>
    <t xml:space="preserve">Peach Bottom North upgrades – substation work Add 3x 500 kV breakers to form a breaker-and-a-half bay. </t>
  </si>
  <si>
    <t>b3780.14</t>
  </si>
  <si>
    <t>Reconfigure Cooper transmission feeds by establishing new Cooper-North Delta 230 kV line and rerouting existing transmissions lines by Cooper.</t>
  </si>
  <si>
    <t>b3780.15</t>
  </si>
  <si>
    <t>Cut in 5012 Peach Bottom-Conastone 500 kV line into North Delta 500/230 kV substation by rebuilding 5012 between new terminal at Peach Bottom South and North Delta on single circuit structures and terminating at North Delta.</t>
  </si>
  <si>
    <t>b3780.2</t>
  </si>
  <si>
    <t>Peach Bottom to Graceton (PECO) – New 500 kV transmission line  New rating: 4503 MVA SN/ 5022 MVA SE</t>
  </si>
  <si>
    <t>b3800.35</t>
  </si>
  <si>
    <t xml:space="preserve">Rebuild 5012 (existing Peach Bottom-Conastone) (new North Delta-Graceton PECO) 500 kV line on single circuit structures within existing ROW and cut into North Delta 500 kV and Gracetone 500 kV stations. </t>
  </si>
  <si>
    <t>b3780.11</t>
  </si>
  <si>
    <t>Brighton Statcom and capacitor New STATCOM rating: 350 MVAR New capacitor rating: 350 MVAR</t>
  </si>
  <si>
    <t>b2743.1</t>
  </si>
  <si>
    <t>Tap the Vinco - Hunterstown 500 kV line &amp; create new Rice 500 kV &amp; 230 kV stations. Install two 500/230 kV transformers, operated together.</t>
  </si>
  <si>
    <t>Transource</t>
  </si>
  <si>
    <t>b3737.47</t>
  </si>
  <si>
    <t>Build New North Delta 500 kV substation (four bay breaker and half configuration ) - the substation will include 12 - 500kV breakers and one 500/230 kV transformer, will allow the termination of six - 500 kV lines</t>
  </si>
  <si>
    <t>b3780.16</t>
  </si>
  <si>
    <t>Terminate new Cooper-North Delta 230 kV line (Transource Scope) at North Delta 230 kV.</t>
  </si>
  <si>
    <t>b3780.17</t>
  </si>
  <si>
    <t>Cut in 5012 Peach Bottom-Conastone 500 kV line into North Delta 500/230 kV substation by rebuilding 5012 between new terminal at Peach Bottom South and North Delta on single circuit structures and terminating at North Delta (Transource Scope).</t>
  </si>
  <si>
    <t>b3800.49</t>
  </si>
  <si>
    <t>North Delta 500 kV termination for the Calpine generator (Calpine/Transource work).</t>
  </si>
  <si>
    <t>Key Transmission Upgrades included for 2028/2029 model but not included for 2029/2030 model</t>
  </si>
  <si>
    <t>Upgrade ID</t>
  </si>
  <si>
    <t>b3737.30</t>
  </si>
  <si>
    <t>Add third Smithburg 500/230 kV transformer.</t>
  </si>
  <si>
    <t>LDA/Zone***</t>
  </si>
  <si>
    <t>*** Analysis assumes sufficient resources outside the LDA under study for AEP and PJM WEST</t>
  </si>
  <si>
    <t>Participant-Funded ICTRs Awarded**</t>
  </si>
  <si>
    <t>** - Participant Funded ICTRs will be updated on final Planning Parameters posting after the completion of the 29/30 BRA</t>
  </si>
  <si>
    <t>Variable Resource Requirement Curve*:</t>
  </si>
  <si>
    <t>* - The points on the VRR Curves for the RTO and LDAs are subject to adjustment pending FERC acceptance of PJM’s IRAS filing in Docket No. ER26-3515. Updated VRR Curves would be posted 30 days prior to the conduct of the 29/30 BRA in accordance with PJM’s IRAS proposal.</t>
  </si>
  <si>
    <t>9/1/2026 - PJM WEST CONE calculation updated to exclude DOM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</si>
</sst>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#,##0.0"/>
    <numFmt numFmtId="166" formatCode="0.0%"/>
    <numFmt numFmtId="167" formatCode="0.0000"/>
    <numFmt numFmtId="168" formatCode="0.0"/>
    <numFmt numFmtId="169" formatCode="#,##0.00000"/>
    <numFmt numFmtId="170" formatCode="0.000"/>
    <numFmt numFmtId="171" formatCode="&quot;$&quot;#,##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sz val="12"/>
      <color rgb="FF000000"/>
      <name val="Calibri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EEE4E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>
      <alignment wrapText="1"/>
    </xf>
  </cellStyleXfs>
  <cellXfs count="24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4" fontId="3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166" fontId="7" fillId="3" borderId="2" xfId="0" applyNumberFormat="1" applyFont="1" applyFill="1" applyBorder="1" applyAlignment="1">
      <alignment horizontal="right" vertical="center"/>
    </xf>
    <xf numFmtId="10" fontId="7" fillId="3" borderId="2" xfId="0" applyNumberFormat="1" applyFont="1" applyFill="1" applyBorder="1" applyAlignment="1">
      <alignment horizontal="right" vertical="center"/>
    </xf>
    <xf numFmtId="167" fontId="7" fillId="3" borderId="2" xfId="0" applyNumberFormat="1" applyFont="1" applyFill="1" applyBorder="1" applyAlignment="1">
      <alignment horizontal="right" vertical="center"/>
    </xf>
    <xf numFmtId="165" fontId="8" fillId="3" borderId="2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1" fontId="7" fillId="3" borderId="8" xfId="0" applyNumberFormat="1" applyFont="1" applyFill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1" fontId="7" fillId="3" borderId="8" xfId="0" applyNumberFormat="1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7" fillId="5" borderId="11" xfId="0" applyFont="1" applyFill="1" applyBorder="1" applyAlignment="1">
      <alignment horizontal="left" vertical="center" wrapText="1"/>
    </xf>
    <xf numFmtId="164" fontId="7" fillId="5" borderId="12" xfId="0" applyNumberFormat="1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right" vertical="center" wrapText="1"/>
    </xf>
    <xf numFmtId="165" fontId="7" fillId="7" borderId="7" xfId="0" applyNumberFormat="1" applyFont="1" applyFill="1" applyBorder="1" applyAlignment="1">
      <alignment horizontal="right" vertical="center" wrapText="1"/>
    </xf>
    <xf numFmtId="0" fontId="7" fillId="8" borderId="11" xfId="0" applyFont="1" applyFill="1" applyBorder="1" applyAlignment="1">
      <alignment horizontal="left" vertical="center" wrapText="1"/>
    </xf>
    <xf numFmtId="164" fontId="7" fillId="8" borderId="12" xfId="0" applyNumberFormat="1" applyFont="1" applyFill="1" applyBorder="1" applyAlignment="1">
      <alignment horizontal="right" vertical="center" wrapText="1"/>
    </xf>
    <xf numFmtId="164" fontId="7" fillId="8" borderId="19" xfId="0" applyNumberFormat="1" applyFont="1" applyFill="1" applyBorder="1" applyAlignment="1">
      <alignment horizontal="right" vertical="center" wrapText="1"/>
    </xf>
    <xf numFmtId="164" fontId="7" fillId="8" borderId="20" xfId="0" applyNumberFormat="1" applyFont="1" applyFill="1" applyBorder="1" applyAlignment="1">
      <alignment horizontal="right" vertical="center" wrapText="1"/>
    </xf>
    <xf numFmtId="0" fontId="7" fillId="8" borderId="8" xfId="0" applyFont="1" applyFill="1" applyBorder="1" applyAlignment="1">
      <alignment horizontal="left" vertical="center" wrapText="1"/>
    </xf>
    <xf numFmtId="164" fontId="7" fillId="8" borderId="1" xfId="0" applyNumberFormat="1" applyFont="1" applyFill="1" applyBorder="1" applyAlignment="1">
      <alignment horizontal="right" vertical="center" wrapText="1"/>
    </xf>
    <xf numFmtId="164" fontId="7" fillId="8" borderId="2" xfId="0" applyNumberFormat="1" applyFont="1" applyFill="1" applyBorder="1" applyAlignment="1">
      <alignment horizontal="right" vertical="center" wrapText="1"/>
    </xf>
    <xf numFmtId="164" fontId="7" fillId="8" borderId="21" xfId="0" applyNumberFormat="1" applyFont="1" applyFill="1" applyBorder="1" applyAlignment="1">
      <alignment horizontal="right" vertical="center" wrapText="1"/>
    </xf>
    <xf numFmtId="0" fontId="7" fillId="9" borderId="11" xfId="0" applyFont="1" applyFill="1" applyBorder="1" applyAlignment="1">
      <alignment horizontal="left" vertical="center" wrapText="1"/>
    </xf>
    <xf numFmtId="165" fontId="7" fillId="9" borderId="12" xfId="0" applyNumberFormat="1" applyFont="1" applyFill="1" applyBorder="1" applyAlignment="1">
      <alignment horizontal="right" vertical="center" wrapText="1"/>
    </xf>
    <xf numFmtId="165" fontId="7" fillId="9" borderId="19" xfId="0" applyNumberFormat="1" applyFont="1" applyFill="1" applyBorder="1" applyAlignment="1">
      <alignment horizontal="right" vertical="center" wrapText="1"/>
    </xf>
    <xf numFmtId="165" fontId="7" fillId="9" borderId="20" xfId="0" applyNumberFormat="1" applyFont="1" applyFill="1" applyBorder="1" applyAlignment="1">
      <alignment horizontal="right" vertical="center" wrapText="1"/>
    </xf>
    <xf numFmtId="0" fontId="7" fillId="9" borderId="8" xfId="0" applyFont="1" applyFill="1" applyBorder="1" applyAlignment="1">
      <alignment horizontal="left" vertical="center" wrapText="1"/>
    </xf>
    <xf numFmtId="165" fontId="7" fillId="9" borderId="1" xfId="0" applyNumberFormat="1" applyFont="1" applyFill="1" applyBorder="1" applyAlignment="1">
      <alignment horizontal="right" vertical="center" wrapText="1"/>
    </xf>
    <xf numFmtId="165" fontId="7" fillId="9" borderId="2" xfId="0" applyNumberFormat="1" applyFont="1" applyFill="1" applyBorder="1" applyAlignment="1">
      <alignment horizontal="right" vertical="center" wrapText="1"/>
    </xf>
    <xf numFmtId="165" fontId="7" fillId="9" borderId="21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right" vertical="center" wrapText="1"/>
    </xf>
    <xf numFmtId="166" fontId="7" fillId="0" borderId="1" xfId="3" applyNumberFormat="1" applyFont="1" applyFill="1" applyBorder="1" applyAlignment="1">
      <alignment horizontal="right" vertical="center"/>
    </xf>
    <xf numFmtId="166" fontId="7" fillId="0" borderId="1" xfId="3" applyNumberFormat="1" applyFont="1" applyBorder="1" applyAlignment="1">
      <alignment horizontal="right" vertical="center"/>
    </xf>
    <xf numFmtId="166" fontId="7" fillId="0" borderId="2" xfId="3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0" xfId="0" applyNumberFormat="1" applyAlignment="1">
      <alignment horizontal="left"/>
    </xf>
    <xf numFmtId="0" fontId="10" fillId="0" borderId="0" xfId="0" applyFont="1"/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7" fillId="3" borderId="24" xfId="0" applyNumberFormat="1" applyFont="1" applyFill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165" fontId="7" fillId="3" borderId="1" xfId="0" applyNumberFormat="1" applyFont="1" applyFill="1" applyBorder="1" applyAlignment="1">
      <alignment horizontal="right" vertical="center"/>
    </xf>
    <xf numFmtId="9" fontId="7" fillId="3" borderId="1" xfId="3" applyFont="1" applyFill="1" applyBorder="1" applyAlignment="1">
      <alignment horizontal="right" vertical="center" wrapText="1"/>
    </xf>
    <xf numFmtId="165" fontId="8" fillId="3" borderId="1" xfId="3" applyNumberFormat="1" applyFont="1" applyFill="1" applyBorder="1" applyAlignment="1">
      <alignment horizontal="right" vertical="center"/>
    </xf>
    <xf numFmtId="169" fontId="8" fillId="3" borderId="1" xfId="3" applyNumberFormat="1" applyFont="1" applyFill="1" applyBorder="1" applyAlignment="1">
      <alignment horizontal="right" vertical="center"/>
    </xf>
    <xf numFmtId="165" fontId="8" fillId="3" borderId="1" xfId="0" applyNumberFormat="1" applyFont="1" applyFill="1" applyBorder="1" applyAlignment="1">
      <alignment horizontal="right" vertical="center" wrapText="1"/>
    </xf>
    <xf numFmtId="9" fontId="10" fillId="0" borderId="0" xfId="3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0" fillId="0" borderId="0" xfId="1" applyFont="1"/>
    <xf numFmtId="165" fontId="7" fillId="3" borderId="6" xfId="3" applyNumberFormat="1" applyFont="1" applyFill="1" applyBorder="1" applyAlignment="1">
      <alignment horizontal="right" vertical="center"/>
    </xf>
    <xf numFmtId="169" fontId="7" fillId="3" borderId="6" xfId="3" applyNumberFormat="1" applyFont="1" applyFill="1" applyBorder="1" applyAlignment="1">
      <alignment horizontal="right" vertical="center"/>
    </xf>
    <xf numFmtId="165" fontId="7" fillId="3" borderId="1" xfId="3" applyNumberFormat="1" applyFont="1" applyFill="1" applyBorder="1" applyAlignment="1">
      <alignment horizontal="right" vertical="center"/>
    </xf>
    <xf numFmtId="169" fontId="7" fillId="3" borderId="1" xfId="3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5" fontId="7" fillId="3" borderId="0" xfId="3" applyNumberFormat="1" applyFont="1" applyFill="1" applyBorder="1" applyAlignment="1">
      <alignment horizontal="right" vertical="center"/>
    </xf>
    <xf numFmtId="165" fontId="7" fillId="3" borderId="25" xfId="3" applyNumberFormat="1" applyFont="1" applyFill="1" applyBorder="1" applyAlignment="1">
      <alignment horizontal="right" vertical="center"/>
    </xf>
    <xf numFmtId="165" fontId="8" fillId="3" borderId="0" xfId="3" applyNumberFormat="1" applyFont="1" applyFill="1" applyBorder="1" applyAlignment="1">
      <alignment horizontal="right" vertical="center"/>
    </xf>
    <xf numFmtId="0" fontId="7" fillId="0" borderId="0" xfId="0" applyFont="1"/>
    <xf numFmtId="165" fontId="7" fillId="3" borderId="26" xfId="3" applyNumberFormat="1" applyFont="1" applyFill="1" applyBorder="1" applyAlignment="1">
      <alignment horizontal="right" vertical="center"/>
    </xf>
    <xf numFmtId="165" fontId="7" fillId="3" borderId="27" xfId="3" applyNumberFormat="1" applyFont="1" applyFill="1" applyBorder="1" applyAlignment="1">
      <alignment horizontal="right" vertical="center"/>
    </xf>
    <xf numFmtId="0" fontId="5" fillId="0" borderId="23" xfId="0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164" fontId="8" fillId="3" borderId="2" xfId="2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7" fillId="5" borderId="15" xfId="0" applyFont="1" applyFill="1" applyBorder="1" applyAlignment="1">
      <alignment horizontal="left" vertical="center" wrapText="1"/>
    </xf>
    <xf numFmtId="165" fontId="7" fillId="5" borderId="29" xfId="0" applyNumberFormat="1" applyFont="1" applyFill="1" applyBorder="1" applyAlignment="1">
      <alignment horizontal="right" vertical="center" wrapText="1"/>
    </xf>
    <xf numFmtId="0" fontId="5" fillId="6" borderId="30" xfId="0" applyFont="1" applyFill="1" applyBorder="1" applyAlignment="1">
      <alignment horizontal="left" vertical="center" wrapText="1"/>
    </xf>
    <xf numFmtId="164" fontId="7" fillId="8" borderId="31" xfId="0" applyNumberFormat="1" applyFont="1" applyFill="1" applyBorder="1" applyAlignment="1">
      <alignment horizontal="right" vertical="center" wrapText="1"/>
    </xf>
    <xf numFmtId="0" fontId="7" fillId="8" borderId="15" xfId="0" applyFont="1" applyFill="1" applyBorder="1" applyAlignment="1">
      <alignment horizontal="left" vertical="center" wrapText="1"/>
    </xf>
    <xf numFmtId="0" fontId="7" fillId="9" borderId="15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164" fontId="8" fillId="0" borderId="3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 wrapText="1"/>
    </xf>
    <xf numFmtId="166" fontId="7" fillId="10" borderId="6" xfId="0" applyNumberFormat="1" applyFont="1" applyFill="1" applyBorder="1" applyAlignment="1">
      <alignment horizontal="right" vertical="center" wrapText="1"/>
    </xf>
    <xf numFmtId="168" fontId="7" fillId="10" borderId="6" xfId="0" applyNumberFormat="1" applyFont="1" applyFill="1" applyBorder="1" applyAlignment="1">
      <alignment horizontal="right" vertical="center"/>
    </xf>
    <xf numFmtId="0" fontId="0" fillId="10" borderId="6" xfId="0" applyFill="1" applyBorder="1"/>
    <xf numFmtId="0" fontId="3" fillId="11" borderId="0" xfId="0" applyFont="1" applyFill="1"/>
    <xf numFmtId="0" fontId="3" fillId="0" borderId="0" xfId="0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10" fontId="5" fillId="4" borderId="1" xfId="3" applyNumberFormat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/>
    </xf>
    <xf numFmtId="8" fontId="0" fillId="0" borderId="0" xfId="0" applyNumberFormat="1" applyAlignment="1">
      <alignment wrapText="1"/>
    </xf>
    <xf numFmtId="8" fontId="0" fillId="0" borderId="0" xfId="0" applyNumberForma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5" fillId="12" borderId="30" xfId="0" applyFont="1" applyFill="1" applyBorder="1" applyAlignment="1">
      <alignment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12" borderId="11" xfId="0" applyFont="1" applyFill="1" applyBorder="1" applyAlignment="1">
      <alignment wrapText="1"/>
    </xf>
    <xf numFmtId="6" fontId="7" fillId="0" borderId="12" xfId="0" applyNumberFormat="1" applyFont="1" applyBorder="1" applyAlignment="1">
      <alignment horizontal="center" vertical="center" wrapText="1"/>
    </xf>
    <xf numFmtId="170" fontId="7" fillId="0" borderId="12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20" xfId="0" applyBorder="1" applyAlignment="1">
      <alignment horizontal="center"/>
    </xf>
    <xf numFmtId="0" fontId="0" fillId="0" borderId="0" xfId="0" applyAlignment="1">
      <alignment vertical="center" wrapText="1"/>
    </xf>
    <xf numFmtId="44" fontId="0" fillId="0" borderId="0" xfId="2" applyFont="1"/>
    <xf numFmtId="0" fontId="0" fillId="0" borderId="0" xfId="0" applyAlignment="1">
      <alignment horizontal="left"/>
    </xf>
    <xf numFmtId="0" fontId="7" fillId="12" borderId="8" xfId="0" applyFont="1" applyFill="1" applyBorder="1" applyAlignment="1">
      <alignment horizontal="left" vertical="center" wrapText="1"/>
    </xf>
    <xf numFmtId="6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71" fontId="7" fillId="0" borderId="1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164" fontId="2" fillId="0" borderId="0" xfId="0" applyNumberFormat="1" applyFont="1"/>
    <xf numFmtId="0" fontId="7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5" fillId="12" borderId="13" xfId="0" applyFont="1" applyFill="1" applyBorder="1" applyAlignment="1">
      <alignment horizontal="left" vertical="center" wrapText="1"/>
    </xf>
    <xf numFmtId="6" fontId="7" fillId="0" borderId="14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171" fontId="7" fillId="0" borderId="1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171" fontId="7" fillId="0" borderId="12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7" fillId="12" borderId="8" xfId="0" applyFont="1" applyFill="1" applyBorder="1" applyAlignment="1">
      <alignment wrapText="1"/>
    </xf>
    <xf numFmtId="0" fontId="7" fillId="12" borderId="14" xfId="0" applyFont="1" applyFill="1" applyBorder="1" applyAlignment="1">
      <alignment horizontal="left" vertical="center" wrapText="1"/>
    </xf>
    <xf numFmtId="171" fontId="7" fillId="0" borderId="14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5" fillId="12" borderId="15" xfId="0" applyFont="1" applyFill="1" applyBorder="1" applyAlignment="1">
      <alignment horizontal="left" vertical="center" wrapText="1"/>
    </xf>
    <xf numFmtId="6" fontId="7" fillId="0" borderId="7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/>
    </xf>
    <xf numFmtId="0" fontId="5" fillId="12" borderId="30" xfId="0" applyFont="1" applyFill="1" applyBorder="1" applyAlignment="1">
      <alignment horizontal="left" vertical="center" wrapText="1"/>
    </xf>
    <xf numFmtId="6" fontId="7" fillId="0" borderId="32" xfId="0" applyNumberFormat="1" applyFont="1" applyBorder="1" applyAlignment="1">
      <alignment horizontal="center" vertical="center" wrapText="1"/>
    </xf>
    <xf numFmtId="164" fontId="7" fillId="0" borderId="32" xfId="0" applyNumberFormat="1" applyFont="1" applyBorder="1" applyAlignment="1">
      <alignment horizontal="center" vertical="center" wrapText="1"/>
    </xf>
    <xf numFmtId="171" fontId="7" fillId="0" borderId="32" xfId="0" applyNumberFormat="1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171" fontId="7" fillId="0" borderId="0" xfId="0" applyNumberFormat="1" applyFont="1" applyAlignment="1">
      <alignment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71" fontId="7" fillId="0" borderId="7" xfId="0" applyNumberFormat="1" applyFont="1" applyBorder="1" applyAlignment="1">
      <alignment horizontal="center"/>
    </xf>
    <xf numFmtId="171" fontId="7" fillId="0" borderId="6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 vertical="center" wrapText="1"/>
    </xf>
    <xf numFmtId="0" fontId="10" fillId="4" borderId="16" xfId="4" applyFill="1" applyBorder="1"/>
    <xf numFmtId="0" fontId="3" fillId="4" borderId="35" xfId="5" applyFont="1" applyFill="1" applyBorder="1" applyAlignment="1">
      <alignment vertical="center"/>
    </xf>
    <xf numFmtId="0" fontId="3" fillId="4" borderId="18" xfId="5" applyFont="1" applyFill="1" applyBorder="1" applyAlignment="1">
      <alignment vertical="center"/>
    </xf>
    <xf numFmtId="0" fontId="15" fillId="0" borderId="36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38" xfId="4" applyFont="1" applyBorder="1" applyAlignment="1">
      <alignment horizontal="center" vertical="center" wrapText="1"/>
    </xf>
    <xf numFmtId="0" fontId="1" fillId="0" borderId="16" xfId="6" applyBorder="1"/>
    <xf numFmtId="0" fontId="1" fillId="0" borderId="35" xfId="6" applyBorder="1" applyAlignment="1">
      <alignment wrapText="1"/>
    </xf>
    <xf numFmtId="0" fontId="1" fillId="0" borderId="18" xfId="6" applyBorder="1" applyAlignment="1">
      <alignment horizontal="center"/>
    </xf>
    <xf numFmtId="0" fontId="1" fillId="0" borderId="39" xfId="6" applyBorder="1"/>
    <xf numFmtId="0" fontId="1" fillId="0" borderId="40" xfId="6" applyBorder="1" applyAlignment="1">
      <alignment wrapText="1"/>
    </xf>
    <xf numFmtId="0" fontId="1" fillId="0" borderId="41" xfId="6" applyBorder="1" applyAlignment="1">
      <alignment horizontal="center"/>
    </xf>
    <xf numFmtId="0" fontId="16" fillId="0" borderId="30" xfId="5" applyFont="1" applyBorder="1" applyAlignment="1">
      <alignment vertical="center"/>
    </xf>
    <xf numFmtId="0" fontId="16" fillId="0" borderId="32" xfId="5" applyFont="1" applyBorder="1" applyAlignment="1">
      <alignment horizontal="center" vertical="center"/>
    </xf>
    <xf numFmtId="0" fontId="16" fillId="0" borderId="33" xfId="5" applyFont="1" applyBorder="1" applyAlignment="1">
      <alignment horizontal="center" vertical="center" wrapText="1"/>
    </xf>
    <xf numFmtId="0" fontId="10" fillId="0" borderId="40" xfId="4" applyBorder="1" applyAlignment="1">
      <alignment vertical="center"/>
    </xf>
    <xf numFmtId="0" fontId="10" fillId="0" borderId="42" xfId="4" applyBorder="1" applyAlignment="1">
      <alignment vertical="center" wrapText="1"/>
    </xf>
    <xf numFmtId="0" fontId="10" fillId="0" borderId="40" xfId="4" applyBorder="1" applyAlignment="1">
      <alignment horizontal="center" vertical="center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2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66" fontId="7" fillId="3" borderId="2" xfId="0" applyNumberFormat="1" applyFont="1" applyFill="1" applyBorder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2" fillId="0" borderId="26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top" wrapText="1"/>
    </xf>
    <xf numFmtId="165" fontId="7" fillId="0" borderId="3" xfId="0" applyNumberFormat="1" applyFont="1" applyBorder="1" applyAlignment="1">
      <alignment horizontal="center" vertical="top"/>
    </xf>
    <xf numFmtId="165" fontId="7" fillId="0" borderId="4" xfId="0" applyNumberFormat="1" applyFont="1" applyBorder="1" applyAlignment="1">
      <alignment horizontal="center" vertical="top"/>
    </xf>
    <xf numFmtId="165" fontId="7" fillId="0" borderId="2" xfId="0" quotePrefix="1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3" fillId="4" borderId="16" xfId="7" applyFont="1" applyFill="1" applyBorder="1" applyAlignment="1">
      <alignment horizontal="center" vertical="center"/>
    </xf>
    <xf numFmtId="0" fontId="3" fillId="4" borderId="17" xfId="7" applyFont="1" applyFill="1" applyBorder="1" applyAlignment="1">
      <alignment horizontal="center" vertical="center"/>
    </xf>
    <xf numFmtId="0" fontId="3" fillId="4" borderId="18" xfId="7" applyFont="1" applyFill="1" applyBorder="1" applyAlignment="1">
      <alignment horizontal="center" vertical="center"/>
    </xf>
  </cellXfs>
  <cellStyles count="8">
    <cellStyle name="Comma" xfId="1" builtinId="3"/>
    <cellStyle name="Currency" xfId="2" builtinId="4"/>
    <cellStyle name="Normal" xfId="0" builtinId="0"/>
    <cellStyle name="Normal 2" xfId="4" xr:uid="{26C775A3-9E91-44A7-942A-675D95BB56D2}"/>
    <cellStyle name="Normal 2 2 2" xfId="7" xr:uid="{FF1637B0-34CC-438A-A705-D4A843EE910F}"/>
    <cellStyle name="Normal 2 2 3" xfId="5" xr:uid="{5089C9E0-6F1C-493F-82B4-F7CD9B167838}"/>
    <cellStyle name="Normal 4" xfId="6" xr:uid="{E9841DE2-0D11-466A-8D83-83AD2D35290B}"/>
    <cellStyle name="Percent" xfId="3" builtinId="5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achut\AppData\Roaming\OpenText\OTEdit\EC_cera\c289336080\2029-2030_RPM_BRA_Planning_Parameters_updated%20PJM%20West%20version.xlsm" TargetMode="External"/><Relationship Id="rId1" Type="http://schemas.openxmlformats.org/officeDocument/2006/relationships/externalLinkPath" Target="file:///C:\Users\Bachut\AppData\Roaming\OpenText\OTEdit\EC_cera\c289336080\2029-2030_RPM_BRA_Planning_Parameters_updated%20PJM%20West%20vers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ngeControlLog"/>
      <sheetName val="Planning Parameters"/>
      <sheetName val="Planning Parameters-Collar"/>
      <sheetName val="Net CONE"/>
      <sheetName val="Key Transmission Upgrades"/>
      <sheetName val="Load-FRR-DNP"/>
      <sheetName val="PP Checks - DNP"/>
      <sheetName val="MOI Parameters-DNP"/>
      <sheetName val="TableB10-DNP"/>
      <sheetName val="LoadAdj-DNP"/>
      <sheetName val="Load Bubbles-DNP"/>
      <sheetName val="CETOs-DNP"/>
      <sheetName val="Remove Model LDA Check-DNP"/>
      <sheetName val="CETO_CETL check-DNP"/>
      <sheetName val="Check Before Posting-DNP"/>
    </sheetNames>
    <sheetDataSet>
      <sheetData sheetId="0"/>
      <sheetData sheetId="1">
        <row r="18">
          <cell r="C18">
            <v>511.00578947368416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4A9B-FF9A-4622-895A-15E4CE6A91BB}">
  <sheetPr codeName="Sheet3"/>
  <dimension ref="A1:T109"/>
  <sheetViews>
    <sheetView tabSelected="1" zoomScale="70" zoomScaleNormal="70" workbookViewId="0"/>
  </sheetViews>
  <sheetFormatPr defaultRowHeight="15" x14ac:dyDescent="0.25"/>
  <cols>
    <col min="1" max="1" width="60.85546875" customWidth="1"/>
    <col min="2" max="19" width="17" customWidth="1"/>
  </cols>
  <sheetData>
    <row r="1" spans="1:19" ht="18" x14ac:dyDescent="0.25">
      <c r="A1" s="1" t="s">
        <v>0</v>
      </c>
      <c r="B1" s="1"/>
      <c r="C1" s="2"/>
      <c r="D1" s="3">
        <v>46266</v>
      </c>
      <c r="E1" s="4"/>
      <c r="F1" s="4"/>
      <c r="G1" s="99"/>
      <c r="H1" s="5"/>
      <c r="I1" s="6" t="s">
        <v>1</v>
      </c>
      <c r="J1" s="7" t="s">
        <v>1</v>
      </c>
    </row>
    <row r="2" spans="1:19" ht="15.75" x14ac:dyDescent="0.25">
      <c r="A2" s="8" t="s">
        <v>1</v>
      </c>
      <c r="B2" s="11"/>
      <c r="C2" s="11"/>
      <c r="D2" s="11"/>
      <c r="E2" s="11"/>
      <c r="F2" s="11"/>
      <c r="G2" s="7"/>
      <c r="H2" s="11"/>
      <c r="I2" s="7" t="s">
        <v>1</v>
      </c>
      <c r="J2" s="10" t="s">
        <v>1</v>
      </c>
      <c r="K2" s="11" t="s">
        <v>1</v>
      </c>
      <c r="L2" s="11"/>
      <c r="M2" s="9" t="s">
        <v>1</v>
      </c>
      <c r="N2" s="11"/>
    </row>
    <row r="3" spans="1:19" ht="18" x14ac:dyDescent="0.25">
      <c r="A3" s="12" t="s">
        <v>1</v>
      </c>
      <c r="B3" s="13" t="s">
        <v>2</v>
      </c>
      <c r="C3" s="198" t="s">
        <v>3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200"/>
    </row>
    <row r="4" spans="1:19" x14ac:dyDescent="0.25">
      <c r="A4" s="12" t="s">
        <v>4</v>
      </c>
      <c r="B4" s="14">
        <v>0.20399999999999999</v>
      </c>
      <c r="C4" s="201" t="s">
        <v>5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3"/>
    </row>
    <row r="5" spans="1:19" ht="15" customHeight="1" x14ac:dyDescent="0.25">
      <c r="A5" s="12" t="s">
        <v>6</v>
      </c>
      <c r="B5" s="15">
        <v>0.76680000000000004</v>
      </c>
      <c r="C5" s="201" t="s">
        <v>7</v>
      </c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3"/>
    </row>
    <row r="6" spans="1:19" ht="15" customHeight="1" x14ac:dyDescent="0.25">
      <c r="A6" s="12" t="s">
        <v>8</v>
      </c>
      <c r="B6" s="15">
        <v>0.76</v>
      </c>
      <c r="C6" s="204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</row>
    <row r="7" spans="1:19" ht="15" customHeight="1" x14ac:dyDescent="0.25">
      <c r="A7" s="12" t="s">
        <v>9</v>
      </c>
      <c r="B7" s="16">
        <v>0.92320000000000002</v>
      </c>
      <c r="C7" s="201" t="s">
        <v>7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3"/>
    </row>
    <row r="8" spans="1:19" ht="15" customHeight="1" x14ac:dyDescent="0.25">
      <c r="A8" s="12" t="s">
        <v>10</v>
      </c>
      <c r="B8" s="17">
        <v>171915.5</v>
      </c>
      <c r="C8" s="207" t="s">
        <v>11</v>
      </c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9"/>
    </row>
    <row r="9" spans="1:19" ht="15" customHeight="1" x14ac:dyDescent="0.25">
      <c r="A9" s="12" t="s">
        <v>96</v>
      </c>
      <c r="B9" s="100">
        <v>256.75</v>
      </c>
      <c r="C9" s="101" t="s">
        <v>97</v>
      </c>
      <c r="D9" s="102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</row>
    <row r="10" spans="1:19" ht="15" customHeight="1" x14ac:dyDescent="0.25">
      <c r="A10" s="12" t="s">
        <v>98</v>
      </c>
      <c r="B10" s="100">
        <v>138.25</v>
      </c>
      <c r="C10" s="101" t="s">
        <v>97</v>
      </c>
      <c r="D10" s="102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</row>
    <row r="11" spans="1:19" ht="15.75" customHeight="1" x14ac:dyDescent="0.25">
      <c r="A11" s="12" t="s">
        <v>1</v>
      </c>
      <c r="B11" s="18" t="s">
        <v>1</v>
      </c>
      <c r="C11" s="210" t="s">
        <v>12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2"/>
    </row>
    <row r="12" spans="1:19" ht="15.75" x14ac:dyDescent="0.25">
      <c r="A12" s="19" t="s">
        <v>1</v>
      </c>
      <c r="B12" s="20" t="s">
        <v>2</v>
      </c>
      <c r="C12" s="20" t="s">
        <v>13</v>
      </c>
      <c r="D12" s="20" t="s">
        <v>14</v>
      </c>
      <c r="E12" s="20" t="s">
        <v>15</v>
      </c>
      <c r="F12" s="20" t="s">
        <v>16</v>
      </c>
      <c r="G12" s="20" t="s">
        <v>17</v>
      </c>
      <c r="H12" s="20" t="s">
        <v>18</v>
      </c>
      <c r="I12" s="20" t="s">
        <v>19</v>
      </c>
      <c r="J12" s="20" t="s">
        <v>20</v>
      </c>
      <c r="K12" s="20" t="s">
        <v>21</v>
      </c>
      <c r="L12" s="20" t="s">
        <v>22</v>
      </c>
      <c r="M12" s="20" t="s">
        <v>23</v>
      </c>
      <c r="N12" s="20" t="s">
        <v>24</v>
      </c>
      <c r="O12" s="20" t="s">
        <v>25</v>
      </c>
      <c r="P12" s="20" t="s">
        <v>26</v>
      </c>
      <c r="Q12" s="20" t="s">
        <v>27</v>
      </c>
      <c r="R12" s="21" t="s">
        <v>28</v>
      </c>
      <c r="S12" s="22" t="s">
        <v>29</v>
      </c>
    </row>
    <row r="13" spans="1:19" x14ac:dyDescent="0.25">
      <c r="A13" s="23" t="s">
        <v>30</v>
      </c>
      <c r="B13" s="24" t="s">
        <v>31</v>
      </c>
      <c r="C13" s="24">
        <v>8306</v>
      </c>
      <c r="D13" s="25">
        <v>-1524</v>
      </c>
      <c r="E13" s="25">
        <v>5666</v>
      </c>
      <c r="F13" s="25">
        <v>6132</v>
      </c>
      <c r="G13" s="25">
        <v>6464</v>
      </c>
      <c r="H13" s="25">
        <v>2668</v>
      </c>
      <c r="I13" s="25">
        <v>1622</v>
      </c>
      <c r="J13" s="25">
        <v>3869</v>
      </c>
      <c r="K13" s="25">
        <v>3837</v>
      </c>
      <c r="L13" s="25">
        <v>3552</v>
      </c>
      <c r="M13" s="25">
        <v>696</v>
      </c>
      <c r="N13" s="25">
        <v>4571</v>
      </c>
      <c r="O13" s="25">
        <v>1767</v>
      </c>
      <c r="P13" s="25">
        <v>2797</v>
      </c>
      <c r="Q13" s="25">
        <v>2809</v>
      </c>
      <c r="R13" s="25">
        <v>8087</v>
      </c>
      <c r="S13" s="25">
        <v>3390</v>
      </c>
    </row>
    <row r="14" spans="1:19" x14ac:dyDescent="0.25">
      <c r="A14" s="23" t="s">
        <v>32</v>
      </c>
      <c r="B14" s="24" t="s">
        <v>31</v>
      </c>
      <c r="C14" s="24">
        <v>8718</v>
      </c>
      <c r="D14" s="25">
        <v>1107</v>
      </c>
      <c r="E14" s="25">
        <v>7347</v>
      </c>
      <c r="F14" s="25">
        <v>8010</v>
      </c>
      <c r="G14" s="25">
        <v>9151</v>
      </c>
      <c r="H14" s="25">
        <v>4954</v>
      </c>
      <c r="I14" s="25">
        <v>1947</v>
      </c>
      <c r="J14" s="25">
        <v>5441</v>
      </c>
      <c r="K14" s="25">
        <v>11148</v>
      </c>
      <c r="L14" s="25">
        <v>5276</v>
      </c>
      <c r="M14" s="25">
        <v>500</v>
      </c>
      <c r="N14" s="25">
        <v>7247</v>
      </c>
      <c r="O14" s="25">
        <v>4967</v>
      </c>
      <c r="P14" s="25">
        <v>4797</v>
      </c>
      <c r="Q14" s="25">
        <v>5584</v>
      </c>
      <c r="R14" s="25">
        <v>5717</v>
      </c>
      <c r="S14" s="25">
        <v>4807</v>
      </c>
    </row>
    <row r="15" spans="1:19" x14ac:dyDescent="0.25">
      <c r="A15" s="26" t="s">
        <v>33</v>
      </c>
      <c r="B15" s="24">
        <v>158712.4</v>
      </c>
      <c r="C15" s="24">
        <v>81275.599999999904</v>
      </c>
      <c r="D15" s="25">
        <v>53743.3</v>
      </c>
      <c r="E15" s="25">
        <v>30741.7</v>
      </c>
      <c r="F15" s="25">
        <v>13160.5</v>
      </c>
      <c r="G15" s="25">
        <v>10815.3</v>
      </c>
      <c r="H15" s="25">
        <v>5201.8</v>
      </c>
      <c r="I15" s="25">
        <v>2638.7</v>
      </c>
      <c r="J15" s="25">
        <v>6344.2</v>
      </c>
      <c r="K15" s="25">
        <v>12379.699999999901</v>
      </c>
      <c r="L15" s="25">
        <v>5217.2</v>
      </c>
      <c r="M15" s="25">
        <v>22663</v>
      </c>
      <c r="N15" s="25">
        <v>6963.6</v>
      </c>
      <c r="O15" s="25">
        <v>10691.299999999899</v>
      </c>
      <c r="P15" s="25">
        <v>3808.3</v>
      </c>
      <c r="Q15" s="25">
        <v>5509.5</v>
      </c>
      <c r="R15" s="25">
        <v>30742.5</v>
      </c>
      <c r="S15" s="25">
        <v>6049.7</v>
      </c>
    </row>
    <row r="16" spans="1:19" x14ac:dyDescent="0.25">
      <c r="A16" s="23" t="s">
        <v>34</v>
      </c>
      <c r="B16" s="27">
        <v>0</v>
      </c>
      <c r="C16" s="24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7">
        <v>0</v>
      </c>
      <c r="N16" s="28">
        <v>0</v>
      </c>
      <c r="O16" s="28">
        <v>0</v>
      </c>
      <c r="P16" s="28">
        <v>0</v>
      </c>
      <c r="Q16" s="27">
        <v>0</v>
      </c>
      <c r="R16" s="27">
        <v>0</v>
      </c>
      <c r="S16" s="27">
        <v>0</v>
      </c>
    </row>
    <row r="17" spans="1:20" x14ac:dyDescent="0.25">
      <c r="A17" s="23" t="s">
        <v>35</v>
      </c>
      <c r="B17" s="27">
        <v>0</v>
      </c>
      <c r="C17" s="24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7">
        <v>0</v>
      </c>
      <c r="N17" s="28">
        <v>0</v>
      </c>
      <c r="O17" s="28">
        <v>0</v>
      </c>
      <c r="P17" s="28">
        <v>0</v>
      </c>
      <c r="Q17" s="27">
        <v>0</v>
      </c>
      <c r="R17" s="27">
        <v>0</v>
      </c>
      <c r="S17" s="27">
        <v>0</v>
      </c>
      <c r="T17" s="30"/>
    </row>
    <row r="18" spans="1:20" ht="15.75" x14ac:dyDescent="0.25">
      <c r="A18" s="31" t="s">
        <v>36</v>
      </c>
      <c r="B18" s="32">
        <v>158712.4</v>
      </c>
      <c r="C18" s="32">
        <v>81275.599999999904</v>
      </c>
      <c r="D18" s="32">
        <v>53743.3</v>
      </c>
      <c r="E18" s="32">
        <v>30741.7</v>
      </c>
      <c r="F18" s="32">
        <v>13160.5</v>
      </c>
      <c r="G18" s="32">
        <v>10815.3</v>
      </c>
      <c r="H18" s="32">
        <v>5201.8</v>
      </c>
      <c r="I18" s="32">
        <v>2638.7</v>
      </c>
      <c r="J18" s="32">
        <v>6344.2</v>
      </c>
      <c r="K18" s="32">
        <v>12379.699999999901</v>
      </c>
      <c r="L18" s="32">
        <v>5217.2</v>
      </c>
      <c r="M18" s="32">
        <v>22663</v>
      </c>
      <c r="N18" s="32">
        <v>6963.6</v>
      </c>
      <c r="O18" s="32">
        <v>10691.299999999899</v>
      </c>
      <c r="P18" s="32">
        <v>3808.3</v>
      </c>
      <c r="Q18" s="32">
        <v>5509.5</v>
      </c>
      <c r="R18" s="32">
        <v>30742.5</v>
      </c>
      <c r="S18" s="32">
        <v>6049.7</v>
      </c>
    </row>
    <row r="19" spans="1:20" x14ac:dyDescent="0.25">
      <c r="A19" s="33" t="s">
        <v>37</v>
      </c>
      <c r="B19" s="34">
        <v>840.34</v>
      </c>
      <c r="C19" s="34">
        <v>817.3</v>
      </c>
      <c r="D19" s="34">
        <v>809.97</v>
      </c>
      <c r="E19" s="34">
        <v>809.8</v>
      </c>
      <c r="F19" s="34">
        <v>821.28</v>
      </c>
      <c r="G19" s="34">
        <v>809.8</v>
      </c>
      <c r="H19" s="34">
        <v>809.8</v>
      </c>
      <c r="I19" s="34">
        <v>809.8</v>
      </c>
      <c r="J19" s="34">
        <v>821.28</v>
      </c>
      <c r="K19" s="34">
        <v>798.26</v>
      </c>
      <c r="L19" s="34">
        <v>798.26</v>
      </c>
      <c r="M19" s="34">
        <v>969.59</v>
      </c>
      <c r="N19" s="34">
        <v>821.28</v>
      </c>
      <c r="O19" s="34">
        <v>802.78</v>
      </c>
      <c r="P19" s="34">
        <v>798.26</v>
      </c>
      <c r="Q19" s="34">
        <v>798.26</v>
      </c>
      <c r="R19" s="34">
        <v>798.26</v>
      </c>
      <c r="S19" s="34">
        <v>809.8</v>
      </c>
    </row>
    <row r="20" spans="1:20" x14ac:dyDescent="0.25">
      <c r="A20" s="33" t="s">
        <v>38</v>
      </c>
      <c r="B20" s="34">
        <v>495.88684210526321</v>
      </c>
      <c r="C20" s="34">
        <f>'[1]Planning Parameters'!C18</f>
        <v>511.00578947368416</v>
      </c>
      <c r="D20" s="34">
        <v>343.18421052631578</v>
      </c>
      <c r="E20" s="34">
        <v>228.56447368421047</v>
      </c>
      <c r="F20" s="34">
        <v>601.47276315789475</v>
      </c>
      <c r="G20" s="34">
        <v>166.30263157894737</v>
      </c>
      <c r="H20" s="34">
        <v>166.30263157894737</v>
      </c>
      <c r="I20" s="34">
        <v>346.65789473684208</v>
      </c>
      <c r="J20" s="34">
        <v>490.57894736842098</v>
      </c>
      <c r="K20" s="34">
        <v>490.80263157894734</v>
      </c>
      <c r="L20" s="34">
        <v>490.80263157894734</v>
      </c>
      <c r="M20" s="34">
        <v>297.15789473684214</v>
      </c>
      <c r="N20" s="34">
        <v>656.09210526315792</v>
      </c>
      <c r="O20" s="34">
        <v>285.19736842105266</v>
      </c>
      <c r="P20" s="34">
        <v>531.51315789473676</v>
      </c>
      <c r="Q20" s="34">
        <v>519.46052631578948</v>
      </c>
      <c r="R20" s="34">
        <v>764.61842105263156</v>
      </c>
      <c r="S20" s="34">
        <v>169.26315789473685</v>
      </c>
    </row>
    <row r="21" spans="1:20" ht="16.5" thickBot="1" x14ac:dyDescent="0.3">
      <c r="A21" s="213" t="s">
        <v>220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</row>
    <row r="22" spans="1:20" x14ac:dyDescent="0.25">
      <c r="A22" s="35" t="s">
        <v>39</v>
      </c>
      <c r="B22" s="36">
        <v>337.83</v>
      </c>
      <c r="C22" s="36">
        <v>337.83</v>
      </c>
      <c r="D22" s="36">
        <v>337.83</v>
      </c>
      <c r="E22" s="36">
        <v>337.83</v>
      </c>
      <c r="F22" s="36">
        <v>337.83</v>
      </c>
      <c r="G22" s="36">
        <v>337.83</v>
      </c>
      <c r="H22" s="36">
        <v>337.83</v>
      </c>
      <c r="I22" s="36">
        <v>337.83</v>
      </c>
      <c r="J22" s="36">
        <v>337.83</v>
      </c>
      <c r="K22" s="36">
        <v>337.83</v>
      </c>
      <c r="L22" s="36">
        <v>337.83</v>
      </c>
      <c r="M22" s="36">
        <v>337.83</v>
      </c>
      <c r="N22" s="36">
        <v>337.83</v>
      </c>
      <c r="O22" s="36">
        <v>337.83</v>
      </c>
      <c r="P22" s="36">
        <v>337.83</v>
      </c>
      <c r="Q22" s="36">
        <v>337.83</v>
      </c>
      <c r="R22" s="36">
        <v>337.83</v>
      </c>
      <c r="S22" s="36">
        <v>337.83</v>
      </c>
    </row>
    <row r="23" spans="1:20" x14ac:dyDescent="0.25">
      <c r="A23" s="37" t="s">
        <v>40</v>
      </c>
      <c r="B23" s="38">
        <v>297.24</v>
      </c>
      <c r="C23" s="38">
        <v>278.32</v>
      </c>
      <c r="D23" s="38">
        <v>337.04</v>
      </c>
      <c r="E23" s="38">
        <v>181.91</v>
      </c>
      <c r="F23" s="38">
        <v>246.69</v>
      </c>
      <c r="G23" s="38">
        <v>181.91</v>
      </c>
      <c r="H23" s="38">
        <v>181.91</v>
      </c>
      <c r="I23" s="38">
        <v>335.64</v>
      </c>
      <c r="J23" s="38">
        <v>288.27</v>
      </c>
      <c r="K23" s="38">
        <v>274.95</v>
      </c>
      <c r="L23" s="38">
        <v>274.95</v>
      </c>
      <c r="M23" s="38">
        <v>181.91</v>
      </c>
      <c r="N23" s="38">
        <v>226.2</v>
      </c>
      <c r="O23" s="38">
        <v>181.91</v>
      </c>
      <c r="P23" s="38">
        <v>259.68</v>
      </c>
      <c r="Q23" s="38">
        <v>264.2</v>
      </c>
      <c r="R23" s="38">
        <v>172.27</v>
      </c>
      <c r="S23" s="38">
        <v>181.91</v>
      </c>
    </row>
    <row r="24" spans="1:20" x14ac:dyDescent="0.25">
      <c r="A24" s="37" t="s">
        <v>41</v>
      </c>
      <c r="B24" s="38">
        <v>181.91</v>
      </c>
      <c r="C24" s="38">
        <v>181.91</v>
      </c>
      <c r="D24" s="38">
        <v>181.91</v>
      </c>
      <c r="E24" s="38">
        <v>181.91</v>
      </c>
      <c r="F24" s="38">
        <v>181.91</v>
      </c>
      <c r="G24" s="38">
        <v>181.91</v>
      </c>
      <c r="H24" s="38">
        <v>181.91</v>
      </c>
      <c r="I24" s="38">
        <v>181.91</v>
      </c>
      <c r="J24" s="38">
        <v>181.91</v>
      </c>
      <c r="K24" s="38">
        <v>181.91</v>
      </c>
      <c r="L24" s="38">
        <v>181.91</v>
      </c>
      <c r="M24" s="38">
        <v>181.91</v>
      </c>
      <c r="N24" s="38">
        <v>181.91</v>
      </c>
      <c r="O24" s="38">
        <v>181.91</v>
      </c>
      <c r="P24" s="38">
        <v>181.91</v>
      </c>
      <c r="Q24" s="38">
        <v>181.91</v>
      </c>
      <c r="R24" s="38">
        <v>181.91</v>
      </c>
      <c r="S24" s="38">
        <v>181.91</v>
      </c>
    </row>
    <row r="25" spans="1:20" x14ac:dyDescent="0.25">
      <c r="A25" s="37" t="s">
        <v>99</v>
      </c>
      <c r="B25" s="38">
        <v>181.91</v>
      </c>
      <c r="C25" s="38">
        <v>181.91</v>
      </c>
      <c r="D25" s="38">
        <v>181.91</v>
      </c>
      <c r="E25" s="38" t="s">
        <v>162</v>
      </c>
      <c r="F25" s="38">
        <v>181.91</v>
      </c>
      <c r="G25" s="38" t="s">
        <v>162</v>
      </c>
      <c r="H25" s="38" t="s">
        <v>162</v>
      </c>
      <c r="I25" s="38">
        <v>181.91</v>
      </c>
      <c r="J25" s="38">
        <v>181.91</v>
      </c>
      <c r="K25" s="38">
        <v>181.91</v>
      </c>
      <c r="L25" s="38">
        <v>181.91</v>
      </c>
      <c r="M25" s="38" t="s">
        <v>162</v>
      </c>
      <c r="N25" s="38">
        <v>181.91</v>
      </c>
      <c r="O25" s="38" t="s">
        <v>162</v>
      </c>
      <c r="P25" s="38">
        <v>181.91</v>
      </c>
      <c r="Q25" s="38">
        <v>181.91</v>
      </c>
      <c r="R25" s="38">
        <v>181.91</v>
      </c>
      <c r="S25" s="38" t="s">
        <v>162</v>
      </c>
    </row>
    <row r="26" spans="1:20" x14ac:dyDescent="0.25">
      <c r="A26" s="37" t="s">
        <v>42</v>
      </c>
      <c r="B26" s="39">
        <v>160551.29999999999</v>
      </c>
      <c r="C26" s="39">
        <v>82060.2</v>
      </c>
      <c r="D26" s="39">
        <v>54546.3</v>
      </c>
      <c r="E26" s="39">
        <v>31356.1</v>
      </c>
      <c r="F26" s="39">
        <v>13236.3</v>
      </c>
      <c r="G26" s="39">
        <v>11056.5</v>
      </c>
      <c r="H26" s="39">
        <v>5317.8</v>
      </c>
      <c r="I26" s="39">
        <v>2677.9</v>
      </c>
      <c r="J26" s="39">
        <v>6412.1</v>
      </c>
      <c r="K26" s="39">
        <v>12494.6</v>
      </c>
      <c r="L26" s="39">
        <v>5265.7</v>
      </c>
      <c r="M26" s="39">
        <v>23250.400000000001</v>
      </c>
      <c r="N26" s="39">
        <v>6982.2</v>
      </c>
      <c r="O26" s="39">
        <v>10874.5</v>
      </c>
      <c r="P26" s="39">
        <v>3836.7</v>
      </c>
      <c r="Q26" s="39">
        <v>5553.7</v>
      </c>
      <c r="R26" s="39">
        <v>30465</v>
      </c>
      <c r="S26" s="39">
        <v>6184</v>
      </c>
    </row>
    <row r="27" spans="1:20" x14ac:dyDescent="0.25">
      <c r="A27" s="37" t="s">
        <v>43</v>
      </c>
      <c r="B27" s="39">
        <v>161093.1</v>
      </c>
      <c r="C27" s="39">
        <v>82494.7</v>
      </c>
      <c r="D27" s="39">
        <v>54549.4</v>
      </c>
      <c r="E27" s="39">
        <v>31923.8</v>
      </c>
      <c r="F27" s="39">
        <v>13357.9</v>
      </c>
      <c r="G27" s="39">
        <v>11244.7</v>
      </c>
      <c r="H27" s="39">
        <v>5408.3</v>
      </c>
      <c r="I27" s="39">
        <v>2678.3</v>
      </c>
      <c r="J27" s="39">
        <v>6439.4</v>
      </c>
      <c r="K27" s="39">
        <v>12565.4</v>
      </c>
      <c r="L27" s="39">
        <v>5295.5</v>
      </c>
      <c r="M27" s="39">
        <v>23606.9</v>
      </c>
      <c r="N27" s="39">
        <v>7068.1</v>
      </c>
      <c r="O27" s="39">
        <v>11086</v>
      </c>
      <c r="P27" s="39">
        <v>3865.4</v>
      </c>
      <c r="Q27" s="39">
        <v>5592.1</v>
      </c>
      <c r="R27" s="39">
        <v>31203.599999999999</v>
      </c>
      <c r="S27" s="39">
        <v>6289.5</v>
      </c>
    </row>
    <row r="28" spans="1:20" x14ac:dyDescent="0.25">
      <c r="A28" s="37" t="s">
        <v>44</v>
      </c>
      <c r="B28" s="39">
        <v>163864.20000000001</v>
      </c>
      <c r="C28" s="39">
        <v>83761.600000000006</v>
      </c>
      <c r="D28" s="39">
        <v>55662.6</v>
      </c>
      <c r="E28" s="39">
        <v>32586.2</v>
      </c>
      <c r="F28" s="39">
        <v>13513.4</v>
      </c>
      <c r="G28" s="39">
        <v>11464.2</v>
      </c>
      <c r="H28" s="39">
        <v>5513.9</v>
      </c>
      <c r="I28" s="39">
        <v>2732.7</v>
      </c>
      <c r="J28" s="39">
        <v>6544.7</v>
      </c>
      <c r="K28" s="39">
        <v>12753.9</v>
      </c>
      <c r="L28" s="39">
        <v>5374.9</v>
      </c>
      <c r="M28" s="39">
        <v>24022.799999999999</v>
      </c>
      <c r="N28" s="39">
        <v>7129.4</v>
      </c>
      <c r="O28" s="39">
        <v>11332.8</v>
      </c>
      <c r="P28" s="39">
        <v>3916.7</v>
      </c>
      <c r="Q28" s="39">
        <v>5669.3</v>
      </c>
      <c r="R28" s="39">
        <v>31126.2</v>
      </c>
      <c r="S28" s="39">
        <v>6412.7</v>
      </c>
    </row>
    <row r="29" spans="1:20" ht="15.75" thickBot="1" x14ac:dyDescent="0.3">
      <c r="A29" s="103" t="s">
        <v>100</v>
      </c>
      <c r="B29" s="104">
        <v>168235.1</v>
      </c>
      <c r="C29" s="104">
        <v>86152.1</v>
      </c>
      <c r="D29" s="104">
        <v>56967.9</v>
      </c>
      <c r="E29" s="104" t="s">
        <v>162</v>
      </c>
      <c r="F29" s="104">
        <v>13950.1</v>
      </c>
      <c r="G29" s="104" t="s">
        <v>162</v>
      </c>
      <c r="H29" s="104" t="s">
        <v>162</v>
      </c>
      <c r="I29" s="104">
        <v>2797</v>
      </c>
      <c r="J29" s="104">
        <v>6724.9</v>
      </c>
      <c r="K29" s="104">
        <v>13122.5</v>
      </c>
      <c r="L29" s="104">
        <v>5530.2</v>
      </c>
      <c r="M29" s="104" t="s">
        <v>162</v>
      </c>
      <c r="N29" s="104">
        <v>7381.4</v>
      </c>
      <c r="O29" s="104" t="s">
        <v>162</v>
      </c>
      <c r="P29" s="104">
        <v>4036.8</v>
      </c>
      <c r="Q29" s="104">
        <v>5840.1</v>
      </c>
      <c r="R29" s="104">
        <v>32587.1</v>
      </c>
      <c r="S29" s="104" t="s">
        <v>162</v>
      </c>
    </row>
    <row r="30" spans="1:20" ht="16.5" thickBot="1" x14ac:dyDescent="0.3">
      <c r="A30" s="105" t="s">
        <v>45</v>
      </c>
      <c r="B30" s="40">
        <f>D30+K30+M30+P30+Q30</f>
        <v>0</v>
      </c>
      <c r="C30" s="40">
        <f>0+K30+L30+M30+P30+Q30</f>
        <v>0</v>
      </c>
      <c r="D30" s="40">
        <f>E30+F30+O30</f>
        <v>0</v>
      </c>
      <c r="E30" s="40">
        <f>0+I30+S30</f>
        <v>0</v>
      </c>
      <c r="F30" s="40">
        <f>J30+N30</f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</row>
    <row r="31" spans="1:20" ht="16.5" thickBot="1" x14ac:dyDescent="0.3">
      <c r="A31" s="215" t="s">
        <v>46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7"/>
    </row>
    <row r="32" spans="1:20" x14ac:dyDescent="0.25">
      <c r="A32" s="41" t="s">
        <v>47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 t="s">
        <v>1</v>
      </c>
      <c r="P32" s="42" t="s">
        <v>1</v>
      </c>
      <c r="Q32" s="43" t="s">
        <v>1</v>
      </c>
      <c r="R32" s="43"/>
      <c r="S32" s="44"/>
    </row>
    <row r="33" spans="1:19" x14ac:dyDescent="0.25">
      <c r="A33" s="45" t="s">
        <v>48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 t="s">
        <v>1</v>
      </c>
      <c r="P33" s="46" t="s">
        <v>1</v>
      </c>
      <c r="Q33" s="47" t="s">
        <v>1</v>
      </c>
      <c r="R33" s="47"/>
      <c r="S33" s="48"/>
    </row>
    <row r="34" spans="1:19" x14ac:dyDescent="0.25">
      <c r="A34" s="45" t="s">
        <v>49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 t="s">
        <v>1</v>
      </c>
      <c r="P34" s="46" t="s">
        <v>1</v>
      </c>
      <c r="Q34" s="47" t="s">
        <v>1</v>
      </c>
      <c r="R34" s="47"/>
      <c r="S34" s="48"/>
    </row>
    <row r="35" spans="1:19" x14ac:dyDescent="0.25">
      <c r="A35" s="45" t="s">
        <v>101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7"/>
      <c r="R35" s="47"/>
      <c r="S35" s="106"/>
    </row>
    <row r="36" spans="1:19" x14ac:dyDescent="0.25">
      <c r="A36" s="45" t="s">
        <v>41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 t="s">
        <v>1</v>
      </c>
      <c r="P36" s="46" t="s">
        <v>1</v>
      </c>
      <c r="Q36" s="47" t="s">
        <v>1</v>
      </c>
      <c r="R36" s="46"/>
      <c r="S36" s="106"/>
    </row>
    <row r="37" spans="1:19" ht="15.75" thickBot="1" x14ac:dyDescent="0.3">
      <c r="A37" s="107" t="s">
        <v>99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7"/>
      <c r="R37" s="46"/>
      <c r="S37" s="106"/>
    </row>
    <row r="38" spans="1:19" x14ac:dyDescent="0.25">
      <c r="A38" s="49" t="s">
        <v>50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 t="s">
        <v>1</v>
      </c>
      <c r="P38" s="50" t="s">
        <v>1</v>
      </c>
      <c r="Q38" s="51" t="s">
        <v>1</v>
      </c>
      <c r="R38" s="51"/>
      <c r="S38" s="52"/>
    </row>
    <row r="39" spans="1:19" x14ac:dyDescent="0.25">
      <c r="A39" s="53" t="s">
        <v>51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 t="s">
        <v>1</v>
      </c>
      <c r="P39" s="54" t="s">
        <v>1</v>
      </c>
      <c r="Q39" s="55" t="s">
        <v>1</v>
      </c>
      <c r="R39" s="55"/>
      <c r="S39" s="56"/>
    </row>
    <row r="40" spans="1:19" x14ac:dyDescent="0.25">
      <c r="A40" s="53" t="s">
        <v>52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 t="s">
        <v>1</v>
      </c>
      <c r="P40" s="54" t="s">
        <v>1</v>
      </c>
      <c r="Q40" s="55" t="s">
        <v>1</v>
      </c>
      <c r="R40" s="55"/>
      <c r="S40" s="56"/>
    </row>
    <row r="41" spans="1:19" x14ac:dyDescent="0.25">
      <c r="A41" s="53" t="s">
        <v>102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5"/>
      <c r="R41" s="55"/>
      <c r="S41" s="56"/>
    </row>
    <row r="42" spans="1:19" x14ac:dyDescent="0.25">
      <c r="A42" s="53" t="s">
        <v>44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 t="s">
        <v>1</v>
      </c>
      <c r="P42" s="54" t="s">
        <v>1</v>
      </c>
      <c r="Q42" s="55" t="s">
        <v>1</v>
      </c>
      <c r="R42" s="55"/>
      <c r="S42" s="56"/>
    </row>
    <row r="43" spans="1:19" ht="15.75" thickBot="1" x14ac:dyDescent="0.3">
      <c r="A43" s="108" t="s">
        <v>100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5"/>
      <c r="R43" s="55"/>
      <c r="S43" s="56"/>
    </row>
    <row r="44" spans="1:19" ht="16.5" thickBot="1" x14ac:dyDescent="0.3">
      <c r="A44" s="109" t="s">
        <v>53</v>
      </c>
      <c r="B44" s="110">
        <f>ROUND(MAX((B19-B20)*0.5, 20)*((DATE(LEFT($A$1,4)*1+1,5,31)-(DATE(LEFT($A$1,4)*1,6,1))+1)),2)</f>
        <v>62862.7</v>
      </c>
      <c r="C44" s="110">
        <f>ROUND(MAX((C19-C20)*0.5, 20)*((DATE(LEFT($A$1,4)*1+1,5,31)-(DATE(LEFT($A$1,4)*1,6,1))+1)),2)</f>
        <v>55898.69</v>
      </c>
      <c r="D44" s="110">
        <f t="shared" ref="D44:S44" si="0">ROUND(MAX((D19-D20)*0.5, 20)*((DATE(LEFT($A$1,4)*1+1,5,31)-(DATE(LEFT($A$1,4)*1,6,1))+1)),2)</f>
        <v>85188.41</v>
      </c>
      <c r="E44" s="110">
        <f t="shared" si="0"/>
        <v>106075.48</v>
      </c>
      <c r="F44" s="110">
        <f t="shared" si="0"/>
        <v>40114.82</v>
      </c>
      <c r="G44" s="110">
        <f t="shared" si="0"/>
        <v>117438.27</v>
      </c>
      <c r="H44" s="110">
        <f t="shared" si="0"/>
        <v>117438.27</v>
      </c>
      <c r="I44" s="110">
        <f t="shared" si="0"/>
        <v>84523.43</v>
      </c>
      <c r="J44" s="110">
        <f t="shared" si="0"/>
        <v>60352.94</v>
      </c>
      <c r="K44" s="110">
        <f t="shared" si="0"/>
        <v>56110.97</v>
      </c>
      <c r="L44" s="110">
        <f t="shared" si="0"/>
        <v>56110.97</v>
      </c>
      <c r="M44" s="110">
        <f t="shared" si="0"/>
        <v>122718.86</v>
      </c>
      <c r="N44" s="110">
        <f t="shared" si="0"/>
        <v>30146.79</v>
      </c>
      <c r="O44" s="110">
        <f t="shared" si="0"/>
        <v>94458.83</v>
      </c>
      <c r="P44" s="110">
        <f t="shared" si="0"/>
        <v>48681.3</v>
      </c>
      <c r="Q44" s="110">
        <f t="shared" si="0"/>
        <v>50880.9</v>
      </c>
      <c r="R44" s="110">
        <f t="shared" si="0"/>
        <v>7300</v>
      </c>
      <c r="S44" s="110">
        <f t="shared" si="0"/>
        <v>116897.97</v>
      </c>
    </row>
    <row r="45" spans="1:19" x14ac:dyDescent="0.25">
      <c r="A45" s="111" t="s">
        <v>218</v>
      </c>
      <c r="B45" s="112"/>
      <c r="C45" s="112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4"/>
    </row>
    <row r="46" spans="1:19" ht="15.75" x14ac:dyDescent="0.25">
      <c r="A46" s="218" t="s">
        <v>54</v>
      </c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20"/>
    </row>
    <row r="47" spans="1:19" x14ac:dyDescent="0.25">
      <c r="A47" s="57" t="s">
        <v>55</v>
      </c>
      <c r="B47" s="58" t="s">
        <v>31</v>
      </c>
      <c r="C47" s="59">
        <f>MIN(ROUND((C15-C14)/(I82*$B$7),3),100%)</f>
        <v>0.91900000000000004</v>
      </c>
      <c r="D47" s="59">
        <f>MIN(ROUND((D15-D14)/(I81*$B$7),3),100%)</f>
        <v>0.999</v>
      </c>
      <c r="E47" s="60">
        <f>ROUND((E15-E14)/(I78*$B$7),3)</f>
        <v>0.82899999999999996</v>
      </c>
      <c r="F47" s="60">
        <f>ROUND((F15-F14)/(I79*$B$7),3)</f>
        <v>0.46600000000000003</v>
      </c>
      <c r="G47" s="60" t="s">
        <v>31</v>
      </c>
      <c r="H47" s="58" t="s">
        <v>31</v>
      </c>
      <c r="I47" s="60">
        <f>ROUND((I15-I14)/(I66*$B$7),3)</f>
        <v>0.32200000000000001</v>
      </c>
      <c r="J47" s="58" t="s">
        <v>31</v>
      </c>
      <c r="K47" s="60" t="s">
        <v>31</v>
      </c>
      <c r="L47" s="58" t="s">
        <v>31</v>
      </c>
      <c r="M47" s="60" t="str">
        <f>IF(ROUND((M15-M14)/(I60*$B$7),3)&gt;1,"&gt;100%",ROUND((M15-M14)/(I60*$B$7),3))</f>
        <v>&gt;100%</v>
      </c>
      <c r="N47" s="60" t="s">
        <v>31</v>
      </c>
      <c r="O47" s="58" t="s">
        <v>31</v>
      </c>
      <c r="P47" s="58" t="s">
        <v>31</v>
      </c>
      <c r="Q47" s="61" t="s">
        <v>31</v>
      </c>
      <c r="R47" s="61">
        <f>ROUND((R15-R14)/(I64*$B$7),3)</f>
        <v>0.92400000000000004</v>
      </c>
      <c r="S47" s="60" t="s">
        <v>31</v>
      </c>
    </row>
    <row r="48" spans="1:19" ht="15.75" x14ac:dyDescent="0.25">
      <c r="A48" s="218" t="s">
        <v>221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20"/>
    </row>
    <row r="49" spans="1:19" ht="15.75" x14ac:dyDescent="0.25">
      <c r="A49" s="198" t="s">
        <v>219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200"/>
    </row>
    <row r="50" spans="1:19" ht="15.75" x14ac:dyDescent="0.25">
      <c r="A50" s="62" t="s">
        <v>1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9" ht="15.75" x14ac:dyDescent="0.25">
      <c r="A51" s="221" t="s">
        <v>56</v>
      </c>
      <c r="B51" s="221"/>
      <c r="C51" s="221"/>
      <c r="D51" s="221"/>
      <c r="E51" s="221"/>
      <c r="F51" s="221"/>
      <c r="G51" s="221"/>
      <c r="H51" s="221"/>
      <c r="I51" s="221"/>
      <c r="J51" s="64" t="s">
        <v>1</v>
      </c>
      <c r="K51" s="65" t="s">
        <v>1</v>
      </c>
      <c r="M51" s="65" t="s">
        <v>1</v>
      </c>
    </row>
    <row r="52" spans="1:19" ht="94.5" x14ac:dyDescent="0.25">
      <c r="A52" s="66" t="s">
        <v>216</v>
      </c>
      <c r="B52" s="67" t="s">
        <v>58</v>
      </c>
      <c r="C52" s="67" t="s">
        <v>59</v>
      </c>
      <c r="D52" s="67" t="s">
        <v>60</v>
      </c>
      <c r="E52" s="67" t="s">
        <v>103</v>
      </c>
      <c r="F52" s="67" t="s">
        <v>61</v>
      </c>
      <c r="G52" s="67" t="s">
        <v>62</v>
      </c>
      <c r="H52" s="67" t="s">
        <v>63</v>
      </c>
      <c r="I52" s="67" t="s">
        <v>64</v>
      </c>
      <c r="J52" s="67" t="s">
        <v>65</v>
      </c>
      <c r="K52" s="67" t="s">
        <v>66</v>
      </c>
      <c r="L52" s="68" t="s">
        <v>57</v>
      </c>
      <c r="P52" s="69" t="s">
        <v>1</v>
      </c>
      <c r="Q52" s="69" t="s">
        <v>1</v>
      </c>
    </row>
    <row r="53" spans="1:19" ht="15.75" x14ac:dyDescent="0.25">
      <c r="A53" s="70" t="s">
        <v>2</v>
      </c>
      <c r="B53" s="71" t="s">
        <v>31</v>
      </c>
      <c r="C53" s="72" t="s">
        <v>31</v>
      </c>
      <c r="D53" s="72" t="s">
        <v>31</v>
      </c>
      <c r="E53" s="73">
        <v>153870</v>
      </c>
      <c r="F53" s="73">
        <v>22300</v>
      </c>
      <c r="G53" s="73">
        <v>149615.5</v>
      </c>
      <c r="H53" s="74" t="s">
        <v>31</v>
      </c>
      <c r="I53" s="75">
        <v>171915.5</v>
      </c>
      <c r="J53" s="75">
        <v>0</v>
      </c>
      <c r="K53" s="73">
        <v>171915.5</v>
      </c>
      <c r="L53" s="76" t="s">
        <v>2</v>
      </c>
      <c r="M53" s="69" t="s">
        <v>1</v>
      </c>
      <c r="N53" s="69" t="s">
        <v>1</v>
      </c>
      <c r="O53" s="69" t="s">
        <v>1</v>
      </c>
      <c r="Q53" s="69" t="s">
        <v>1</v>
      </c>
    </row>
    <row r="54" spans="1:19" x14ac:dyDescent="0.25">
      <c r="A54" s="77" t="s">
        <v>67</v>
      </c>
      <c r="B54" s="78">
        <v>2207</v>
      </c>
      <c r="C54" s="78" t="s">
        <v>136</v>
      </c>
      <c r="D54" s="78" t="s">
        <v>137</v>
      </c>
      <c r="E54" s="80">
        <v>2315</v>
      </c>
      <c r="F54" s="80">
        <v>0</v>
      </c>
      <c r="G54" s="80">
        <v>2312</v>
      </c>
      <c r="H54" s="81">
        <v>0.99870410367170626</v>
      </c>
      <c r="I54" s="82">
        <v>2312</v>
      </c>
      <c r="J54" s="82">
        <v>0</v>
      </c>
      <c r="K54" s="80">
        <v>2312</v>
      </c>
      <c r="L54" s="12" t="s">
        <v>67</v>
      </c>
      <c r="M54" s="83"/>
      <c r="N54" s="84"/>
      <c r="O54" s="69" t="s">
        <v>1</v>
      </c>
      <c r="Q54" s="69" t="s">
        <v>1</v>
      </c>
    </row>
    <row r="55" spans="1:19" x14ac:dyDescent="0.25">
      <c r="A55" s="77" t="s">
        <v>68</v>
      </c>
      <c r="B55" s="78">
        <v>5429</v>
      </c>
      <c r="C55" s="78" t="s">
        <v>138</v>
      </c>
      <c r="D55" s="79" t="s">
        <v>137</v>
      </c>
      <c r="E55" s="80">
        <v>22985</v>
      </c>
      <c r="F55" s="80">
        <v>6311</v>
      </c>
      <c r="G55" s="80">
        <v>22322</v>
      </c>
      <c r="H55" s="81">
        <v>0.9711551011529258</v>
      </c>
      <c r="I55" s="82">
        <v>28633</v>
      </c>
      <c r="J55" s="82">
        <v>0</v>
      </c>
      <c r="K55" s="80">
        <v>28633</v>
      </c>
      <c r="L55" s="12" t="s">
        <v>68</v>
      </c>
      <c r="M55" s="83"/>
      <c r="N55" s="84"/>
      <c r="O55" s="85"/>
      <c r="P55" s="86"/>
      <c r="Q55" s="85"/>
      <c r="R55" s="86"/>
    </row>
    <row r="56" spans="1:19" x14ac:dyDescent="0.25">
      <c r="A56" s="77" t="s">
        <v>69</v>
      </c>
      <c r="B56" s="78">
        <v>1650</v>
      </c>
      <c r="C56" s="78" t="s">
        <v>139</v>
      </c>
      <c r="D56" s="79" t="s">
        <v>137</v>
      </c>
      <c r="E56" s="80">
        <v>8600</v>
      </c>
      <c r="F56" s="80">
        <v>590</v>
      </c>
      <c r="G56" s="87">
        <v>8529</v>
      </c>
      <c r="H56" s="88">
        <v>0.9917441860465116</v>
      </c>
      <c r="I56" s="82">
        <v>9119</v>
      </c>
      <c r="J56" s="82">
        <v>0</v>
      </c>
      <c r="K56" s="87">
        <v>9119</v>
      </c>
      <c r="L56" s="12" t="s">
        <v>69</v>
      </c>
      <c r="M56" s="83"/>
      <c r="N56" s="84"/>
      <c r="O56" s="69" t="s">
        <v>1</v>
      </c>
      <c r="P56" s="69" t="s">
        <v>1</v>
      </c>
      <c r="Q56" s="69" t="s">
        <v>1</v>
      </c>
    </row>
    <row r="57" spans="1:19" x14ac:dyDescent="0.25">
      <c r="A57" s="77" t="s">
        <v>21</v>
      </c>
      <c r="B57" s="78">
        <v>3837</v>
      </c>
      <c r="C57" s="78">
        <v>11148</v>
      </c>
      <c r="D57" s="79">
        <v>2.9053948397185301</v>
      </c>
      <c r="E57" s="80">
        <v>12390</v>
      </c>
      <c r="F57" s="80">
        <v>431</v>
      </c>
      <c r="G57" s="89">
        <v>12098</v>
      </c>
      <c r="H57" s="90">
        <v>0.97643260694108147</v>
      </c>
      <c r="I57" s="82">
        <v>12529</v>
      </c>
      <c r="J57" s="82">
        <v>0</v>
      </c>
      <c r="K57" s="89">
        <v>12529</v>
      </c>
      <c r="L57" s="12" t="s">
        <v>21</v>
      </c>
      <c r="M57" s="83"/>
      <c r="N57" s="84"/>
      <c r="O57" s="69" t="s">
        <v>1</v>
      </c>
      <c r="P57" s="69" t="s">
        <v>1</v>
      </c>
      <c r="Q57" s="69" t="s">
        <v>1</v>
      </c>
    </row>
    <row r="58" spans="1:19" x14ac:dyDescent="0.25">
      <c r="A58" s="77" t="s">
        <v>70</v>
      </c>
      <c r="B58" s="78">
        <v>3552</v>
      </c>
      <c r="C58" s="78">
        <v>5276</v>
      </c>
      <c r="D58" s="79">
        <v>1.4853603603603605</v>
      </c>
      <c r="E58" s="80" t="s">
        <v>31</v>
      </c>
      <c r="F58" s="80">
        <v>0</v>
      </c>
      <c r="G58" s="89">
        <v>4084.5</v>
      </c>
      <c r="H58" s="90" t="s">
        <v>31</v>
      </c>
      <c r="I58" s="82">
        <v>4084.5</v>
      </c>
      <c r="J58" s="82">
        <v>0</v>
      </c>
      <c r="K58" s="89">
        <v>4084.5</v>
      </c>
      <c r="L58" s="12" t="s">
        <v>70</v>
      </c>
      <c r="M58" s="83"/>
      <c r="N58" s="69"/>
      <c r="O58" s="69" t="s">
        <v>1</v>
      </c>
      <c r="P58" s="69" t="s">
        <v>1</v>
      </c>
      <c r="Q58" s="69" t="s">
        <v>1</v>
      </c>
    </row>
    <row r="59" spans="1:19" x14ac:dyDescent="0.25">
      <c r="A59" s="77" t="s">
        <v>24</v>
      </c>
      <c r="B59" s="78">
        <v>4571</v>
      </c>
      <c r="C59" s="78">
        <v>7247</v>
      </c>
      <c r="D59" s="79">
        <v>1.5854298840516299</v>
      </c>
      <c r="E59" s="80">
        <v>6320</v>
      </c>
      <c r="F59" s="80">
        <v>110</v>
      </c>
      <c r="G59" s="80">
        <v>6089</v>
      </c>
      <c r="H59" s="81">
        <v>0.96344936708860762</v>
      </c>
      <c r="I59" s="82">
        <v>6199</v>
      </c>
      <c r="J59" s="82">
        <v>0</v>
      </c>
      <c r="K59" s="80">
        <v>6199</v>
      </c>
      <c r="L59" s="12" t="s">
        <v>24</v>
      </c>
      <c r="M59" s="83"/>
      <c r="N59" s="69" t="s">
        <v>1</v>
      </c>
      <c r="O59" s="69" t="s">
        <v>1</v>
      </c>
      <c r="P59" s="69" t="s">
        <v>1</v>
      </c>
      <c r="Q59" s="69" t="s">
        <v>1</v>
      </c>
    </row>
    <row r="60" spans="1:19" x14ac:dyDescent="0.25">
      <c r="A60" s="77" t="s">
        <v>23</v>
      </c>
      <c r="B60" s="78">
        <v>696</v>
      </c>
      <c r="C60" s="78">
        <v>500</v>
      </c>
      <c r="D60" s="79">
        <v>0.7183908045977011</v>
      </c>
      <c r="E60" s="80">
        <v>19090</v>
      </c>
      <c r="F60" s="80">
        <v>3128</v>
      </c>
      <c r="G60" s="80">
        <v>18355</v>
      </c>
      <c r="H60" s="81">
        <v>0.96149816657936094</v>
      </c>
      <c r="I60" s="82">
        <v>21483</v>
      </c>
      <c r="J60" s="82">
        <v>0</v>
      </c>
      <c r="K60" s="80">
        <v>21483</v>
      </c>
      <c r="L60" s="12" t="s">
        <v>23</v>
      </c>
      <c r="M60" s="83"/>
      <c r="N60" s="69" t="s">
        <v>1</v>
      </c>
      <c r="O60" s="69" t="s">
        <v>1</v>
      </c>
      <c r="P60" s="69" t="s">
        <v>1</v>
      </c>
      <c r="Q60" s="69" t="s">
        <v>1</v>
      </c>
    </row>
    <row r="61" spans="1:19" x14ac:dyDescent="0.25">
      <c r="A61" s="77" t="s">
        <v>26</v>
      </c>
      <c r="B61" s="78">
        <v>2797</v>
      </c>
      <c r="C61" s="78">
        <v>4797</v>
      </c>
      <c r="D61" s="79">
        <v>1.7150518412584912</v>
      </c>
      <c r="E61" s="80">
        <v>3150</v>
      </c>
      <c r="F61" s="80">
        <v>411</v>
      </c>
      <c r="G61" s="89">
        <v>3128</v>
      </c>
      <c r="H61" s="90">
        <v>0.99301587301587302</v>
      </c>
      <c r="I61" s="82">
        <v>3539</v>
      </c>
      <c r="J61" s="82">
        <v>0</v>
      </c>
      <c r="K61" s="89">
        <v>3539</v>
      </c>
      <c r="L61" s="12" t="s">
        <v>26</v>
      </c>
      <c r="M61" s="83"/>
      <c r="N61" s="69" t="s">
        <v>1</v>
      </c>
      <c r="O61" s="69" t="s">
        <v>1</v>
      </c>
      <c r="P61" s="69" t="s">
        <v>1</v>
      </c>
      <c r="Q61" s="69" t="s">
        <v>1</v>
      </c>
    </row>
    <row r="62" spans="1:19" x14ac:dyDescent="0.25">
      <c r="A62" s="77" t="s">
        <v>27</v>
      </c>
      <c r="B62" s="78">
        <v>2809</v>
      </c>
      <c r="C62" s="78">
        <v>5584</v>
      </c>
      <c r="D62" s="79">
        <v>1.9878960484158064</v>
      </c>
      <c r="E62" s="80">
        <v>5070</v>
      </c>
      <c r="F62" s="80">
        <v>0</v>
      </c>
      <c r="G62" s="89">
        <v>5108</v>
      </c>
      <c r="H62" s="90">
        <v>1.0074950690335305</v>
      </c>
      <c r="I62" s="82">
        <v>5108</v>
      </c>
      <c r="J62" s="82">
        <v>0</v>
      </c>
      <c r="K62" s="89">
        <v>5108</v>
      </c>
      <c r="L62" s="12" t="s">
        <v>27</v>
      </c>
      <c r="M62" s="83"/>
      <c r="O62" s="69" t="s">
        <v>1</v>
      </c>
      <c r="P62" s="69" t="s">
        <v>1</v>
      </c>
      <c r="Q62" s="69" t="s">
        <v>1</v>
      </c>
    </row>
    <row r="63" spans="1:19" x14ac:dyDescent="0.25">
      <c r="A63" s="77" t="s">
        <v>71</v>
      </c>
      <c r="B63" s="78">
        <v>1830</v>
      </c>
      <c r="C63" s="78" t="s">
        <v>140</v>
      </c>
      <c r="D63" s="79" t="s">
        <v>137</v>
      </c>
      <c r="E63" s="80">
        <v>2610</v>
      </c>
      <c r="F63" s="80">
        <v>0</v>
      </c>
      <c r="G63" s="89">
        <v>2586</v>
      </c>
      <c r="H63" s="90">
        <v>0.99080459770114937</v>
      </c>
      <c r="I63" s="82">
        <v>2586</v>
      </c>
      <c r="J63" s="82">
        <v>0</v>
      </c>
      <c r="K63" s="89">
        <v>2586</v>
      </c>
      <c r="L63" s="12" t="s">
        <v>71</v>
      </c>
      <c r="M63" s="83"/>
      <c r="O63" s="69" t="s">
        <v>1</v>
      </c>
      <c r="P63" s="69" t="s">
        <v>1</v>
      </c>
      <c r="Q63" s="69" t="s">
        <v>1</v>
      </c>
    </row>
    <row r="64" spans="1:19" x14ac:dyDescent="0.25">
      <c r="A64" s="77" t="s">
        <v>28</v>
      </c>
      <c r="B64" s="78">
        <v>8087</v>
      </c>
      <c r="C64" s="78">
        <v>5717</v>
      </c>
      <c r="D64" s="79">
        <v>0.70693705947817487</v>
      </c>
      <c r="E64" s="80">
        <v>22700</v>
      </c>
      <c r="F64" s="80">
        <v>8213</v>
      </c>
      <c r="G64" s="89">
        <v>21120</v>
      </c>
      <c r="H64" s="90">
        <v>0.9303964757709251</v>
      </c>
      <c r="I64" s="82">
        <v>29333</v>
      </c>
      <c r="J64" s="82">
        <v>0</v>
      </c>
      <c r="K64" s="89">
        <v>29333</v>
      </c>
      <c r="L64" s="12" t="s">
        <v>28</v>
      </c>
      <c r="M64" s="83"/>
      <c r="O64" s="69" t="s">
        <v>1</v>
      </c>
      <c r="P64" s="69" t="s">
        <v>1</v>
      </c>
      <c r="Q64" s="69" t="s">
        <v>1</v>
      </c>
    </row>
    <row r="65" spans="1:17" x14ac:dyDescent="0.25">
      <c r="A65" s="77" t="s">
        <v>72</v>
      </c>
      <c r="B65" s="78">
        <v>1444</v>
      </c>
      <c r="C65" s="78" t="s">
        <v>141</v>
      </c>
      <c r="D65" s="79" t="s">
        <v>137</v>
      </c>
      <c r="E65" s="80">
        <v>3770</v>
      </c>
      <c r="F65" s="80">
        <v>0</v>
      </c>
      <c r="G65" s="89">
        <v>3739</v>
      </c>
      <c r="H65" s="90">
        <v>0.99177718832891248</v>
      </c>
      <c r="I65" s="82">
        <v>3739</v>
      </c>
      <c r="J65" s="82">
        <v>0</v>
      </c>
      <c r="K65" s="89">
        <v>3739</v>
      </c>
      <c r="L65" s="12" t="s">
        <v>72</v>
      </c>
      <c r="M65" s="83"/>
      <c r="N65" s="69" t="s">
        <v>1</v>
      </c>
      <c r="Q65" s="69" t="s">
        <v>1</v>
      </c>
    </row>
    <row r="66" spans="1:17" x14ac:dyDescent="0.25">
      <c r="A66" s="77" t="s">
        <v>19</v>
      </c>
      <c r="B66" s="78">
        <v>1622</v>
      </c>
      <c r="C66" s="78">
        <v>1947</v>
      </c>
      <c r="D66" s="79">
        <v>1.2003699136868065</v>
      </c>
      <c r="E66" s="80" t="s">
        <v>31</v>
      </c>
      <c r="F66" s="80">
        <v>0</v>
      </c>
      <c r="G66" s="89">
        <v>2325.6999999999998</v>
      </c>
      <c r="H66" s="90" t="s">
        <v>31</v>
      </c>
      <c r="I66" s="82">
        <v>2325.6999999999998</v>
      </c>
      <c r="J66" s="82">
        <v>0</v>
      </c>
      <c r="K66" s="89">
        <v>2325.6999999999998</v>
      </c>
      <c r="L66" s="12" t="s">
        <v>19</v>
      </c>
      <c r="M66" s="83"/>
      <c r="N66" s="69" t="s">
        <v>1</v>
      </c>
      <c r="Q66" s="69" t="s">
        <v>1</v>
      </c>
    </row>
    <row r="67" spans="1:17" x14ac:dyDescent="0.25">
      <c r="A67" s="77" t="s">
        <v>73</v>
      </c>
      <c r="B67" s="78">
        <v>939</v>
      </c>
      <c r="C67" s="78" t="s">
        <v>142</v>
      </c>
      <c r="D67" s="79" t="s">
        <v>137</v>
      </c>
      <c r="E67" s="80">
        <v>2010</v>
      </c>
      <c r="F67" s="80">
        <v>0</v>
      </c>
      <c r="G67" s="89">
        <v>2428.5</v>
      </c>
      <c r="H67" s="90">
        <v>1.2082089552238806</v>
      </c>
      <c r="I67" s="82">
        <v>2428.5</v>
      </c>
      <c r="J67" s="82">
        <v>0</v>
      </c>
      <c r="K67" s="89">
        <v>2428.5</v>
      </c>
      <c r="L67" s="12" t="s">
        <v>73</v>
      </c>
      <c r="M67" s="83"/>
      <c r="N67" s="69" t="s">
        <v>1</v>
      </c>
      <c r="Q67" s="69" t="s">
        <v>1</v>
      </c>
    </row>
    <row r="68" spans="1:17" ht="15.75" x14ac:dyDescent="0.25">
      <c r="A68" s="77" t="s">
        <v>29</v>
      </c>
      <c r="B68" s="78">
        <v>3390</v>
      </c>
      <c r="C68" s="91">
        <v>4807</v>
      </c>
      <c r="D68" s="79">
        <v>1.4179941002949852</v>
      </c>
      <c r="E68" s="80">
        <v>5760</v>
      </c>
      <c r="F68" s="80">
        <v>1</v>
      </c>
      <c r="G68" s="89">
        <v>5657</v>
      </c>
      <c r="H68" s="90">
        <v>0.98211805555555554</v>
      </c>
      <c r="I68" s="82">
        <v>5658</v>
      </c>
      <c r="J68" s="82">
        <v>0</v>
      </c>
      <c r="K68" s="89">
        <v>5658</v>
      </c>
      <c r="L68" s="12" t="s">
        <v>29</v>
      </c>
      <c r="M68" s="83"/>
      <c r="N68" s="69" t="s">
        <v>1</v>
      </c>
      <c r="O68" s="69" t="s">
        <v>1</v>
      </c>
      <c r="Q68" s="69" t="s">
        <v>1</v>
      </c>
    </row>
    <row r="69" spans="1:17" x14ac:dyDescent="0.25">
      <c r="A69" s="77" t="s">
        <v>74</v>
      </c>
      <c r="B69" s="78">
        <v>1550</v>
      </c>
      <c r="C69" s="78" t="s">
        <v>143</v>
      </c>
      <c r="D69" s="79" t="s">
        <v>137</v>
      </c>
      <c r="E69" s="80">
        <v>2940</v>
      </c>
      <c r="F69" s="80">
        <v>10</v>
      </c>
      <c r="G69" s="89">
        <v>2930</v>
      </c>
      <c r="H69" s="90">
        <v>0.99659863945578231</v>
      </c>
      <c r="I69" s="82">
        <v>2940</v>
      </c>
      <c r="J69" s="82">
        <v>0</v>
      </c>
      <c r="K69" s="89">
        <v>2940</v>
      </c>
      <c r="L69" s="12" t="s">
        <v>74</v>
      </c>
      <c r="M69" s="83"/>
      <c r="N69" s="69" t="s">
        <v>1</v>
      </c>
      <c r="O69" s="69" t="s">
        <v>1</v>
      </c>
      <c r="Q69" s="69" t="s">
        <v>1</v>
      </c>
    </row>
    <row r="70" spans="1:17" x14ac:dyDescent="0.25">
      <c r="A70" s="77" t="s">
        <v>75</v>
      </c>
      <c r="B70" s="78" t="s">
        <v>31</v>
      </c>
      <c r="C70" s="78" t="s">
        <v>31</v>
      </c>
      <c r="D70" s="79" t="s">
        <v>31</v>
      </c>
      <c r="E70" s="80">
        <v>60</v>
      </c>
      <c r="F70" s="80">
        <v>0</v>
      </c>
      <c r="G70" s="89">
        <v>60</v>
      </c>
      <c r="H70" s="90">
        <v>1</v>
      </c>
      <c r="I70" s="82">
        <v>60</v>
      </c>
      <c r="J70" s="82">
        <v>0</v>
      </c>
      <c r="K70" s="89">
        <v>60</v>
      </c>
      <c r="L70" s="12" t="s">
        <v>75</v>
      </c>
      <c r="M70" s="83"/>
      <c r="N70" s="69" t="s">
        <v>1</v>
      </c>
      <c r="O70" s="69" t="s">
        <v>1</v>
      </c>
      <c r="Q70" s="69" t="s">
        <v>1</v>
      </c>
    </row>
    <row r="71" spans="1:17" x14ac:dyDescent="0.25">
      <c r="A71" s="77" t="s">
        <v>76</v>
      </c>
      <c r="B71" s="78">
        <v>3167</v>
      </c>
      <c r="C71" s="78" t="s">
        <v>144</v>
      </c>
      <c r="D71" s="79" t="s">
        <v>137</v>
      </c>
      <c r="E71" s="80">
        <v>8120</v>
      </c>
      <c r="F71" s="80">
        <v>517</v>
      </c>
      <c r="G71" s="89">
        <v>7949</v>
      </c>
      <c r="H71" s="90">
        <v>0.97894088669950741</v>
      </c>
      <c r="I71" s="82">
        <v>8466</v>
      </c>
      <c r="J71" s="82">
        <v>0</v>
      </c>
      <c r="K71" s="89">
        <v>8466</v>
      </c>
      <c r="L71" s="12" t="s">
        <v>76</v>
      </c>
      <c r="M71" s="83"/>
      <c r="N71" s="69" t="s">
        <v>1</v>
      </c>
      <c r="O71" s="69" t="s">
        <v>1</v>
      </c>
      <c r="Q71" s="69" t="s">
        <v>1</v>
      </c>
    </row>
    <row r="72" spans="1:17" x14ac:dyDescent="0.25">
      <c r="A72" s="77" t="s">
        <v>77</v>
      </c>
      <c r="B72" s="78">
        <v>292</v>
      </c>
      <c r="C72" s="78" t="s">
        <v>145</v>
      </c>
      <c r="D72" s="79" t="s">
        <v>137</v>
      </c>
      <c r="E72" s="80">
        <v>2770</v>
      </c>
      <c r="F72" s="80">
        <v>0</v>
      </c>
      <c r="G72" s="89">
        <v>2657</v>
      </c>
      <c r="H72" s="90">
        <v>0.95920577617328517</v>
      </c>
      <c r="I72" s="82">
        <v>2657</v>
      </c>
      <c r="J72" s="82">
        <v>0</v>
      </c>
      <c r="K72" s="89">
        <v>2657</v>
      </c>
      <c r="L72" s="12" t="s">
        <v>77</v>
      </c>
      <c r="M72" s="83"/>
      <c r="N72" s="69" t="s">
        <v>1</v>
      </c>
      <c r="O72" s="69" t="s">
        <v>1</v>
      </c>
      <c r="Q72" s="69" t="s">
        <v>1</v>
      </c>
    </row>
    <row r="73" spans="1:17" x14ac:dyDescent="0.25">
      <c r="A73" s="77" t="s">
        <v>20</v>
      </c>
      <c r="B73" s="78">
        <v>3869</v>
      </c>
      <c r="C73" s="78">
        <v>5441</v>
      </c>
      <c r="D73" s="79">
        <v>1.406306539157405</v>
      </c>
      <c r="E73" s="80">
        <v>5830</v>
      </c>
      <c r="F73" s="80">
        <v>0</v>
      </c>
      <c r="G73" s="89">
        <v>5765</v>
      </c>
      <c r="H73" s="90">
        <v>0.98885077186963977</v>
      </c>
      <c r="I73" s="82">
        <v>5765</v>
      </c>
      <c r="J73" s="82">
        <v>0</v>
      </c>
      <c r="K73" s="89">
        <v>5765</v>
      </c>
      <c r="L73" s="12" t="s">
        <v>20</v>
      </c>
      <c r="M73" s="83"/>
      <c r="N73" s="69" t="s">
        <v>1</v>
      </c>
      <c r="O73" s="69" t="s">
        <v>1</v>
      </c>
      <c r="Q73" s="69" t="s">
        <v>1</v>
      </c>
    </row>
    <row r="74" spans="1:17" x14ac:dyDescent="0.25">
      <c r="A74" s="77" t="s">
        <v>78</v>
      </c>
      <c r="B74" s="78">
        <v>1767</v>
      </c>
      <c r="C74" s="78">
        <v>4967</v>
      </c>
      <c r="D74" s="79">
        <v>2.8109790605546126</v>
      </c>
      <c r="E74" s="80">
        <v>7220</v>
      </c>
      <c r="F74" s="80">
        <v>1876</v>
      </c>
      <c r="G74" s="89">
        <v>7081</v>
      </c>
      <c r="H74" s="90">
        <v>0.98074792243767317</v>
      </c>
      <c r="I74" s="82">
        <v>8957</v>
      </c>
      <c r="J74" s="82">
        <v>0</v>
      </c>
      <c r="K74" s="89">
        <v>8957</v>
      </c>
      <c r="L74" s="12" t="s">
        <v>78</v>
      </c>
      <c r="M74" s="83"/>
      <c r="N74" s="69" t="s">
        <v>1</v>
      </c>
      <c r="O74" s="69" t="s">
        <v>1</v>
      </c>
      <c r="Q74" s="69" t="s">
        <v>1</v>
      </c>
    </row>
    <row r="75" spans="1:17" x14ac:dyDescent="0.25">
      <c r="A75" s="77" t="s">
        <v>17</v>
      </c>
      <c r="B75" s="78">
        <v>6464</v>
      </c>
      <c r="C75" s="78">
        <v>9151</v>
      </c>
      <c r="D75" s="79">
        <v>1.4156868811881189</v>
      </c>
      <c r="E75" s="80">
        <v>9770</v>
      </c>
      <c r="F75" s="80">
        <v>702</v>
      </c>
      <c r="G75" s="89">
        <v>9330</v>
      </c>
      <c r="H75" s="90">
        <v>0.95496417604912998</v>
      </c>
      <c r="I75" s="82">
        <v>10032</v>
      </c>
      <c r="J75" s="82">
        <v>0</v>
      </c>
      <c r="K75" s="89">
        <v>10032</v>
      </c>
      <c r="L75" s="12" t="s">
        <v>17</v>
      </c>
      <c r="M75" s="83"/>
      <c r="N75" s="69" t="s">
        <v>1</v>
      </c>
      <c r="O75" s="69" t="s">
        <v>1</v>
      </c>
      <c r="Q75" s="69" t="s">
        <v>1</v>
      </c>
    </row>
    <row r="76" spans="1:17" x14ac:dyDescent="0.25">
      <c r="A76" s="77" t="s">
        <v>18</v>
      </c>
      <c r="B76" s="78">
        <v>2668</v>
      </c>
      <c r="C76" s="78">
        <v>4954</v>
      </c>
      <c r="D76" s="79">
        <v>1.8568215892053972</v>
      </c>
      <c r="E76" s="80" t="s">
        <v>31</v>
      </c>
      <c r="F76" s="80">
        <v>0</v>
      </c>
      <c r="G76" s="89">
        <v>4855.5</v>
      </c>
      <c r="H76" s="90" t="s">
        <v>31</v>
      </c>
      <c r="I76" s="82">
        <v>4855.5</v>
      </c>
      <c r="J76" s="82">
        <v>0</v>
      </c>
      <c r="K76" s="89">
        <v>4855.5</v>
      </c>
      <c r="L76" s="12" t="s">
        <v>18</v>
      </c>
      <c r="M76" s="83"/>
      <c r="N76" s="69" t="s">
        <v>1</v>
      </c>
      <c r="O76" s="69" t="s">
        <v>1</v>
      </c>
      <c r="Q76" s="69" t="s">
        <v>1</v>
      </c>
    </row>
    <row r="77" spans="1:17" x14ac:dyDescent="0.25">
      <c r="A77" s="77" t="s">
        <v>79</v>
      </c>
      <c r="B77" s="78" t="s">
        <v>31</v>
      </c>
      <c r="C77" s="78" t="s">
        <v>31</v>
      </c>
      <c r="D77" s="79" t="s">
        <v>31</v>
      </c>
      <c r="E77" s="80">
        <v>390</v>
      </c>
      <c r="F77" s="80">
        <v>0</v>
      </c>
      <c r="G77" s="89">
        <v>372</v>
      </c>
      <c r="H77" s="90">
        <v>0.9538461538461539</v>
      </c>
      <c r="I77" s="82">
        <v>372</v>
      </c>
      <c r="J77" s="82">
        <v>0</v>
      </c>
      <c r="K77" s="89">
        <v>372</v>
      </c>
      <c r="L77" s="12" t="s">
        <v>79</v>
      </c>
      <c r="M77" s="83"/>
      <c r="N77" s="69" t="s">
        <v>1</v>
      </c>
      <c r="O77" s="69" t="s">
        <v>1</v>
      </c>
      <c r="Q77" s="69" t="s">
        <v>1</v>
      </c>
    </row>
    <row r="78" spans="1:17" x14ac:dyDescent="0.25">
      <c r="A78" s="77" t="s">
        <v>15</v>
      </c>
      <c r="B78" s="78">
        <v>5666</v>
      </c>
      <c r="C78" s="78">
        <v>7347</v>
      </c>
      <c r="D78" s="79">
        <v>1.2966819625838335</v>
      </c>
      <c r="E78" s="92"/>
      <c r="F78" s="92"/>
      <c r="G78" s="93" t="s">
        <v>1</v>
      </c>
      <c r="H78" s="93"/>
      <c r="I78" s="82">
        <v>30579</v>
      </c>
      <c r="J78" s="82">
        <v>0</v>
      </c>
      <c r="K78" s="93"/>
      <c r="L78" s="12" t="s">
        <v>15</v>
      </c>
      <c r="M78" s="69" t="s">
        <v>1</v>
      </c>
      <c r="N78" s="69" t="s">
        <v>1</v>
      </c>
      <c r="O78" s="69" t="s">
        <v>1</v>
      </c>
      <c r="Q78" s="69" t="s">
        <v>1</v>
      </c>
    </row>
    <row r="79" spans="1:17" x14ac:dyDescent="0.25">
      <c r="A79" s="77" t="s">
        <v>16</v>
      </c>
      <c r="B79" s="78">
        <v>6132</v>
      </c>
      <c r="C79" s="78">
        <v>8010</v>
      </c>
      <c r="D79" s="79">
        <v>1.3062622309197651</v>
      </c>
      <c r="E79" s="94"/>
      <c r="F79" s="94"/>
      <c r="G79" s="94"/>
      <c r="H79" s="94"/>
      <c r="I79" s="82">
        <v>11964</v>
      </c>
      <c r="J79" s="82">
        <v>0</v>
      </c>
      <c r="K79" s="94"/>
      <c r="L79" s="12" t="s">
        <v>16</v>
      </c>
      <c r="M79" s="69" t="s">
        <v>1</v>
      </c>
      <c r="N79" s="69" t="s">
        <v>1</v>
      </c>
      <c r="O79" s="69" t="s">
        <v>1</v>
      </c>
      <c r="Q79" s="69" t="s">
        <v>1</v>
      </c>
    </row>
    <row r="80" spans="1:17" ht="15.75" x14ac:dyDescent="0.25">
      <c r="A80" s="77" t="s">
        <v>80</v>
      </c>
      <c r="B80" s="78">
        <v>-7207</v>
      </c>
      <c r="C80" s="78" t="s">
        <v>146</v>
      </c>
      <c r="D80" s="72" t="s">
        <v>146</v>
      </c>
      <c r="E80" s="94"/>
      <c r="F80" s="94"/>
      <c r="G80" s="94"/>
      <c r="H80" s="94"/>
      <c r="I80" s="82">
        <v>14554</v>
      </c>
      <c r="J80" s="82">
        <v>0</v>
      </c>
      <c r="K80" s="94"/>
      <c r="L80" s="12" t="s">
        <v>80</v>
      </c>
      <c r="M80" s="69" t="s">
        <v>1</v>
      </c>
      <c r="N80" s="69" t="s">
        <v>1</v>
      </c>
      <c r="O80" s="69" t="s">
        <v>1</v>
      </c>
      <c r="Q80" s="95"/>
    </row>
    <row r="81" spans="1:17" ht="15.75" x14ac:dyDescent="0.25">
      <c r="A81" s="77" t="s">
        <v>14</v>
      </c>
      <c r="B81" s="78">
        <v>-1524</v>
      </c>
      <c r="C81" s="78">
        <v>1107</v>
      </c>
      <c r="D81" s="72" t="s">
        <v>146</v>
      </c>
      <c r="E81" s="94"/>
      <c r="F81" s="94"/>
      <c r="G81" s="94"/>
      <c r="H81" s="94"/>
      <c r="I81" s="82">
        <v>57097</v>
      </c>
      <c r="J81" s="82">
        <v>0</v>
      </c>
      <c r="K81" s="94"/>
      <c r="L81" s="12" t="s">
        <v>14</v>
      </c>
      <c r="P81" s="95"/>
      <c r="Q81" s="95"/>
    </row>
    <row r="82" spans="1:17" ht="15.75" x14ac:dyDescent="0.25">
      <c r="A82" s="77" t="s">
        <v>13</v>
      </c>
      <c r="B82" s="78">
        <v>8306</v>
      </c>
      <c r="C82" s="78">
        <v>8718</v>
      </c>
      <c r="D82" s="79">
        <v>1.0496026968456538</v>
      </c>
      <c r="E82" s="96"/>
      <c r="F82" s="97"/>
      <c r="G82" s="97"/>
      <c r="H82" s="97"/>
      <c r="I82" s="82">
        <v>85485.5</v>
      </c>
      <c r="J82" s="82">
        <v>0</v>
      </c>
      <c r="K82" s="97"/>
      <c r="L82" s="12" t="s">
        <v>13</v>
      </c>
      <c r="P82" s="95"/>
      <c r="Q82" s="95"/>
    </row>
    <row r="83" spans="1:17" ht="15.75" x14ac:dyDescent="0.25">
      <c r="A83" s="195" t="s">
        <v>81</v>
      </c>
      <c r="B83" s="196"/>
      <c r="C83" s="196"/>
      <c r="D83" s="196"/>
      <c r="E83" s="197"/>
      <c r="F83" s="197"/>
      <c r="G83" s="196"/>
      <c r="H83" s="196"/>
      <c r="I83" s="196"/>
      <c r="J83" s="196"/>
      <c r="K83" t="s">
        <v>1</v>
      </c>
      <c r="O83" s="95"/>
      <c r="P83" s="95"/>
    </row>
    <row r="84" spans="1:17" ht="15.75" x14ac:dyDescent="0.25">
      <c r="A84" s="98" t="s">
        <v>82</v>
      </c>
      <c r="B84" s="63"/>
      <c r="C84" s="63"/>
      <c r="D84" s="63"/>
      <c r="E84" s="63"/>
      <c r="F84" s="63"/>
      <c r="G84" s="63"/>
      <c r="H84" s="63"/>
      <c r="I84" s="63"/>
      <c r="J84" s="63"/>
      <c r="O84" s="95"/>
      <c r="P84" s="95"/>
    </row>
    <row r="85" spans="1:17" ht="15.75" x14ac:dyDescent="0.25">
      <c r="A85" s="98" t="s">
        <v>217</v>
      </c>
      <c r="B85" s="63"/>
      <c r="C85" s="63"/>
      <c r="D85" s="63"/>
      <c r="E85" s="63"/>
      <c r="F85" s="63"/>
      <c r="G85" s="63"/>
      <c r="H85" s="63"/>
      <c r="I85" s="63"/>
      <c r="J85" s="63"/>
      <c r="O85" s="95"/>
      <c r="P85" s="95"/>
    </row>
    <row r="86" spans="1:17" ht="15.75" x14ac:dyDescent="0.25">
      <c r="A86" s="222" t="s">
        <v>1</v>
      </c>
      <c r="B86" s="223"/>
      <c r="C86" s="223"/>
      <c r="D86" s="223"/>
      <c r="E86" s="223"/>
      <c r="F86" s="223"/>
      <c r="G86" s="223"/>
      <c r="H86" s="223"/>
      <c r="I86" s="223"/>
      <c r="J86" s="223"/>
      <c r="K86" t="s">
        <v>1</v>
      </c>
      <c r="O86" s="95"/>
      <c r="P86" s="95"/>
    </row>
    <row r="87" spans="1:17" ht="15.75" x14ac:dyDescent="0.25">
      <c r="A87" s="221" t="s">
        <v>83</v>
      </c>
      <c r="B87" s="221"/>
      <c r="C87" s="221"/>
      <c r="D87" s="221"/>
      <c r="E87" s="221"/>
      <c r="F87" s="221"/>
      <c r="G87" s="221"/>
      <c r="H87" s="221"/>
      <c r="I87" s="221"/>
      <c r="J87" s="221"/>
      <c r="K87" t="s">
        <v>1</v>
      </c>
    </row>
    <row r="88" spans="1:17" ht="15.75" x14ac:dyDescent="0.25">
      <c r="A88" s="66" t="s">
        <v>84</v>
      </c>
      <c r="B88" s="224" t="s">
        <v>85</v>
      </c>
      <c r="C88" s="225"/>
      <c r="D88" s="224" t="s">
        <v>86</v>
      </c>
      <c r="E88" s="226"/>
      <c r="F88" s="226"/>
      <c r="G88" s="226"/>
      <c r="H88" s="226"/>
      <c r="I88" s="226"/>
      <c r="J88" s="225"/>
      <c r="K88" t="s">
        <v>1</v>
      </c>
    </row>
    <row r="89" spans="1:17" ht="48" customHeight="1" x14ac:dyDescent="0.25">
      <c r="A89" s="70" t="s">
        <v>13</v>
      </c>
      <c r="B89" s="227" t="s">
        <v>87</v>
      </c>
      <c r="C89" s="228"/>
      <c r="D89" s="229" t="s">
        <v>147</v>
      </c>
      <c r="E89" s="230"/>
      <c r="F89" s="230"/>
      <c r="G89" s="230"/>
      <c r="H89" s="230"/>
      <c r="I89" s="230"/>
      <c r="J89" s="231"/>
    </row>
    <row r="90" spans="1:17" ht="39.950000000000003" customHeight="1" x14ac:dyDescent="0.25">
      <c r="A90" s="77" t="s">
        <v>14</v>
      </c>
      <c r="B90" s="232" t="s">
        <v>88</v>
      </c>
      <c r="C90" s="233"/>
      <c r="D90" s="229" t="s">
        <v>148</v>
      </c>
      <c r="E90" s="230"/>
      <c r="F90" s="230"/>
      <c r="G90" s="230"/>
      <c r="H90" s="230"/>
      <c r="I90" s="230"/>
      <c r="J90" s="231"/>
      <c r="K90" t="s">
        <v>1</v>
      </c>
    </row>
    <row r="91" spans="1:17" ht="69.75" customHeight="1" x14ac:dyDescent="0.25">
      <c r="A91" s="77" t="s">
        <v>15</v>
      </c>
      <c r="B91" s="232" t="s">
        <v>87</v>
      </c>
      <c r="C91" s="233"/>
      <c r="D91" s="234" t="s">
        <v>149</v>
      </c>
      <c r="E91" s="235"/>
      <c r="F91" s="235"/>
      <c r="G91" s="235"/>
      <c r="H91" s="235"/>
      <c r="I91" s="235"/>
      <c r="J91" s="236"/>
      <c r="K91" t="s">
        <v>1</v>
      </c>
    </row>
    <row r="92" spans="1:17" ht="39.950000000000003" customHeight="1" x14ac:dyDescent="0.25">
      <c r="A92" s="77" t="s">
        <v>16</v>
      </c>
      <c r="B92" s="232" t="s">
        <v>89</v>
      </c>
      <c r="C92" s="233"/>
      <c r="D92" s="229" t="s">
        <v>150</v>
      </c>
      <c r="E92" s="230"/>
      <c r="F92" s="230"/>
      <c r="G92" s="230"/>
      <c r="H92" s="230"/>
      <c r="I92" s="230"/>
      <c r="J92" s="231"/>
      <c r="K92" t="s">
        <v>1</v>
      </c>
    </row>
    <row r="93" spans="1:17" ht="120.75" customHeight="1" x14ac:dyDescent="0.25">
      <c r="A93" s="77" t="s">
        <v>17</v>
      </c>
      <c r="B93" s="232" t="s">
        <v>87</v>
      </c>
      <c r="C93" s="233"/>
      <c r="D93" s="229" t="s">
        <v>151</v>
      </c>
      <c r="E93" s="230"/>
      <c r="F93" s="230"/>
      <c r="G93" s="230"/>
      <c r="H93" s="230"/>
      <c r="I93" s="230"/>
      <c r="J93" s="231"/>
      <c r="K93" t="s">
        <v>1</v>
      </c>
    </row>
    <row r="94" spans="1:17" ht="67.5" customHeight="1" x14ac:dyDescent="0.25">
      <c r="A94" s="77" t="s">
        <v>90</v>
      </c>
      <c r="B94" s="232" t="s">
        <v>91</v>
      </c>
      <c r="C94" s="233"/>
      <c r="D94" s="237" t="s">
        <v>151</v>
      </c>
      <c r="E94" s="230"/>
      <c r="F94" s="230"/>
      <c r="G94" s="230"/>
      <c r="H94" s="230"/>
      <c r="I94" s="230"/>
      <c r="J94" s="231"/>
      <c r="K94" t="s">
        <v>1</v>
      </c>
    </row>
    <row r="95" spans="1:17" ht="53.25" customHeight="1" x14ac:dyDescent="0.25">
      <c r="A95" s="77" t="s">
        <v>92</v>
      </c>
      <c r="B95" s="232" t="s">
        <v>91</v>
      </c>
      <c r="C95" s="233"/>
      <c r="D95" s="229" t="s">
        <v>152</v>
      </c>
      <c r="E95" s="230"/>
      <c r="F95" s="230"/>
      <c r="G95" s="230"/>
      <c r="H95" s="230"/>
      <c r="I95" s="230"/>
      <c r="J95" s="231"/>
      <c r="K95" t="s">
        <v>1</v>
      </c>
    </row>
    <row r="96" spans="1:17" ht="39.950000000000003" customHeight="1" x14ac:dyDescent="0.25">
      <c r="A96" s="77" t="s">
        <v>20</v>
      </c>
      <c r="B96" s="232" t="s">
        <v>93</v>
      </c>
      <c r="C96" s="233"/>
      <c r="D96" s="229" t="s">
        <v>153</v>
      </c>
      <c r="E96" s="230"/>
      <c r="F96" s="230"/>
      <c r="G96" s="230"/>
      <c r="H96" s="230"/>
      <c r="I96" s="230"/>
      <c r="J96" s="231"/>
      <c r="K96" t="s">
        <v>1</v>
      </c>
    </row>
    <row r="97" spans="1:11" ht="39.950000000000003" customHeight="1" x14ac:dyDescent="0.25">
      <c r="A97" s="77" t="s">
        <v>21</v>
      </c>
      <c r="B97" s="232" t="s">
        <v>87</v>
      </c>
      <c r="C97" s="233"/>
      <c r="D97" s="229" t="s">
        <v>154</v>
      </c>
      <c r="E97" s="238"/>
      <c r="F97" s="238"/>
      <c r="G97" s="238"/>
      <c r="H97" s="238"/>
      <c r="I97" s="238"/>
      <c r="J97" s="233"/>
      <c r="K97" t="s">
        <v>1</v>
      </c>
    </row>
    <row r="98" spans="1:11" ht="39.950000000000003" customHeight="1" x14ac:dyDescent="0.25">
      <c r="A98" s="77" t="s">
        <v>70</v>
      </c>
      <c r="B98" s="232" t="s">
        <v>94</v>
      </c>
      <c r="C98" s="233"/>
      <c r="D98" s="229" t="s">
        <v>155</v>
      </c>
      <c r="E98" s="238"/>
      <c r="F98" s="238"/>
      <c r="G98" s="238"/>
      <c r="H98" s="238"/>
      <c r="I98" s="238"/>
      <c r="J98" s="233"/>
      <c r="K98" t="s">
        <v>1</v>
      </c>
    </row>
    <row r="99" spans="1:11" ht="54.75" customHeight="1" x14ac:dyDescent="0.25">
      <c r="A99" s="77" t="s">
        <v>23</v>
      </c>
      <c r="B99" s="232" t="s">
        <v>91</v>
      </c>
      <c r="C99" s="233"/>
      <c r="D99" s="229" t="s">
        <v>156</v>
      </c>
      <c r="E99" s="238"/>
      <c r="F99" s="238"/>
      <c r="G99" s="238"/>
      <c r="H99" s="238"/>
      <c r="I99" s="238"/>
      <c r="J99" s="233"/>
      <c r="K99" t="s">
        <v>1</v>
      </c>
    </row>
    <row r="100" spans="1:11" ht="39.950000000000003" customHeight="1" x14ac:dyDescent="0.25">
      <c r="A100" s="77" t="s">
        <v>24</v>
      </c>
      <c r="B100" s="232" t="s">
        <v>89</v>
      </c>
      <c r="C100" s="233"/>
      <c r="D100" s="232" t="s">
        <v>148</v>
      </c>
      <c r="E100" s="238"/>
      <c r="F100" s="238"/>
      <c r="G100" s="238"/>
      <c r="H100" s="238"/>
      <c r="I100" s="238"/>
      <c r="J100" s="233"/>
      <c r="K100" t="s">
        <v>1</v>
      </c>
    </row>
    <row r="101" spans="1:11" ht="39.950000000000003" customHeight="1" x14ac:dyDescent="0.25">
      <c r="A101" s="77" t="s">
        <v>25</v>
      </c>
      <c r="B101" s="232" t="s">
        <v>87</v>
      </c>
      <c r="C101" s="233"/>
      <c r="D101" s="229" t="s">
        <v>157</v>
      </c>
      <c r="E101" s="230"/>
      <c r="F101" s="230"/>
      <c r="G101" s="230"/>
      <c r="H101" s="230"/>
      <c r="I101" s="230"/>
      <c r="J101" s="231"/>
      <c r="K101" t="s">
        <v>1</v>
      </c>
    </row>
    <row r="102" spans="1:11" ht="39.950000000000003" customHeight="1" x14ac:dyDescent="0.25">
      <c r="A102" s="77" t="s">
        <v>26</v>
      </c>
      <c r="B102" s="232" t="s">
        <v>93</v>
      </c>
      <c r="C102" s="233"/>
      <c r="D102" s="229" t="s">
        <v>158</v>
      </c>
      <c r="E102" s="230"/>
      <c r="F102" s="230"/>
      <c r="G102" s="230"/>
      <c r="H102" s="230"/>
      <c r="I102" s="230"/>
      <c r="J102" s="231"/>
      <c r="K102" t="s">
        <v>1</v>
      </c>
    </row>
    <row r="103" spans="1:11" ht="39.950000000000003" customHeight="1" x14ac:dyDescent="0.25">
      <c r="A103" s="77" t="s">
        <v>27</v>
      </c>
      <c r="B103" s="232" t="s">
        <v>93</v>
      </c>
      <c r="C103" s="233"/>
      <c r="D103" s="229" t="s">
        <v>159</v>
      </c>
      <c r="E103" s="230"/>
      <c r="F103" s="230"/>
      <c r="G103" s="230"/>
      <c r="H103" s="230"/>
      <c r="I103" s="230"/>
      <c r="J103" s="231"/>
      <c r="K103" t="s">
        <v>1</v>
      </c>
    </row>
    <row r="104" spans="1:11" ht="39.950000000000003" customHeight="1" x14ac:dyDescent="0.25">
      <c r="A104" s="77" t="s">
        <v>28</v>
      </c>
      <c r="B104" s="232" t="s">
        <v>87</v>
      </c>
      <c r="C104" s="233"/>
      <c r="D104" s="229" t="s">
        <v>160</v>
      </c>
      <c r="E104" s="230"/>
      <c r="F104" s="230"/>
      <c r="G104" s="230"/>
      <c r="H104" s="230"/>
      <c r="I104" s="230"/>
      <c r="J104" s="231"/>
    </row>
    <row r="105" spans="1:11" ht="37.5" customHeight="1" x14ac:dyDescent="0.25">
      <c r="A105" s="77" t="s">
        <v>29</v>
      </c>
      <c r="B105" s="232" t="s">
        <v>87</v>
      </c>
      <c r="C105" s="233"/>
      <c r="D105" s="229" t="s">
        <v>161</v>
      </c>
      <c r="E105" s="230"/>
      <c r="F105" s="230"/>
      <c r="G105" s="230"/>
      <c r="H105" s="230"/>
      <c r="I105" s="230"/>
      <c r="J105" s="231"/>
    </row>
    <row r="107" spans="1:11" ht="15.75" x14ac:dyDescent="0.25">
      <c r="A107" s="63" t="s">
        <v>3</v>
      </c>
    </row>
    <row r="108" spans="1:11" x14ac:dyDescent="0.25">
      <c r="A108" s="194" t="s">
        <v>95</v>
      </c>
      <c r="B108" s="194"/>
      <c r="C108" s="194"/>
      <c r="D108" s="194"/>
      <c r="E108" s="194"/>
      <c r="F108" s="194"/>
      <c r="G108" s="194"/>
      <c r="H108" s="194"/>
      <c r="I108" s="194"/>
      <c r="J108" s="194"/>
    </row>
    <row r="109" spans="1:11" x14ac:dyDescent="0.25">
      <c r="A109" s="193" t="s">
        <v>222</v>
      </c>
      <c r="B109" s="194"/>
      <c r="C109" s="194"/>
      <c r="D109" s="194"/>
      <c r="E109" s="194"/>
      <c r="F109" s="194"/>
      <c r="G109" s="194"/>
      <c r="H109" s="194"/>
      <c r="I109" s="194"/>
      <c r="J109" s="194"/>
    </row>
  </sheetData>
  <mergeCells count="54">
    <mergeCell ref="B105:C105"/>
    <mergeCell ref="D105:J105"/>
    <mergeCell ref="A108:J108"/>
    <mergeCell ref="B102:C102"/>
    <mergeCell ref="D102:J102"/>
    <mergeCell ref="B103:C103"/>
    <mergeCell ref="D103:J103"/>
    <mergeCell ref="B104:C104"/>
    <mergeCell ref="D104:J104"/>
    <mergeCell ref="B99:C99"/>
    <mergeCell ref="D99:J99"/>
    <mergeCell ref="B100:C100"/>
    <mergeCell ref="D100:J100"/>
    <mergeCell ref="B101:C101"/>
    <mergeCell ref="D101:J101"/>
    <mergeCell ref="B96:C96"/>
    <mergeCell ref="D96:J96"/>
    <mergeCell ref="B97:C97"/>
    <mergeCell ref="D97:J97"/>
    <mergeCell ref="B98:C98"/>
    <mergeCell ref="D98:J98"/>
    <mergeCell ref="B93:C93"/>
    <mergeCell ref="D93:J93"/>
    <mergeCell ref="B94:C94"/>
    <mergeCell ref="D94:J94"/>
    <mergeCell ref="B95:C95"/>
    <mergeCell ref="D95:J95"/>
    <mergeCell ref="B90:C90"/>
    <mergeCell ref="D90:J90"/>
    <mergeCell ref="B91:C91"/>
    <mergeCell ref="D91:J91"/>
    <mergeCell ref="B92:C92"/>
    <mergeCell ref="D92:J92"/>
    <mergeCell ref="A87:J87"/>
    <mergeCell ref="B88:C88"/>
    <mergeCell ref="D88:J88"/>
    <mergeCell ref="B89:C89"/>
    <mergeCell ref="D89:J89"/>
    <mergeCell ref="A109:J109"/>
    <mergeCell ref="A83:J83"/>
    <mergeCell ref="C3:S3"/>
    <mergeCell ref="C4:S4"/>
    <mergeCell ref="C5:S5"/>
    <mergeCell ref="C6:S6"/>
    <mergeCell ref="C7:S7"/>
    <mergeCell ref="C8:S8"/>
    <mergeCell ref="C11:S11"/>
    <mergeCell ref="A21:S21"/>
    <mergeCell ref="A31:S31"/>
    <mergeCell ref="A46:S46"/>
    <mergeCell ref="A51:I51"/>
    <mergeCell ref="A48:S48"/>
    <mergeCell ref="A49:S49"/>
    <mergeCell ref="A86:J86"/>
  </mergeCells>
  <conditionalFormatting sqref="C55:C82">
    <cfRule type="expression" dxfId="0" priority="1">
      <formula>COUNTIF($D$12:$Q$12,"="&amp;A55)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1152-AF0F-4045-9869-557FDDE85FA5}">
  <sheetPr codeName="Sheet4"/>
  <dimension ref="A1:P46"/>
  <sheetViews>
    <sheetView zoomScale="79" zoomScaleNormal="90" workbookViewId="0"/>
  </sheetViews>
  <sheetFormatPr defaultRowHeight="15" x14ac:dyDescent="0.25"/>
  <cols>
    <col min="1" max="4" width="21.85546875" customWidth="1"/>
    <col min="5" max="8" width="18.85546875" customWidth="1"/>
    <col min="9" max="9" width="27.42578125" customWidth="1"/>
    <col min="10" max="10" width="28.140625" bestFit="1" customWidth="1"/>
    <col min="11" max="11" width="27.140625" customWidth="1"/>
    <col min="12" max="12" width="9.7109375" bestFit="1" customWidth="1"/>
    <col min="13" max="13" width="21" bestFit="1" customWidth="1"/>
    <col min="15" max="15" width="13.85546875" customWidth="1"/>
  </cols>
  <sheetData>
    <row r="1" spans="1:15" ht="18" x14ac:dyDescent="0.25">
      <c r="A1" s="115" t="s">
        <v>104</v>
      </c>
      <c r="B1" s="115"/>
      <c r="C1" s="115"/>
      <c r="D1" s="115"/>
      <c r="E1" s="116"/>
      <c r="F1" s="116"/>
      <c r="G1" s="116"/>
      <c r="H1" s="116"/>
      <c r="I1" s="116"/>
      <c r="J1" s="116"/>
      <c r="K1" s="116"/>
    </row>
    <row r="2" spans="1:15" ht="15.75" x14ac:dyDescent="0.25">
      <c r="A2" s="243" t="s">
        <v>105</v>
      </c>
      <c r="B2" s="243"/>
      <c r="C2" s="243"/>
      <c r="D2" s="243"/>
      <c r="E2" s="243"/>
      <c r="F2" s="243"/>
      <c r="G2" s="243"/>
      <c r="H2" s="243"/>
      <c r="I2" s="117"/>
      <c r="J2" s="118"/>
      <c r="K2" s="65" t="s">
        <v>1</v>
      </c>
    </row>
    <row r="3" spans="1:15" ht="15.75" x14ac:dyDescent="0.25">
      <c r="A3" s="243" t="s">
        <v>106</v>
      </c>
      <c r="B3" s="243"/>
      <c r="C3" s="243"/>
      <c r="D3" s="243"/>
      <c r="E3" s="243"/>
      <c r="F3" s="243"/>
      <c r="G3" s="243"/>
      <c r="H3" s="243"/>
      <c r="I3" s="117" t="s">
        <v>1</v>
      </c>
      <c r="J3" s="65" t="s">
        <v>1</v>
      </c>
      <c r="K3" s="65" t="s">
        <v>1</v>
      </c>
      <c r="L3" s="65" t="s">
        <v>1</v>
      </c>
      <c r="M3" s="65" t="s">
        <v>1</v>
      </c>
    </row>
    <row r="4" spans="1:15" ht="15.75" x14ac:dyDescent="0.25">
      <c r="A4" s="243" t="s">
        <v>107</v>
      </c>
      <c r="B4" s="243"/>
      <c r="C4" s="243"/>
      <c r="D4" s="243"/>
      <c r="E4" s="243"/>
      <c r="F4" s="243"/>
      <c r="G4" s="243"/>
      <c r="H4" s="119">
        <v>0.76</v>
      </c>
      <c r="I4" s="8"/>
      <c r="J4" s="120"/>
      <c r="K4" s="120"/>
      <c r="L4" s="65" t="s">
        <v>1</v>
      </c>
      <c r="M4" s="65" t="s">
        <v>1</v>
      </c>
    </row>
    <row r="5" spans="1:15" x14ac:dyDescent="0.25">
      <c r="A5" s="239" t="s">
        <v>108</v>
      </c>
      <c r="B5" s="239"/>
      <c r="C5" s="239"/>
      <c r="D5" s="239"/>
      <c r="E5" s="239"/>
      <c r="F5" s="239"/>
      <c r="G5" s="239"/>
      <c r="H5" s="239"/>
      <c r="J5" s="121"/>
      <c r="K5" s="122" t="s">
        <v>1</v>
      </c>
    </row>
    <row r="6" spans="1:15" x14ac:dyDescent="0.25">
      <c r="A6" s="239" t="s">
        <v>109</v>
      </c>
      <c r="B6" s="239"/>
      <c r="C6" s="239"/>
      <c r="D6" s="239"/>
      <c r="E6" s="239"/>
      <c r="F6" s="239"/>
      <c r="G6" s="239"/>
      <c r="H6" s="239"/>
      <c r="I6" s="121"/>
      <c r="J6" s="121"/>
    </row>
    <row r="7" spans="1:15" x14ac:dyDescent="0.25">
      <c r="A7" s="239" t="s">
        <v>110</v>
      </c>
      <c r="B7" s="239"/>
      <c r="C7" s="239"/>
      <c r="D7" s="239"/>
      <c r="E7" s="239"/>
      <c r="F7" s="239"/>
      <c r="G7" s="239"/>
      <c r="H7" s="239"/>
      <c r="I7" s="121"/>
      <c r="J7" s="121"/>
    </row>
    <row r="8" spans="1:15" x14ac:dyDescent="0.25">
      <c r="A8" s="239" t="s">
        <v>111</v>
      </c>
      <c r="B8" s="239"/>
      <c r="C8" s="239"/>
      <c r="D8" s="239"/>
      <c r="E8" s="239"/>
      <c r="F8" s="239"/>
      <c r="G8" s="239"/>
      <c r="H8" s="239"/>
      <c r="I8" s="123"/>
      <c r="J8" s="123"/>
      <c r="K8" s="124" t="s">
        <v>1</v>
      </c>
    </row>
    <row r="9" spans="1:15" x14ac:dyDescent="0.25">
      <c r="A9" s="239" t="s">
        <v>112</v>
      </c>
      <c r="B9" s="239"/>
      <c r="C9" s="239"/>
      <c r="D9" s="239"/>
      <c r="E9" s="239"/>
      <c r="F9" s="239"/>
      <c r="G9" s="239"/>
      <c r="H9" s="239"/>
      <c r="I9" s="121"/>
      <c r="J9" s="121"/>
      <c r="K9" s="124"/>
    </row>
    <row r="10" spans="1:15" ht="15.75" thickBot="1" x14ac:dyDescent="0.3">
      <c r="E10" s="125" t="s">
        <v>1</v>
      </c>
      <c r="H10" s="126" t="s">
        <v>1</v>
      </c>
    </row>
    <row r="11" spans="1:15" ht="75.75" thickBot="1" x14ac:dyDescent="0.3">
      <c r="A11" s="127" t="s">
        <v>113</v>
      </c>
      <c r="B11" s="128" t="s">
        <v>114</v>
      </c>
      <c r="C11" s="128" t="s">
        <v>115</v>
      </c>
      <c r="D11" s="128" t="s">
        <v>116</v>
      </c>
      <c r="E11" s="128" t="s">
        <v>117</v>
      </c>
      <c r="F11" s="128" t="s">
        <v>118</v>
      </c>
      <c r="G11" s="128" t="s">
        <v>119</v>
      </c>
      <c r="H11" s="128" t="s">
        <v>120</v>
      </c>
      <c r="I11" s="128" t="s">
        <v>121</v>
      </c>
      <c r="J11" s="129" t="s">
        <v>122</v>
      </c>
      <c r="L11" s="130"/>
    </row>
    <row r="12" spans="1:15" ht="15.75" x14ac:dyDescent="0.25">
      <c r="A12" s="131" t="s">
        <v>123</v>
      </c>
      <c r="B12" s="132">
        <v>218000</v>
      </c>
      <c r="C12" s="133">
        <v>1.0304489999999999</v>
      </c>
      <c r="D12" s="132">
        <f>B12*C12</f>
        <v>224637.88199999998</v>
      </c>
      <c r="E12" s="134">
        <f>ROUND(D12/(((DATE(LEFT('Planning Parameters'!$A$1,4)*1+1,5,31)-(DATE(LEFT('Planning Parameters'!$A$1,4)*1,6,1))+1))*$H$4),2)</f>
        <v>809.8</v>
      </c>
      <c r="F12" s="135"/>
      <c r="G12" s="135"/>
      <c r="H12" s="135"/>
      <c r="I12" s="136"/>
      <c r="J12" s="137"/>
      <c r="L12" s="138"/>
      <c r="M12" s="139"/>
      <c r="N12" s="140"/>
    </row>
    <row r="13" spans="1:15" ht="15.75" x14ac:dyDescent="0.25">
      <c r="A13" s="141" t="s">
        <v>67</v>
      </c>
      <c r="B13" s="142" t="s">
        <v>1</v>
      </c>
      <c r="C13" s="142"/>
      <c r="D13" s="142"/>
      <c r="E13" s="143">
        <f>$E$12</f>
        <v>809.8</v>
      </c>
      <c r="F13" s="144">
        <v>48818.75</v>
      </c>
      <c r="G13" s="144">
        <f>F13/$H$4</f>
        <v>64235.197368421053</v>
      </c>
      <c r="H13" s="143">
        <f>MAX(($D$12-F13)/((DATE(LEFT('Planning Parameters'!$A$1,4)*1+1,5,31)-(DATE(LEFT('Planning Parameters'!$A$1,4)*1,6,1))+1)),0)</f>
        <v>481.69625205479446</v>
      </c>
      <c r="I13" s="143">
        <f>MAX(ROUND(H13/$H$4,2),0)</f>
        <v>633.80999999999995</v>
      </c>
      <c r="J13" s="145"/>
      <c r="K13" s="29"/>
      <c r="L13" s="138"/>
      <c r="M13" s="139"/>
      <c r="N13" s="140"/>
      <c r="O13" s="146"/>
    </row>
    <row r="14" spans="1:15" ht="15.75" x14ac:dyDescent="0.25">
      <c r="A14" s="141" t="s">
        <v>72</v>
      </c>
      <c r="B14" s="142" t="s">
        <v>1</v>
      </c>
      <c r="C14" s="142"/>
      <c r="D14" s="142"/>
      <c r="E14" s="143">
        <f t="shared" ref="E14:E19" si="0">$E$12</f>
        <v>809.8</v>
      </c>
      <c r="F14" s="144">
        <v>96162.9</v>
      </c>
      <c r="G14" s="144">
        <f t="shared" ref="G14:G18" si="1">F14/$H$4</f>
        <v>126530.13157894736</v>
      </c>
      <c r="H14" s="143">
        <f>MAX(($D$12-F14)/((DATE(LEFT('Planning Parameters'!$A$1,4)*1+1,5,31)-(DATE(LEFT('Planning Parameters'!$A$1,4)*1,6,1))+1)),0)</f>
        <v>351.98625205479448</v>
      </c>
      <c r="I14" s="143">
        <f>MAX(ROUND(H14/$H$4,2),0)</f>
        <v>463.14</v>
      </c>
      <c r="J14" s="147" t="s">
        <v>19</v>
      </c>
      <c r="K14" s="29"/>
      <c r="L14" s="138"/>
      <c r="M14" s="139"/>
      <c r="N14" s="140"/>
      <c r="O14" s="146"/>
    </row>
    <row r="15" spans="1:15" ht="15.75" x14ac:dyDescent="0.25">
      <c r="A15" s="141" t="s">
        <v>29</v>
      </c>
      <c r="B15" s="142" t="s">
        <v>1</v>
      </c>
      <c r="C15" s="142"/>
      <c r="D15" s="142"/>
      <c r="E15" s="143">
        <f t="shared" si="0"/>
        <v>809.8</v>
      </c>
      <c r="F15" s="144">
        <v>46953.599999999999</v>
      </c>
      <c r="G15" s="144">
        <f t="shared" si="1"/>
        <v>61781.052631578947</v>
      </c>
      <c r="H15" s="143">
        <f>MAX(($D$12-F15)/((DATE(LEFT('Planning Parameters'!$A$1,4)*1+1,5,31)-(DATE(LEFT('Planning Parameters'!$A$1,4)*1,6,1))+1)),0)</f>
        <v>486.80625205479447</v>
      </c>
      <c r="I15" s="143">
        <f t="shared" ref="I15:I16" si="2">MAX(ROUND(H15/$H$4,2),0)</f>
        <v>640.53</v>
      </c>
      <c r="J15" s="147" t="s">
        <v>29</v>
      </c>
      <c r="K15" s="29"/>
      <c r="L15" s="138"/>
      <c r="M15" s="139"/>
      <c r="N15" s="140"/>
      <c r="O15" s="146"/>
    </row>
    <row r="16" spans="1:15" ht="15.75" x14ac:dyDescent="0.25">
      <c r="A16" s="141" t="s">
        <v>124</v>
      </c>
      <c r="B16" s="142" t="s">
        <v>1</v>
      </c>
      <c r="C16" s="142"/>
      <c r="D16" s="142"/>
      <c r="E16" s="143">
        <f t="shared" si="0"/>
        <v>809.8</v>
      </c>
      <c r="F16" s="144">
        <v>79237.850000000006</v>
      </c>
      <c r="G16" s="144">
        <f t="shared" si="1"/>
        <v>104260.32894736843</v>
      </c>
      <c r="H16" s="143">
        <f>MAX(($D$12-F16)/((DATE(LEFT('Planning Parameters'!$A$1,4)*1+1,5,31)-(DATE(LEFT('Planning Parameters'!$A$1,4)*1,6,1))+1)),0)</f>
        <v>398.35625205479448</v>
      </c>
      <c r="I16" s="143">
        <f t="shared" si="2"/>
        <v>524.15</v>
      </c>
      <c r="J16" s="145"/>
      <c r="K16" s="29"/>
      <c r="L16" s="138"/>
      <c r="M16" s="139"/>
      <c r="N16" s="140"/>
      <c r="O16" s="146"/>
    </row>
    <row r="17" spans="1:15" ht="15.75" x14ac:dyDescent="0.25">
      <c r="A17" s="141" t="s">
        <v>125</v>
      </c>
      <c r="B17" s="142" t="s">
        <v>1</v>
      </c>
      <c r="C17" s="142"/>
      <c r="D17" s="142"/>
      <c r="E17" s="143">
        <f t="shared" si="0"/>
        <v>809.8</v>
      </c>
      <c r="F17" s="144">
        <v>46132.35</v>
      </c>
      <c r="G17" s="144">
        <f t="shared" si="1"/>
        <v>60700.460526315786</v>
      </c>
      <c r="H17" s="143">
        <f>MAX(($D$12-F17)/((DATE(LEFT('Planning Parameters'!$A$1,4)*1+1,5,31)-(DATE(LEFT('Planning Parameters'!$A$1,4)*1,6,1))+1)),0)</f>
        <v>489.05625205479447</v>
      </c>
      <c r="I17" s="143">
        <f>MAX(ROUND(H17/$H$4,2),0)</f>
        <v>643.5</v>
      </c>
      <c r="J17" s="148" t="s">
        <v>126</v>
      </c>
      <c r="K17" s="29"/>
      <c r="L17" s="138"/>
      <c r="M17" s="139"/>
      <c r="N17" s="140"/>
      <c r="O17" s="146"/>
    </row>
    <row r="18" spans="1:15" ht="15.75" x14ac:dyDescent="0.25">
      <c r="A18" s="141" t="s">
        <v>79</v>
      </c>
      <c r="B18" s="142" t="s">
        <v>1</v>
      </c>
      <c r="C18" s="142"/>
      <c r="D18" s="142"/>
      <c r="E18" s="143">
        <f t="shared" si="0"/>
        <v>809.8</v>
      </c>
      <c r="F18" s="144">
        <v>54877.75</v>
      </c>
      <c r="G18" s="144">
        <f t="shared" si="1"/>
        <v>72207.56578947368</v>
      </c>
      <c r="H18" s="143">
        <f>MAX(($D$12-F18)/((DATE(LEFT('Planning Parameters'!$A$1,4)*1+1,5,31)-(DATE(LEFT('Planning Parameters'!$A$1,4)*1,6,1))+1)),0)</f>
        <v>465.09625205479449</v>
      </c>
      <c r="I18" s="143">
        <f>MAX(ROUND(H18/$H$4,2),0)</f>
        <v>611.97</v>
      </c>
      <c r="J18" s="145"/>
      <c r="K18" s="29"/>
      <c r="L18" s="138"/>
      <c r="M18" s="139"/>
      <c r="N18" s="140"/>
      <c r="O18" s="146"/>
    </row>
    <row r="19" spans="1:15" ht="16.5" thickBot="1" x14ac:dyDescent="0.3">
      <c r="A19" s="149" t="s">
        <v>15</v>
      </c>
      <c r="B19" s="150" t="s">
        <v>1</v>
      </c>
      <c r="C19" s="150"/>
      <c r="D19" s="150"/>
      <c r="E19" s="143">
        <f t="shared" si="0"/>
        <v>809.8</v>
      </c>
      <c r="F19" s="152">
        <f>_xlfn.PERCENTILE.INC(F13:F18,0.67)</f>
        <v>63403.784999999989</v>
      </c>
      <c r="G19" s="152">
        <f>_xlfn.PERCENTILE.INC(G13:G18,0.67)</f>
        <v>83426.032894736825</v>
      </c>
      <c r="H19" s="151">
        <f>MAX(($D$12-F19)/((DATE(LEFT('Planning Parameters'!$A$1,4)*1+1,5,31)-(DATE(LEFT('Planning Parameters'!$A$1,4)*1,6,1))+1)),0)</f>
        <v>441.73725205479457</v>
      </c>
      <c r="I19" s="143">
        <f>MAX(ROUND(H19/$H$4,2),0)</f>
        <v>581.23</v>
      </c>
      <c r="J19" s="153" t="s">
        <v>15</v>
      </c>
      <c r="K19" s="29"/>
      <c r="L19" s="138"/>
      <c r="M19" s="139"/>
      <c r="N19" s="140"/>
      <c r="O19" s="146"/>
    </row>
    <row r="20" spans="1:15" ht="15.75" x14ac:dyDescent="0.25">
      <c r="A20" s="131" t="s">
        <v>127</v>
      </c>
      <c r="B20" s="132">
        <v>222000</v>
      </c>
      <c r="C20" s="133">
        <v>1.026235</v>
      </c>
      <c r="D20" s="132">
        <f>B20*C20</f>
        <v>227824.17</v>
      </c>
      <c r="E20" s="134">
        <f>ROUND(D20/(((DATE(LEFT('Planning Parameters'!$A$1,4)*1+1,5,31)-(DATE(LEFT('Planning Parameters'!$A$1,4)*1,6,1))+1))*$H$4),2)</f>
        <v>821.28</v>
      </c>
      <c r="F20" s="154"/>
      <c r="G20" s="154"/>
      <c r="H20" s="174"/>
      <c r="I20" s="155" t="s">
        <v>1</v>
      </c>
      <c r="J20" s="137"/>
      <c r="K20" s="29"/>
      <c r="L20" s="138"/>
      <c r="M20" s="139"/>
      <c r="N20" s="140"/>
      <c r="O20" s="146"/>
    </row>
    <row r="21" spans="1:15" ht="15.75" x14ac:dyDescent="0.25">
      <c r="A21" s="141" t="s">
        <v>24</v>
      </c>
      <c r="B21" s="142" t="s">
        <v>1</v>
      </c>
      <c r="C21" s="142"/>
      <c r="D21" s="142"/>
      <c r="E21" s="143">
        <f>$E$20</f>
        <v>821.28</v>
      </c>
      <c r="F21" s="144">
        <v>181999.95</v>
      </c>
      <c r="G21" s="144">
        <f t="shared" ref="G21:G22" si="3">F21/$H$4</f>
        <v>239473.61842105264</v>
      </c>
      <c r="H21" s="143">
        <f>MAX(($D$20-F21)/((DATE(LEFT('Planning Parameters'!$A$1,4)*1+1,5,31)-(DATE(LEFT('Planning Parameters'!$A$1,4)*1,6,1))+1)),0)</f>
        <v>125.54580821917808</v>
      </c>
      <c r="I21" s="143">
        <f>MAX(ROUND(H21/$H$4,2),0)</f>
        <v>165.19</v>
      </c>
      <c r="J21" s="148" t="s">
        <v>24</v>
      </c>
      <c r="K21" s="29"/>
      <c r="L21" s="138"/>
      <c r="M21" s="139"/>
      <c r="N21" s="140"/>
      <c r="O21" s="146"/>
    </row>
    <row r="22" spans="1:15" ht="15.75" x14ac:dyDescent="0.25">
      <c r="A22" s="141" t="s">
        <v>20</v>
      </c>
      <c r="B22" s="142"/>
      <c r="C22" s="142"/>
      <c r="D22" s="142"/>
      <c r="E22" s="143">
        <f t="shared" ref="E22:E23" si="4">$E$20</f>
        <v>821.28</v>
      </c>
      <c r="F22" s="144">
        <v>136086.59999999998</v>
      </c>
      <c r="G22" s="144">
        <f t="shared" si="3"/>
        <v>179061.31578947365</v>
      </c>
      <c r="H22" s="143">
        <f>MAX(($D$20-F22)/((DATE(LEFT('Planning Parameters'!$A$1,4)*1+1,5,31)-(DATE(LEFT('Planning Parameters'!$A$1,4)*1,6,1))+1)),0)</f>
        <v>251.33580821917818</v>
      </c>
      <c r="I22" s="143">
        <f>MAX(ROUND(H22/$H$4,2),0)</f>
        <v>330.71</v>
      </c>
      <c r="J22" s="148" t="s">
        <v>20</v>
      </c>
      <c r="K22" s="29"/>
      <c r="L22" s="138"/>
      <c r="M22" s="139"/>
      <c r="N22" s="140"/>
      <c r="O22" s="146"/>
    </row>
    <row r="23" spans="1:15" ht="16.5" thickBot="1" x14ac:dyDescent="0.3">
      <c r="A23" s="149" t="s">
        <v>16</v>
      </c>
      <c r="B23" s="150"/>
      <c r="C23" s="150"/>
      <c r="D23" s="150"/>
      <c r="E23" s="143">
        <f t="shared" si="4"/>
        <v>821.28</v>
      </c>
      <c r="F23" s="152">
        <f>_xlfn.PERCENTILE.INC(F21:F22,0.67)</f>
        <v>166848.54449999999</v>
      </c>
      <c r="G23" s="152">
        <f>_xlfn.PERCENTILE.INC(G21:G22,0.67)</f>
        <v>219537.55855263158</v>
      </c>
      <c r="H23" s="143">
        <f>MAX(($D$20-F23)/((DATE(LEFT('Planning Parameters'!$A$1,4)*1+1,5,31)-(DATE(LEFT('Planning Parameters'!$A$1,4)*1,6,1))+1)),0)</f>
        <v>167.05650821917814</v>
      </c>
      <c r="I23" s="143">
        <f>MAX(ROUND(H23/$H$4,2),0)</f>
        <v>219.81</v>
      </c>
      <c r="J23" s="153" t="s">
        <v>16</v>
      </c>
      <c r="K23" s="29"/>
      <c r="L23" s="138"/>
      <c r="M23" s="139"/>
      <c r="N23" s="140"/>
      <c r="O23" s="146"/>
    </row>
    <row r="24" spans="1:15" ht="15.75" x14ac:dyDescent="0.25">
      <c r="A24" s="131" t="s">
        <v>128</v>
      </c>
      <c r="B24" s="132">
        <v>216000</v>
      </c>
      <c r="C24" s="133">
        <v>1.0309790000000001</v>
      </c>
      <c r="D24" s="132">
        <f>B24*C24</f>
        <v>222691.46400000001</v>
      </c>
      <c r="E24" s="134">
        <f>ROUND(D24/(((DATE(LEFT('Planning Parameters'!$A$1,4)*1+1,5,31)-(DATE(LEFT('Planning Parameters'!$A$1,4)*1,6,1))+1))*$H$4),2)</f>
        <v>802.78</v>
      </c>
      <c r="F24" s="154"/>
      <c r="G24" s="154"/>
      <c r="H24" s="134"/>
      <c r="I24" s="155"/>
      <c r="J24" s="137"/>
      <c r="K24" s="29"/>
      <c r="L24" s="138"/>
      <c r="M24" s="139"/>
      <c r="N24" s="140"/>
      <c r="O24" s="146"/>
    </row>
    <row r="25" spans="1:15" ht="15.75" x14ac:dyDescent="0.25">
      <c r="A25" s="141" t="s">
        <v>74</v>
      </c>
      <c r="B25" s="142" t="s">
        <v>1</v>
      </c>
      <c r="C25" s="142"/>
      <c r="D25" s="142"/>
      <c r="E25" s="143">
        <f>$E$24</f>
        <v>802.78</v>
      </c>
      <c r="F25" s="144">
        <v>92950.9</v>
      </c>
      <c r="G25" s="144">
        <f t="shared" ref="G25:G27" si="5">F25/$H$4</f>
        <v>122303.81578947368</v>
      </c>
      <c r="H25" s="143">
        <f>MAX(($D$24-F25)/((DATE(LEFT('Planning Parameters'!$A$1,4)*1+1,5,31)-(DATE(LEFT('Planning Parameters'!$A$1,4)*1,6,1))+1)),0)</f>
        <v>355.45360000000005</v>
      </c>
      <c r="I25" s="143">
        <f>MAX(ROUND(H25/$H$4,2),0)</f>
        <v>467.7</v>
      </c>
      <c r="J25" s="145"/>
      <c r="K25" s="29"/>
      <c r="L25" s="138"/>
      <c r="M25" s="139"/>
      <c r="N25" s="140"/>
      <c r="O25" s="146"/>
    </row>
    <row r="26" spans="1:15" ht="15.75" x14ac:dyDescent="0.25">
      <c r="A26" s="141" t="s">
        <v>129</v>
      </c>
      <c r="B26" s="142"/>
      <c r="C26" s="142"/>
      <c r="D26" s="142"/>
      <c r="E26" s="143">
        <f t="shared" ref="E26:E27" si="6">$E$24</f>
        <v>802.78</v>
      </c>
      <c r="F26" s="144">
        <v>139674.55000000002</v>
      </c>
      <c r="G26" s="144">
        <f t="shared" si="5"/>
        <v>183782.30263157896</v>
      </c>
      <c r="H26" s="143">
        <f>MAX(($D$24-F26)/((DATE(LEFT('Planning Parameters'!$A$1,4)*1+1,5,31)-(DATE(LEFT('Planning Parameters'!$A$1,4)*1,6,1))+1)),0)</f>
        <v>227.44359999999998</v>
      </c>
      <c r="I26" s="143">
        <f t="shared" ref="I26:I27" si="7">MAX(ROUND(H26/$H$4,2),0)</f>
        <v>299.27</v>
      </c>
      <c r="J26" s="145"/>
      <c r="K26" s="29"/>
      <c r="L26" s="138"/>
      <c r="M26" s="139"/>
      <c r="N26" s="140"/>
      <c r="O26" s="146"/>
    </row>
    <row r="27" spans="1:15" ht="15.75" x14ac:dyDescent="0.25">
      <c r="A27" s="141" t="s">
        <v>130</v>
      </c>
      <c r="B27" s="142"/>
      <c r="C27" s="142"/>
      <c r="D27" s="142"/>
      <c r="E27" s="143">
        <f t="shared" si="6"/>
        <v>802.78</v>
      </c>
      <c r="F27" s="144">
        <v>79113.75</v>
      </c>
      <c r="G27" s="144">
        <f t="shared" si="5"/>
        <v>104097.03947368421</v>
      </c>
      <c r="H27" s="143">
        <f>MAX(($D$24-F27)/((DATE(LEFT('Planning Parameters'!$A$1,4)*1+1,5,31)-(DATE(LEFT('Planning Parameters'!$A$1,4)*1,6,1))+1)),0)</f>
        <v>393.36360000000002</v>
      </c>
      <c r="I27" s="143">
        <f t="shared" si="7"/>
        <v>517.58000000000004</v>
      </c>
      <c r="J27" s="148" t="s">
        <v>130</v>
      </c>
      <c r="K27" s="29"/>
      <c r="L27" s="138"/>
      <c r="M27" s="139"/>
      <c r="N27" s="140"/>
      <c r="O27" s="146"/>
    </row>
    <row r="28" spans="1:15" ht="16.5" thickBot="1" x14ac:dyDescent="0.3">
      <c r="A28" s="149" t="s">
        <v>14</v>
      </c>
      <c r="B28" s="150" t="s">
        <v>1</v>
      </c>
      <c r="C28" s="150"/>
      <c r="D28" s="150"/>
      <c r="E28" s="151">
        <f>ROUND(AVERAGE(E13,E14,E15,E16,E17,E18,E21,E22,E25,E26,E27),2)</f>
        <v>809.97</v>
      </c>
      <c r="F28" s="152">
        <f>_xlfn.PERCENTILE.INC((F25:F27,F21:F22,F13:F18),0.67)</f>
        <v>95199.299999999988</v>
      </c>
      <c r="G28" s="152">
        <f>_xlfn.PERCENTILE.INC((G25:G27,G21:G22,G13:G18),0.67)</f>
        <v>125262.23684210525</v>
      </c>
      <c r="H28" s="143">
        <f>(E28*$H$4)-(F28/365)</f>
        <v>354.75720000000007</v>
      </c>
      <c r="I28" s="143">
        <f>MAX(ROUND(H28/$H$4,2),0)</f>
        <v>466.79</v>
      </c>
      <c r="J28" s="153" t="s">
        <v>14</v>
      </c>
      <c r="K28" s="29"/>
      <c r="L28" s="138"/>
      <c r="M28" s="139"/>
      <c r="N28" s="140"/>
      <c r="O28" s="146"/>
    </row>
    <row r="29" spans="1:15" ht="15.75" x14ac:dyDescent="0.25">
      <c r="A29" s="131" t="s">
        <v>131</v>
      </c>
      <c r="B29" s="132">
        <v>215000</v>
      </c>
      <c r="C29" s="133">
        <v>1.029941</v>
      </c>
      <c r="D29" s="132">
        <f>B29*C29</f>
        <v>221437.315</v>
      </c>
      <c r="E29" s="134">
        <f>ROUND(D29/(((DATE(LEFT('Planning Parameters'!$A$1,4)*1+1,5,31)-(DATE(LEFT('Planning Parameters'!$A$1,4)*1,6,1))+1))*$H$4),2)</f>
        <v>798.26</v>
      </c>
      <c r="F29" s="154"/>
      <c r="G29" s="154"/>
      <c r="H29" s="134"/>
      <c r="I29" s="155"/>
      <c r="J29" s="137"/>
      <c r="K29" s="29"/>
      <c r="L29" s="138"/>
      <c r="M29" s="139"/>
      <c r="N29" s="140"/>
      <c r="O29" s="146"/>
    </row>
    <row r="30" spans="1:15" ht="15.75" x14ac:dyDescent="0.25">
      <c r="A30" s="156" t="s">
        <v>68</v>
      </c>
      <c r="B30" s="142"/>
      <c r="C30" s="142"/>
      <c r="D30" s="142"/>
      <c r="E30" s="143">
        <f>$E$29</f>
        <v>798.26</v>
      </c>
      <c r="F30" s="144">
        <v>140433.75</v>
      </c>
      <c r="G30" s="144">
        <f t="shared" ref="G30:G41" si="8">F30/$H$4</f>
        <v>184781.25</v>
      </c>
      <c r="H30" s="143">
        <f>MAX(($D$29-F30)/((DATE(LEFT('Planning Parameters'!$A$1,4)*1+1,5,31)-(DATE(LEFT('Planning Parameters'!$A$1,4)*1,6,1))+1)),0)</f>
        <v>221.92757534246576</v>
      </c>
      <c r="I30" s="143">
        <f>MAX(ROUND(H30/$H$4,2),0)</f>
        <v>292.01</v>
      </c>
      <c r="J30" s="145"/>
      <c r="K30" s="29"/>
      <c r="L30" s="138"/>
      <c r="M30" s="139"/>
      <c r="N30" s="140"/>
      <c r="O30" s="146"/>
    </row>
    <row r="31" spans="1:15" ht="15.75" x14ac:dyDescent="0.25">
      <c r="A31" s="156" t="s">
        <v>69</v>
      </c>
      <c r="B31" s="142"/>
      <c r="C31" s="142"/>
      <c r="D31" s="142"/>
      <c r="E31" s="143">
        <f t="shared" ref="E31:E38" si="9">$E$29</f>
        <v>798.26</v>
      </c>
      <c r="F31" s="144">
        <v>158176.4</v>
      </c>
      <c r="G31" s="144">
        <f t="shared" si="8"/>
        <v>208126.84210526315</v>
      </c>
      <c r="H31" s="143">
        <f>MAX(($D$29-F31)/((DATE(LEFT('Planning Parameters'!$A$1,4)*1+1,5,31)-(DATE(LEFT('Planning Parameters'!$A$1,4)*1,6,1))+1)),0)</f>
        <v>173.31757534246577</v>
      </c>
      <c r="I31" s="143">
        <f t="shared" ref="I31:I37" si="10">MAX(ROUND(H31/$H$4,2),0)</f>
        <v>228.05</v>
      </c>
      <c r="J31" s="145"/>
      <c r="K31" s="29"/>
      <c r="L31" s="138"/>
      <c r="M31" s="139"/>
      <c r="N31" s="140"/>
      <c r="O31" s="146"/>
    </row>
    <row r="32" spans="1:15" ht="15.75" x14ac:dyDescent="0.25">
      <c r="A32" s="141" t="s">
        <v>21</v>
      </c>
      <c r="B32" s="142" t="s">
        <v>1</v>
      </c>
      <c r="C32" s="142"/>
      <c r="D32" s="142"/>
      <c r="E32" s="143">
        <f t="shared" si="9"/>
        <v>798.26</v>
      </c>
      <c r="F32" s="144">
        <v>136148.65</v>
      </c>
      <c r="G32" s="144">
        <f t="shared" si="8"/>
        <v>179142.96052631579</v>
      </c>
      <c r="H32" s="143">
        <f>MAX(($D$29-F32)/((DATE(LEFT('Planning Parameters'!$A$1,4)*1+1,5,31)-(DATE(LEFT('Planning Parameters'!$A$1,4)*1,6,1))+1)),0)</f>
        <v>233.66757534246577</v>
      </c>
      <c r="I32" s="143">
        <f t="shared" si="10"/>
        <v>307.45999999999998</v>
      </c>
      <c r="J32" s="148" t="s">
        <v>132</v>
      </c>
      <c r="K32" s="29"/>
      <c r="L32" s="138"/>
      <c r="M32" s="139"/>
      <c r="N32" s="140"/>
      <c r="O32" s="146"/>
    </row>
    <row r="33" spans="1:16" ht="15.75" x14ac:dyDescent="0.25">
      <c r="A33" s="141" t="s">
        <v>26</v>
      </c>
      <c r="B33" s="142"/>
      <c r="C33" s="142"/>
      <c r="D33" s="142"/>
      <c r="E33" s="143">
        <f t="shared" si="9"/>
        <v>798.26</v>
      </c>
      <c r="F33" s="144">
        <v>147441.75</v>
      </c>
      <c r="G33" s="144">
        <f t="shared" si="8"/>
        <v>194002.30263157893</v>
      </c>
      <c r="H33" s="143">
        <f>MAX(($D$29-F33)/((DATE(LEFT('Planning Parameters'!$A$1,4)*1+1,5,31)-(DATE(LEFT('Planning Parameters'!$A$1,4)*1,6,1))+1)),0)</f>
        <v>202.72757534246577</v>
      </c>
      <c r="I33" s="143">
        <f t="shared" si="10"/>
        <v>266.75</v>
      </c>
      <c r="J33" s="147" t="s">
        <v>26</v>
      </c>
      <c r="K33" s="29"/>
      <c r="L33" s="138"/>
      <c r="M33" s="139"/>
      <c r="N33" s="139"/>
      <c r="O33" s="146"/>
      <c r="P33" s="29"/>
    </row>
    <row r="34" spans="1:16" ht="15.75" x14ac:dyDescent="0.25">
      <c r="A34" s="141" t="s">
        <v>27</v>
      </c>
      <c r="B34" s="142"/>
      <c r="C34" s="142"/>
      <c r="D34" s="142"/>
      <c r="E34" s="143">
        <f t="shared" si="9"/>
        <v>798.26</v>
      </c>
      <c r="F34" s="144">
        <v>144098.35</v>
      </c>
      <c r="G34" s="144">
        <f t="shared" si="8"/>
        <v>189603.09210526317</v>
      </c>
      <c r="H34" s="143">
        <f>MAX(($D$29-F34)/((DATE(LEFT('Planning Parameters'!$A$1,4)*1+1,5,31)-(DATE(LEFT('Planning Parameters'!$A$1,4)*1,6,1))+1)),0)</f>
        <v>211.88757534246574</v>
      </c>
      <c r="I34" s="143">
        <f t="shared" si="10"/>
        <v>278.8</v>
      </c>
      <c r="J34" s="147" t="s">
        <v>27</v>
      </c>
      <c r="K34" s="29"/>
      <c r="L34" s="29"/>
      <c r="M34" s="139"/>
      <c r="O34" s="146"/>
      <c r="P34" s="29"/>
    </row>
    <row r="35" spans="1:16" ht="15.75" x14ac:dyDescent="0.25">
      <c r="A35" s="141" t="s">
        <v>71</v>
      </c>
      <c r="B35" s="142"/>
      <c r="C35" s="142"/>
      <c r="D35" s="142"/>
      <c r="E35" s="143">
        <f t="shared" si="9"/>
        <v>798.26</v>
      </c>
      <c r="F35" s="144">
        <v>111040.3</v>
      </c>
      <c r="G35" s="144">
        <f t="shared" si="8"/>
        <v>146105.65789473685</v>
      </c>
      <c r="H35" s="143">
        <f>MAX(($D$29-F35)/((DATE(LEFT('Planning Parameters'!$A$1,4)*1+1,5,31)-(DATE(LEFT('Planning Parameters'!$A$1,4)*1,6,1))+1)),0)</f>
        <v>302.45757534246576</v>
      </c>
      <c r="I35" s="143">
        <f t="shared" si="10"/>
        <v>397.97</v>
      </c>
      <c r="J35" s="145"/>
      <c r="K35" s="29"/>
      <c r="L35" s="29"/>
      <c r="M35" s="139"/>
      <c r="O35" s="146"/>
      <c r="P35" s="29"/>
    </row>
    <row r="36" spans="1:16" ht="15.75" x14ac:dyDescent="0.25">
      <c r="A36" s="141" t="s">
        <v>28</v>
      </c>
      <c r="B36" s="142"/>
      <c r="C36" s="142"/>
      <c r="D36" s="142"/>
      <c r="E36" s="143">
        <f t="shared" si="9"/>
        <v>798.26</v>
      </c>
      <c r="F36" s="144">
        <v>212105.15</v>
      </c>
      <c r="G36" s="144">
        <f t="shared" si="8"/>
        <v>279085.7236842105</v>
      </c>
      <c r="H36" s="143">
        <f>MAX(($D$29-F36)/((DATE(LEFT('Planning Parameters'!$A$1,4)*1+1,5,31)-(DATE(LEFT('Planning Parameters'!$A$1,4)*1,6,1))+1)),0)</f>
        <v>25.567575342465776</v>
      </c>
      <c r="I36" s="143">
        <f>MAX(ROUND(H36/$H$4,2),0)</f>
        <v>33.64</v>
      </c>
      <c r="J36" s="147" t="s">
        <v>28</v>
      </c>
      <c r="K36" s="29"/>
      <c r="L36" s="29"/>
      <c r="M36" s="139"/>
      <c r="O36" s="146"/>
      <c r="P36" s="29"/>
    </row>
    <row r="37" spans="1:16" ht="15.75" x14ac:dyDescent="0.25">
      <c r="A37" s="141" t="s">
        <v>73</v>
      </c>
      <c r="B37" s="142"/>
      <c r="C37" s="142"/>
      <c r="D37" s="142"/>
      <c r="E37" s="143">
        <f t="shared" si="9"/>
        <v>798.26</v>
      </c>
      <c r="F37" s="144">
        <v>134090.04999999999</v>
      </c>
      <c r="G37" s="144">
        <f t="shared" si="8"/>
        <v>176434.27631578947</v>
      </c>
      <c r="H37" s="143">
        <f>MAX(($D$29-F37)/((DATE(LEFT('Planning Parameters'!$A$1,4)*1+1,5,31)-(DATE(LEFT('Planning Parameters'!$A$1,4)*1,6,1))+1)),0)</f>
        <v>239.30757534246578</v>
      </c>
      <c r="I37" s="143">
        <f t="shared" si="10"/>
        <v>314.88</v>
      </c>
      <c r="J37" s="145"/>
      <c r="K37" s="29"/>
      <c r="L37" s="29"/>
      <c r="M37" s="139"/>
      <c r="O37" s="146"/>
      <c r="P37" s="29"/>
    </row>
    <row r="38" spans="1:16" ht="16.5" thickBot="1" x14ac:dyDescent="0.3">
      <c r="A38" s="141" t="s">
        <v>75</v>
      </c>
      <c r="B38" s="142"/>
      <c r="C38" s="142"/>
      <c r="D38" s="142"/>
      <c r="E38" s="143">
        <f t="shared" si="9"/>
        <v>798.26</v>
      </c>
      <c r="F38" s="144">
        <v>128943.54999999999</v>
      </c>
      <c r="G38" s="144">
        <f t="shared" si="8"/>
        <v>169662.56578947368</v>
      </c>
      <c r="H38" s="143">
        <f>MAX(($D$29-F38)/((DATE(LEFT('Planning Parameters'!$A$1,4)*1+1,5,31)-(DATE(LEFT('Planning Parameters'!$A$1,4)*1,6,1))+1)),0)</f>
        <v>253.4075753424658</v>
      </c>
      <c r="I38" s="143">
        <f>MAX(ROUND(H38/$H$4,2),0)</f>
        <v>333.43</v>
      </c>
      <c r="J38" s="145"/>
      <c r="K38" s="29"/>
      <c r="L38" s="29"/>
      <c r="M38" s="139"/>
      <c r="O38" s="146"/>
      <c r="P38" s="29"/>
    </row>
    <row r="39" spans="1:16" ht="15.75" x14ac:dyDescent="0.25">
      <c r="A39" s="131" t="s">
        <v>133</v>
      </c>
      <c r="B39" s="132">
        <v>248000</v>
      </c>
      <c r="C39" s="133">
        <f>1.032272*1.025</f>
        <v>1.0580788000000001</v>
      </c>
      <c r="D39" s="132">
        <f>B39*C39*1.025</f>
        <v>268963.63096000004</v>
      </c>
      <c r="E39" s="134">
        <f>ROUND(D39/(((DATE(LEFT('Planning Parameters'!$A$1,4)*1+1,5,31)-(DATE(LEFT('Planning Parameters'!$A$1,4)*1,6,1))+1))*$H$4),2)</f>
        <v>969.59</v>
      </c>
      <c r="F39" s="154"/>
      <c r="G39" s="154"/>
      <c r="H39" s="134"/>
      <c r="I39" s="155"/>
      <c r="J39" s="137"/>
      <c r="K39" s="29"/>
      <c r="L39" s="29"/>
      <c r="M39" s="139"/>
      <c r="O39" s="146"/>
      <c r="P39" s="29"/>
    </row>
    <row r="40" spans="1:16" ht="16.5" thickBot="1" x14ac:dyDescent="0.3">
      <c r="A40" s="157" t="s">
        <v>23</v>
      </c>
      <c r="B40" s="150"/>
      <c r="C40" s="150"/>
      <c r="D40" s="150"/>
      <c r="E40" s="151">
        <f>$E$39</f>
        <v>969.59</v>
      </c>
      <c r="F40" s="158">
        <v>82431.600000000006</v>
      </c>
      <c r="G40" s="158">
        <f t="shared" si="8"/>
        <v>108462.63157894737</v>
      </c>
      <c r="H40" s="151">
        <f>MAX(($D$39-F40)/((DATE(LEFT('Planning Parameters'!$A$1,4)*1+1,5,31)-(DATE(LEFT('Planning Parameters'!$A$1,4)*1,6,1))+1)),0)</f>
        <v>511.04666016438364</v>
      </c>
      <c r="I40" s="151">
        <f>MAX(ROUND(H40/$H$4,2),0)</f>
        <v>672.43</v>
      </c>
      <c r="J40" s="159" t="s">
        <v>23</v>
      </c>
      <c r="K40" s="29"/>
      <c r="L40" s="29"/>
      <c r="M40" s="139"/>
      <c r="O40" s="146"/>
      <c r="P40" s="29"/>
    </row>
    <row r="41" spans="1:16" ht="16.5" thickBot="1" x14ac:dyDescent="0.3">
      <c r="A41" s="160" t="s">
        <v>13</v>
      </c>
      <c r="B41" s="161"/>
      <c r="C41" s="161"/>
      <c r="D41" s="161"/>
      <c r="E41" s="171">
        <f>ROUND(AVERAGE(E30,E31,E32,E33,E34,E35,E37,E38,E40),2)</f>
        <v>817.3</v>
      </c>
      <c r="F41" s="172">
        <f>_xlfn.PERCENTILE.INC((F30:F35,F37:F38,F40),0.67)</f>
        <v>141753.00599999999</v>
      </c>
      <c r="G41" s="173">
        <f t="shared" si="8"/>
        <v>186517.11315789472</v>
      </c>
      <c r="H41" s="174">
        <f>(E41*$H$4)-(F41/365)</f>
        <v>232.78360000000004</v>
      </c>
      <c r="I41" s="174">
        <f>MAX(ROUND(H41/$H$4,2),0)</f>
        <v>306.29000000000002</v>
      </c>
      <c r="J41" s="162" t="s">
        <v>13</v>
      </c>
      <c r="K41" s="29"/>
      <c r="L41" s="29"/>
      <c r="M41" s="139"/>
      <c r="O41" s="146"/>
      <c r="P41" s="29"/>
    </row>
    <row r="42" spans="1:16" ht="16.5" thickBot="1" x14ac:dyDescent="0.3">
      <c r="A42" s="163" t="s">
        <v>2</v>
      </c>
      <c r="B42" s="164">
        <f>AVERAGE(B12,B20,B24,B29,B39)</f>
        <v>223800</v>
      </c>
      <c r="C42" s="164"/>
      <c r="D42" s="164">
        <f>AVERAGE(D12,D20,D24,D29,D39)</f>
        <v>233110.89239200001</v>
      </c>
      <c r="E42" s="165">
        <f>ROUND(D42/(((DATE(LEFT('Planning Parameters'!$A$1,4)*1+1,5,31)-(DATE(LEFT('Planning Parameters'!$A$1,4)*1,6,1))+1))*$H$4),2)</f>
        <v>840.34</v>
      </c>
      <c r="F42" s="166">
        <f>_xlfn.PERCENTILE.INC((F40,F30:F38,F25:F27,F21:F22,F13:F18),0.67)</f>
        <v>137559.01</v>
      </c>
      <c r="G42" s="166">
        <f>_xlfn.PERCENTILE.INC((G40,G30:G38,G25:G27,G21:G22,G13:G18),0.67)</f>
        <v>180998.69736842107</v>
      </c>
      <c r="H42" s="165">
        <f>MAX(($D$42-F42)/((DATE(LEFT('Planning Parameters'!$A$1,4)*1+1,5,31)-(DATE(LEFT('Planning Parameters'!$A$1,4)*1,6,1))+1)),0)</f>
        <v>261.78597915616439</v>
      </c>
      <c r="I42" s="165">
        <f>MAX(ROUND(H42/$H$4,2),0)</f>
        <v>344.46</v>
      </c>
      <c r="J42" s="167" t="s">
        <v>2</v>
      </c>
      <c r="K42" s="29"/>
      <c r="L42" s="29"/>
      <c r="M42" s="139"/>
      <c r="O42" s="146"/>
      <c r="P42" s="29"/>
    </row>
    <row r="43" spans="1:16" x14ac:dyDescent="0.25">
      <c r="A43" s="168" t="s">
        <v>1</v>
      </c>
      <c r="B43" s="169"/>
      <c r="C43" s="169"/>
      <c r="D43" s="169"/>
      <c r="E43" s="169"/>
      <c r="F43" s="170"/>
      <c r="G43" s="169"/>
      <c r="H43" s="169"/>
      <c r="I43" s="169"/>
      <c r="J43" s="169"/>
      <c r="K43" s="169"/>
    </row>
    <row r="44" spans="1:16" x14ac:dyDescent="0.25">
      <c r="E44" s="124"/>
      <c r="F44" s="124"/>
      <c r="H44" s="29"/>
    </row>
    <row r="45" spans="1:16" ht="15.75" thickBot="1" x14ac:dyDescent="0.3">
      <c r="A45" t="s">
        <v>134</v>
      </c>
    </row>
    <row r="46" spans="1:16" ht="15.75" thickBot="1" x14ac:dyDescent="0.3">
      <c r="A46" s="240" t="s">
        <v>135</v>
      </c>
      <c r="B46" s="241"/>
      <c r="C46" s="241"/>
      <c r="D46" s="241"/>
      <c r="E46" s="241"/>
      <c r="F46" s="241"/>
      <c r="G46" s="241"/>
      <c r="H46" s="241"/>
      <c r="I46" s="241"/>
      <c r="J46" s="242"/>
    </row>
  </sheetData>
  <mergeCells count="9">
    <mergeCell ref="A8:H8"/>
    <mergeCell ref="A9:H9"/>
    <mergeCell ref="A46:J46"/>
    <mergeCell ref="A2:H2"/>
    <mergeCell ref="A3:H3"/>
    <mergeCell ref="A4:G4"/>
    <mergeCell ref="A5:H5"/>
    <mergeCell ref="A6:H6"/>
    <mergeCell ref="A7:H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8466-FC6B-4DFD-A171-09F9CEA64D31}">
  <sheetPr codeName="Sheet5"/>
  <dimension ref="A1:C28"/>
  <sheetViews>
    <sheetView workbookViewId="0"/>
  </sheetViews>
  <sheetFormatPr defaultRowHeight="15" x14ac:dyDescent="0.25"/>
  <cols>
    <col min="1" max="1" width="12.85546875" customWidth="1"/>
    <col min="2" max="2" width="100.85546875" customWidth="1"/>
    <col min="3" max="3" width="15.85546875" customWidth="1"/>
  </cols>
  <sheetData>
    <row r="1" spans="1:3" ht="18.75" thickBot="1" x14ac:dyDescent="0.3">
      <c r="A1" s="175"/>
      <c r="B1" s="176" t="s">
        <v>163</v>
      </c>
      <c r="C1" s="177"/>
    </row>
    <row r="2" spans="1:3" ht="32.25" thickBot="1" x14ac:dyDescent="0.3">
      <c r="A2" s="178" t="s">
        <v>164</v>
      </c>
      <c r="B2" s="179" t="s">
        <v>165</v>
      </c>
      <c r="C2" s="180" t="s">
        <v>166</v>
      </c>
    </row>
    <row r="3" spans="1:3" ht="60.75" thickBot="1" x14ac:dyDescent="0.3">
      <c r="A3" s="181" t="s">
        <v>167</v>
      </c>
      <c r="B3" s="182" t="s">
        <v>168</v>
      </c>
      <c r="C3" s="183" t="s">
        <v>68</v>
      </c>
    </row>
    <row r="4" spans="1:3" ht="30.75" thickBot="1" x14ac:dyDescent="0.3">
      <c r="A4" s="181" t="s">
        <v>169</v>
      </c>
      <c r="B4" s="182" t="s">
        <v>170</v>
      </c>
      <c r="C4" s="183" t="s">
        <v>68</v>
      </c>
    </row>
    <row r="5" spans="1:3" ht="30.75" thickBot="1" x14ac:dyDescent="0.3">
      <c r="A5" s="181" t="s">
        <v>171</v>
      </c>
      <c r="B5" s="182" t="s">
        <v>172</v>
      </c>
      <c r="C5" s="183" t="s">
        <v>68</v>
      </c>
    </row>
    <row r="6" spans="1:3" ht="30.75" thickBot="1" x14ac:dyDescent="0.3">
      <c r="A6" s="181" t="s">
        <v>173</v>
      </c>
      <c r="B6" s="182" t="s">
        <v>174</v>
      </c>
      <c r="C6" s="183" t="s">
        <v>68</v>
      </c>
    </row>
    <row r="7" spans="1:3" ht="15.75" thickBot="1" x14ac:dyDescent="0.3">
      <c r="A7" s="181" t="s">
        <v>175</v>
      </c>
      <c r="B7" s="182" t="s">
        <v>176</v>
      </c>
      <c r="C7" s="183" t="s">
        <v>24</v>
      </c>
    </row>
    <row r="8" spans="1:3" ht="15.75" thickBot="1" x14ac:dyDescent="0.3">
      <c r="A8" s="181" t="s">
        <v>177</v>
      </c>
      <c r="B8" s="182" t="s">
        <v>178</v>
      </c>
      <c r="C8" s="183" t="s">
        <v>24</v>
      </c>
    </row>
    <row r="9" spans="1:3" ht="15.75" thickBot="1" x14ac:dyDescent="0.3">
      <c r="A9" s="181" t="s">
        <v>179</v>
      </c>
      <c r="B9" s="182" t="s">
        <v>180</v>
      </c>
      <c r="C9" s="183" t="s">
        <v>24</v>
      </c>
    </row>
    <row r="10" spans="1:3" ht="15.75" thickBot="1" x14ac:dyDescent="0.3">
      <c r="A10" s="181" t="s">
        <v>181</v>
      </c>
      <c r="B10" s="182" t="s">
        <v>182</v>
      </c>
      <c r="C10" s="183" t="s">
        <v>24</v>
      </c>
    </row>
    <row r="11" spans="1:3" ht="30.75" thickBot="1" x14ac:dyDescent="0.3">
      <c r="A11" s="181" t="s">
        <v>183</v>
      </c>
      <c r="B11" s="182" t="s">
        <v>184</v>
      </c>
      <c r="C11" s="183" t="s">
        <v>24</v>
      </c>
    </row>
    <row r="12" spans="1:3" ht="15.75" thickBot="1" x14ac:dyDescent="0.3">
      <c r="A12" s="181" t="s">
        <v>185</v>
      </c>
      <c r="B12" s="182" t="s">
        <v>186</v>
      </c>
      <c r="C12" s="183" t="s">
        <v>24</v>
      </c>
    </row>
    <row r="13" spans="1:3" ht="45.75" thickBot="1" x14ac:dyDescent="0.3">
      <c r="A13" s="181" t="s">
        <v>187</v>
      </c>
      <c r="B13" s="182" t="s">
        <v>188</v>
      </c>
      <c r="C13" s="183" t="s">
        <v>76</v>
      </c>
    </row>
    <row r="14" spans="1:3" ht="15.75" thickBot="1" x14ac:dyDescent="0.3">
      <c r="A14" s="181" t="s">
        <v>189</v>
      </c>
      <c r="B14" s="182" t="s">
        <v>190</v>
      </c>
      <c r="C14" s="183" t="s">
        <v>76</v>
      </c>
    </row>
    <row r="15" spans="1:3" ht="30.75" thickBot="1" x14ac:dyDescent="0.3">
      <c r="A15" s="181" t="s">
        <v>191</v>
      </c>
      <c r="B15" s="182" t="s">
        <v>192</v>
      </c>
      <c r="C15" s="183" t="s">
        <v>76</v>
      </c>
    </row>
    <row r="16" spans="1:3" ht="45.75" thickBot="1" x14ac:dyDescent="0.3">
      <c r="A16" s="181" t="s">
        <v>193</v>
      </c>
      <c r="B16" s="182" t="s">
        <v>194</v>
      </c>
      <c r="C16" s="183" t="s">
        <v>76</v>
      </c>
    </row>
    <row r="17" spans="1:3" ht="15.75" thickBot="1" x14ac:dyDescent="0.3">
      <c r="A17" s="181" t="s">
        <v>195</v>
      </c>
      <c r="B17" s="182" t="s">
        <v>196</v>
      </c>
      <c r="C17" s="183" t="s">
        <v>76</v>
      </c>
    </row>
    <row r="18" spans="1:3" ht="30.75" thickBot="1" x14ac:dyDescent="0.3">
      <c r="A18" s="181" t="s">
        <v>197</v>
      </c>
      <c r="B18" s="182" t="s">
        <v>198</v>
      </c>
      <c r="C18" s="183" t="s">
        <v>76</v>
      </c>
    </row>
    <row r="19" spans="1:3" ht="15.75" thickBot="1" x14ac:dyDescent="0.3">
      <c r="A19" s="181" t="s">
        <v>199</v>
      </c>
      <c r="B19" s="182" t="s">
        <v>200</v>
      </c>
      <c r="C19" s="183" t="s">
        <v>20</v>
      </c>
    </row>
    <row r="20" spans="1:3" ht="30.75" thickBot="1" x14ac:dyDescent="0.3">
      <c r="A20" s="181" t="s">
        <v>201</v>
      </c>
      <c r="B20" s="182" t="s">
        <v>202</v>
      </c>
      <c r="C20" s="183" t="s">
        <v>203</v>
      </c>
    </row>
    <row r="21" spans="1:3" ht="30.75" thickBot="1" x14ac:dyDescent="0.3">
      <c r="A21" s="181" t="s">
        <v>204</v>
      </c>
      <c r="B21" s="182" t="s">
        <v>205</v>
      </c>
      <c r="C21" s="183" t="s">
        <v>203</v>
      </c>
    </row>
    <row r="22" spans="1:3" ht="15.75" thickBot="1" x14ac:dyDescent="0.3">
      <c r="A22" s="181" t="s">
        <v>206</v>
      </c>
      <c r="B22" s="182" t="s">
        <v>207</v>
      </c>
      <c r="C22" s="183" t="s">
        <v>203</v>
      </c>
    </row>
    <row r="23" spans="1:3" ht="45.75" thickBot="1" x14ac:dyDescent="0.3">
      <c r="A23" s="181" t="s">
        <v>208</v>
      </c>
      <c r="B23" s="182" t="s">
        <v>209</v>
      </c>
      <c r="C23" s="183" t="s">
        <v>203</v>
      </c>
    </row>
    <row r="24" spans="1:3" ht="15.75" thickBot="1" x14ac:dyDescent="0.3">
      <c r="A24" s="184" t="s">
        <v>210</v>
      </c>
      <c r="B24" s="185" t="s">
        <v>211</v>
      </c>
      <c r="C24" s="186" t="s">
        <v>203</v>
      </c>
    </row>
    <row r="25" spans="1:3" ht="15.75" thickBot="1" x14ac:dyDescent="0.3"/>
    <row r="26" spans="1:3" ht="18.75" thickBot="1" x14ac:dyDescent="0.3">
      <c r="A26" s="244" t="s">
        <v>212</v>
      </c>
      <c r="B26" s="245"/>
      <c r="C26" s="246"/>
    </row>
    <row r="27" spans="1:3" ht="30.75" thickBot="1" x14ac:dyDescent="0.3">
      <c r="A27" s="187" t="s">
        <v>213</v>
      </c>
      <c r="B27" s="188" t="s">
        <v>165</v>
      </c>
      <c r="C27" s="189" t="s">
        <v>166</v>
      </c>
    </row>
    <row r="28" spans="1:3" ht="15.75" thickBot="1" x14ac:dyDescent="0.3">
      <c r="A28" s="190" t="s">
        <v>214</v>
      </c>
      <c r="B28" s="191" t="s">
        <v>215</v>
      </c>
      <c r="C28" s="192" t="s">
        <v>29</v>
      </c>
    </row>
  </sheetData>
  <mergeCells count="1">
    <mergeCell ref="A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Planning Parameters</vt:lpstr>
      <vt:lpstr>Net CONE</vt:lpstr>
      <vt:lpstr>Key Transmission Upgrades</vt:lpstr>
      <vt:lpstr>Price_Cap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Bachus, Tim D</dc:creator>
  <cp:lastModifiedBy>Bachus, Tim D</cp:lastModifiedBy>
  <dcterms:created xsi:type="dcterms:W3CDTF">2026-08-28T18:27:55Z</dcterms:created>
  <dcterms:modified xsi:type="dcterms:W3CDTF">2026-09-01T19:19:42Z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2026-08-31T18:02:32Z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733f759e-3c5a-4877-ab13-7a1800871c11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