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leyf\Desktop\DEOK-ATSI (ROE-RTO Adder) re-settlements\"/>
    </mc:Choice>
  </mc:AlternateContent>
  <xr:revisionPtr revIDLastSave="0" documentId="13_ncr:1_{971C3066-A442-416B-948E-BEEE86B56B7E}" xr6:coauthVersionLast="47" xr6:coauthVersionMax="47" xr10:uidLastSave="{00000000-0000-0000-0000-000000000000}"/>
  <bookViews>
    <workbookView xWindow="28680" yWindow="-120" windowWidth="29040" windowHeight="16440" xr2:uid="{B4DF5F1B-72BC-42E4-8872-C83440850B9E}"/>
  </bookViews>
  <sheets>
    <sheet name="2022" sheetId="1" r:id="rId1"/>
  </sheets>
  <definedNames>
    <definedName name="_AMO_UniqueIdentifier" hidden="1">"'dc2b4d5e-3c9b-4e5f-aab8-4aaef35c2e8f'"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24" i="1" l="1"/>
  <c r="C48" i="1"/>
  <c r="C8" i="1"/>
  <c r="B24" i="1"/>
  <c r="B22" i="1"/>
  <c r="B20" i="1"/>
  <c r="B18" i="1"/>
  <c r="C18" i="1" s="1"/>
  <c r="B14" i="1"/>
  <c r="C14" i="1" s="1"/>
  <c r="B12" i="1"/>
  <c r="C12" i="1" s="1"/>
  <c r="B10" i="1"/>
  <c r="C10" i="1" s="1"/>
  <c r="B8" i="1"/>
  <c r="B16" i="1"/>
  <c r="C22" i="1"/>
  <c r="C20" i="1"/>
  <c r="C16" i="1"/>
  <c r="B46" i="1"/>
  <c r="C46" i="1" s="1"/>
  <c r="B44" i="1"/>
  <c r="C44" i="1" s="1"/>
  <c r="B42" i="1"/>
  <c r="C42" i="1" s="1"/>
  <c r="B40" i="1"/>
  <c r="B38" i="1"/>
  <c r="C38" i="1" s="1"/>
  <c r="B34" i="1"/>
  <c r="C34" i="1" s="1"/>
  <c r="B32" i="1"/>
  <c r="B48" i="1" s="1"/>
  <c r="B36" i="1"/>
  <c r="C36" i="1" s="1"/>
  <c r="C40" i="1"/>
  <c r="G47" i="1" l="1"/>
  <c r="AA47" i="1"/>
  <c r="D47" i="1"/>
  <c r="F47" i="1"/>
  <c r="H47" i="1"/>
  <c r="I47" i="1"/>
  <c r="L47" i="1"/>
  <c r="AB47" i="1"/>
  <c r="E47" i="1"/>
  <c r="J47" i="1"/>
  <c r="K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G45" i="1"/>
  <c r="L45" i="1"/>
  <c r="E45" i="1"/>
  <c r="I45" i="1"/>
  <c r="M45" i="1"/>
  <c r="R45" i="1"/>
  <c r="U45" i="1"/>
  <c r="X45" i="1"/>
  <c r="F45" i="1"/>
  <c r="H45" i="1"/>
  <c r="K45" i="1"/>
  <c r="N45" i="1"/>
  <c r="P45" i="1"/>
  <c r="S45" i="1"/>
  <c r="V45" i="1"/>
  <c r="Y45" i="1"/>
  <c r="AA45" i="1"/>
  <c r="D45" i="1"/>
  <c r="J45" i="1"/>
  <c r="O45" i="1"/>
  <c r="Q45" i="1"/>
  <c r="T45" i="1"/>
  <c r="W45" i="1"/>
  <c r="Z45" i="1"/>
  <c r="AB45" i="1"/>
  <c r="F43" i="1"/>
  <c r="I43" i="1"/>
  <c r="O43" i="1"/>
  <c r="K43" i="1"/>
  <c r="N43" i="1"/>
  <c r="S43" i="1"/>
  <c r="T43" i="1"/>
  <c r="V43" i="1"/>
  <c r="Y43" i="1"/>
  <c r="Z43" i="1"/>
  <c r="D43" i="1"/>
  <c r="G43" i="1"/>
  <c r="L43" i="1"/>
  <c r="P43" i="1"/>
  <c r="R43" i="1"/>
  <c r="W43" i="1"/>
  <c r="AA43" i="1"/>
  <c r="E43" i="1"/>
  <c r="H43" i="1"/>
  <c r="J43" i="1"/>
  <c r="M43" i="1"/>
  <c r="Q43" i="1"/>
  <c r="U43" i="1"/>
  <c r="X43" i="1"/>
  <c r="AB43" i="1"/>
  <c r="E41" i="1"/>
  <c r="H41" i="1"/>
  <c r="K41" i="1"/>
  <c r="N41" i="1"/>
  <c r="P41" i="1"/>
  <c r="S41" i="1"/>
  <c r="L41" i="1"/>
  <c r="R41" i="1"/>
  <c r="X41" i="1"/>
  <c r="AA41" i="1"/>
  <c r="D41" i="1"/>
  <c r="F41" i="1"/>
  <c r="I41" i="1"/>
  <c r="M41" i="1"/>
  <c r="Q41" i="1"/>
  <c r="U41" i="1"/>
  <c r="W41" i="1"/>
  <c r="Z41" i="1"/>
  <c r="AB41" i="1"/>
  <c r="G41" i="1"/>
  <c r="J41" i="1"/>
  <c r="O41" i="1"/>
  <c r="T41" i="1"/>
  <c r="V41" i="1"/>
  <c r="Y41" i="1"/>
  <c r="F39" i="1"/>
  <c r="I39" i="1"/>
  <c r="L39" i="1"/>
  <c r="P39" i="1"/>
  <c r="S39" i="1"/>
  <c r="T39" i="1"/>
  <c r="Z39" i="1"/>
  <c r="AB39" i="1"/>
  <c r="D39" i="1"/>
  <c r="G39" i="1"/>
  <c r="K39" i="1"/>
  <c r="V39" i="1"/>
  <c r="Y39" i="1"/>
  <c r="AA39" i="1"/>
  <c r="H39" i="1"/>
  <c r="N39" i="1"/>
  <c r="Q39" i="1"/>
  <c r="X39" i="1"/>
  <c r="E39" i="1"/>
  <c r="J39" i="1"/>
  <c r="M39" i="1"/>
  <c r="O39" i="1"/>
  <c r="R39" i="1"/>
  <c r="U39" i="1"/>
  <c r="W39" i="1"/>
  <c r="D37" i="1"/>
  <c r="E37" i="1"/>
  <c r="F37" i="1"/>
  <c r="G37" i="1"/>
  <c r="L37" i="1"/>
  <c r="P37" i="1"/>
  <c r="U37" i="1"/>
  <c r="Y37" i="1"/>
  <c r="AB37" i="1"/>
  <c r="J37" i="1"/>
  <c r="M37" i="1"/>
  <c r="O37" i="1"/>
  <c r="R37" i="1"/>
  <c r="T37" i="1"/>
  <c r="W37" i="1"/>
  <c r="H37" i="1"/>
  <c r="K37" i="1"/>
  <c r="Q37" i="1"/>
  <c r="AA37" i="1"/>
  <c r="I37" i="1"/>
  <c r="N37" i="1"/>
  <c r="S37" i="1"/>
  <c r="V37" i="1"/>
  <c r="X37" i="1"/>
  <c r="Z37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C32" i="1"/>
  <c r="F23" i="1"/>
  <c r="H23" i="1"/>
  <c r="K23" i="1"/>
  <c r="P23" i="1"/>
  <c r="S23" i="1"/>
  <c r="W23" i="1"/>
  <c r="Z23" i="1"/>
  <c r="J23" i="1"/>
  <c r="AB23" i="1"/>
  <c r="AA23" i="1"/>
  <c r="I23" i="1"/>
  <c r="M23" i="1"/>
  <c r="Q23" i="1"/>
  <c r="T23" i="1"/>
  <c r="Y23" i="1"/>
  <c r="X23" i="1"/>
  <c r="O23" i="1"/>
  <c r="L23" i="1"/>
  <c r="E23" i="1"/>
  <c r="G23" i="1"/>
  <c r="V23" i="1"/>
  <c r="U23" i="1"/>
  <c r="R23" i="1"/>
  <c r="N23" i="1"/>
  <c r="D23" i="1"/>
  <c r="N21" i="1"/>
  <c r="H21" i="1"/>
  <c r="E21" i="1"/>
  <c r="Y21" i="1"/>
  <c r="V21" i="1"/>
  <c r="S21" i="1"/>
  <c r="M21" i="1"/>
  <c r="G21" i="1"/>
  <c r="AA21" i="1"/>
  <c r="P21" i="1"/>
  <c r="J21" i="1"/>
  <c r="X21" i="1"/>
  <c r="T21" i="1"/>
  <c r="Q21" i="1"/>
  <c r="K21" i="1"/>
  <c r="I21" i="1"/>
  <c r="Z21" i="1"/>
  <c r="W21" i="1"/>
  <c r="R21" i="1"/>
  <c r="O21" i="1"/>
  <c r="L21" i="1"/>
  <c r="F21" i="1"/>
  <c r="D21" i="1"/>
  <c r="U21" i="1"/>
  <c r="AB21" i="1"/>
  <c r="Y19" i="1"/>
  <c r="V19" i="1"/>
  <c r="R19" i="1"/>
  <c r="J19" i="1"/>
  <c r="H19" i="1"/>
  <c r="G19" i="1"/>
  <c r="AB19" i="1"/>
  <c r="T19" i="1"/>
  <c r="O19" i="1"/>
  <c r="E19" i="1"/>
  <c r="X19" i="1"/>
  <c r="U19" i="1"/>
  <c r="Q19" i="1"/>
  <c r="N19" i="1"/>
  <c r="K19" i="1"/>
  <c r="AA19" i="1"/>
  <c r="L19" i="1"/>
  <c r="F19" i="1"/>
  <c r="S19" i="1"/>
  <c r="Z19" i="1"/>
  <c r="W19" i="1"/>
  <c r="P19" i="1"/>
  <c r="M19" i="1"/>
  <c r="I19" i="1"/>
  <c r="D19" i="1"/>
  <c r="D17" i="1"/>
  <c r="E17" i="1"/>
  <c r="F17" i="1"/>
  <c r="G17" i="1"/>
  <c r="H17" i="1"/>
  <c r="I17" i="1"/>
  <c r="J17" i="1"/>
  <c r="N17" i="1"/>
  <c r="R17" i="1"/>
  <c r="U17" i="1"/>
  <c r="Y17" i="1"/>
  <c r="K17" i="1"/>
  <c r="S17" i="1"/>
  <c r="Z17" i="1"/>
  <c r="M17" i="1"/>
  <c r="Q17" i="1"/>
  <c r="V17" i="1"/>
  <c r="X17" i="1"/>
  <c r="AA17" i="1"/>
  <c r="L17" i="1"/>
  <c r="O17" i="1"/>
  <c r="T17" i="1"/>
  <c r="W17" i="1"/>
  <c r="AB17" i="1"/>
  <c r="P17" i="1"/>
  <c r="L15" i="1"/>
  <c r="Q15" i="1"/>
  <c r="M15" i="1"/>
  <c r="N15" i="1"/>
  <c r="O15" i="1"/>
  <c r="P15" i="1"/>
  <c r="R15" i="1"/>
  <c r="S15" i="1"/>
  <c r="T15" i="1"/>
  <c r="U15" i="1"/>
  <c r="AB15" i="1"/>
  <c r="K15" i="1"/>
  <c r="AA15" i="1"/>
  <c r="D15" i="1"/>
  <c r="Z15" i="1"/>
  <c r="F15" i="1"/>
  <c r="G15" i="1"/>
  <c r="H15" i="1"/>
  <c r="Y15" i="1"/>
  <c r="X15" i="1"/>
  <c r="E15" i="1"/>
  <c r="W15" i="1"/>
  <c r="V15" i="1"/>
  <c r="I15" i="1"/>
  <c r="J15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F11" i="1"/>
  <c r="D11" i="1"/>
  <c r="H11" i="1"/>
  <c r="E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G11" i="1"/>
  <c r="D33" i="1" l="1"/>
  <c r="D48" i="1" s="1"/>
  <c r="E33" i="1"/>
  <c r="E48" i="1" s="1"/>
  <c r="F33" i="1"/>
  <c r="F48" i="1" s="1"/>
  <c r="G33" i="1"/>
  <c r="G48" i="1" s="1"/>
  <c r="H33" i="1"/>
  <c r="H48" i="1" s="1"/>
  <c r="I33" i="1"/>
  <c r="I48" i="1" s="1"/>
  <c r="J33" i="1"/>
  <c r="J48" i="1" s="1"/>
  <c r="K33" i="1"/>
  <c r="K48" i="1" s="1"/>
  <c r="L33" i="1"/>
  <c r="L48" i="1" s="1"/>
  <c r="M33" i="1"/>
  <c r="M48" i="1" s="1"/>
  <c r="N33" i="1"/>
  <c r="N48" i="1" s="1"/>
  <c r="O33" i="1"/>
  <c r="O48" i="1" s="1"/>
  <c r="P33" i="1"/>
  <c r="P48" i="1" s="1"/>
  <c r="Q33" i="1"/>
  <c r="Q48" i="1" s="1"/>
  <c r="R33" i="1"/>
  <c r="R48" i="1" s="1"/>
  <c r="S33" i="1"/>
  <c r="S48" i="1" s="1"/>
  <c r="T33" i="1"/>
  <c r="T48" i="1" s="1"/>
  <c r="U33" i="1"/>
  <c r="U48" i="1" s="1"/>
  <c r="V33" i="1"/>
  <c r="V48" i="1" s="1"/>
  <c r="W33" i="1"/>
  <c r="W48" i="1" s="1"/>
  <c r="X33" i="1"/>
  <c r="X48" i="1" s="1"/>
  <c r="Y33" i="1"/>
  <c r="Y48" i="1" s="1"/>
  <c r="Z33" i="1"/>
  <c r="Z48" i="1" s="1"/>
  <c r="AA33" i="1"/>
  <c r="AA48" i="1" s="1"/>
  <c r="AB33" i="1"/>
  <c r="AB48" i="1" s="1"/>
  <c r="F9" i="1"/>
  <c r="F24" i="1" s="1"/>
  <c r="H9" i="1"/>
  <c r="H24" i="1" s="1"/>
  <c r="J9" i="1"/>
  <c r="J24" i="1" s="1"/>
  <c r="P9" i="1"/>
  <c r="P24" i="1" s="1"/>
  <c r="T9" i="1"/>
  <c r="T24" i="1" s="1"/>
  <c r="W9" i="1"/>
  <c r="W24" i="1" s="1"/>
  <c r="AA9" i="1"/>
  <c r="AA24" i="1" s="1"/>
  <c r="E9" i="1"/>
  <c r="E24" i="1" s="1"/>
  <c r="L9" i="1"/>
  <c r="L24" i="1" s="1"/>
  <c r="V9" i="1"/>
  <c r="V24" i="1" s="1"/>
  <c r="Y9" i="1"/>
  <c r="Y24" i="1" s="1"/>
  <c r="D9" i="1"/>
  <c r="D24" i="1" s="1"/>
  <c r="G9" i="1"/>
  <c r="G24" i="1" s="1"/>
  <c r="I9" i="1"/>
  <c r="I24" i="1" s="1"/>
  <c r="K9" i="1"/>
  <c r="K24" i="1" s="1"/>
  <c r="N9" i="1"/>
  <c r="N24" i="1" s="1"/>
  <c r="R9" i="1"/>
  <c r="R24" i="1" s="1"/>
  <c r="U9" i="1"/>
  <c r="U24" i="1" s="1"/>
  <c r="X9" i="1"/>
  <c r="X24" i="1" s="1"/>
  <c r="AB9" i="1"/>
  <c r="AB24" i="1" s="1"/>
  <c r="O9" i="1"/>
  <c r="O24" i="1" s="1"/>
  <c r="M9" i="1"/>
  <c r="M24" i="1" s="1"/>
  <c r="Q9" i="1"/>
  <c r="Q24" i="1" s="1"/>
  <c r="S9" i="1"/>
  <c r="S24" i="1" s="1"/>
  <c r="Z9" i="1"/>
  <c r="Z24" i="1" s="1"/>
</calcChain>
</file>

<file path=xl/sharedStrings.xml><?xml version="1.0" encoding="utf-8"?>
<sst xmlns="http://schemas.openxmlformats.org/spreadsheetml/2006/main" count="96" uniqueCount="49">
  <si>
    <t>Required Transmission Enhancements owned by: American Transmission Systems, Inc.</t>
  </si>
  <si>
    <t>PJM</t>
  </si>
  <si>
    <t>Annual</t>
  </si>
  <si>
    <t>Monthly</t>
  </si>
  <si>
    <t>Responsible Customers'/Zones' allocation shares of monthly charges</t>
  </si>
  <si>
    <t>Upgrade</t>
  </si>
  <si>
    <t>Revenue</t>
  </si>
  <si>
    <t>East Coast</t>
  </si>
  <si>
    <t>ID</t>
  </si>
  <si>
    <t>Requirement</t>
  </si>
  <si>
    <t>AE</t>
  </si>
  <si>
    <t>AEP</t>
  </si>
  <si>
    <t>APS</t>
  </si>
  <si>
    <t>ATSI</t>
  </si>
  <si>
    <t>BGE</t>
  </si>
  <si>
    <t>ComEd</t>
  </si>
  <si>
    <t>Dayton</t>
  </si>
  <si>
    <t>Duke Energy OH/KY</t>
  </si>
  <si>
    <t>Duquesne</t>
  </si>
  <si>
    <t>Delmarva</t>
  </si>
  <si>
    <t>Dominion</t>
  </si>
  <si>
    <t>EKPC</t>
  </si>
  <si>
    <t>HTP</t>
  </si>
  <si>
    <t>JCPL</t>
  </si>
  <si>
    <t>MetEd</t>
  </si>
  <si>
    <t>Neptune</t>
  </si>
  <si>
    <t>PECO</t>
  </si>
  <si>
    <t>Penelec</t>
  </si>
  <si>
    <t>PEPCO</t>
  </si>
  <si>
    <t>PPL</t>
  </si>
  <si>
    <t>PSEG</t>
  </si>
  <si>
    <t>Rockland</t>
  </si>
  <si>
    <t>Power</t>
  </si>
  <si>
    <t>OVEC</t>
  </si>
  <si>
    <t>MISO</t>
  </si>
  <si>
    <t>b1587</t>
  </si>
  <si>
    <t>b1920</t>
  </si>
  <si>
    <t>b1977</t>
  </si>
  <si>
    <t>b1959</t>
  </si>
  <si>
    <t>b2972</t>
  </si>
  <si>
    <t>b2124.4</t>
  </si>
  <si>
    <t>b2124.1</t>
  </si>
  <si>
    <t>b2124.2</t>
  </si>
  <si>
    <t>TOTAL</t>
  </si>
  <si>
    <t>Transmission Enhancement Charges (PJM OATT Schedule 12) Settlement Worksheet
Projects Impacted by Resettlement under Docket No. EL22-34</t>
  </si>
  <si>
    <t>*2022 annual revenue requirements revised to reflect ROE resettlement adjustments effective 2/24/2022 under Docket No. EL22-34 (Note: February is pro-rated)</t>
  </si>
  <si>
    <t>(Mar-Dec 2022)</t>
  </si>
  <si>
    <t>(Feb 2022)</t>
  </si>
  <si>
    <r>
      <t>Requirement</t>
    </r>
    <r>
      <rPr>
        <b/>
        <sz val="8"/>
        <color rgb="FFFF0000"/>
        <rFont val="Arial"/>
        <family val="2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</si>
</sst>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44" formatCode="_(&quot;$&quot;* #,##0.00_);_(&quot;$&quot;* \(#,##0.00\);_(&quot;$&quot;* &quot;-&quot;??_);_(@_)"/>
    <numFmt numFmtId="164" formatCode="&quot;$&quot;#,##0.00"/>
  </numFmts>
  <fonts count="13">
    <font>
      <sz val="10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color theme="1"/>
      <name val="Arial"/>
      <family val="2"/>
    </font>
    <font>
      <b/>
      <sz val="8"/>
      <color rgb="FFFF0000"/>
      <name val="Arial"/>
      <family val="2"/>
    </font>
    <font>
      <sz val="8"/>
      <name val="Arial"/>
      <family val="2"/>
    </font>
    <font>
      <sz val="12"/>
      <name val="Arial MT"/>
      <family val="2"/>
    </font>
    <font>
      <sz val="8"/>
      <color rgb="FFFF0000"/>
      <name val="Arial"/>
      <family val="2"/>
    </font>
    <font>
      <b/>
      <i/>
      <sz val="8"/>
      <name val="Arial"/>
      <family val="2"/>
    </font>
    <font>
      <b/>
      <i/>
      <sz val="8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2065187536243"/>
        <bgColor indexed="64"/>
      </patternFill>
    </fill>
    <fill>
      <patternFill patternType="solid">
        <fgColor theme="0" tint="-4.992828150273141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/>
    <xf numFmtId="164" fontId="6" fillId="0" borderId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2" fillId="2" borderId="0" xfId="3" applyFont="1" applyFill="1" applyAlignment="1">
      <alignment horizontal="left"/>
    </xf>
    <xf numFmtId="0" fontId="1" fillId="2" borderId="0" xfId="4" applyFill="1"/>
    <xf numFmtId="44" fontId="1" fillId="2" borderId="0" xfId="1" applyFont="1" applyFill="1"/>
    <xf numFmtId="0" fontId="1" fillId="0" borderId="0" xfId="4"/>
    <xf numFmtId="10" fontId="1" fillId="0" borderId="0" xfId="0" applyNumberFormat="1" applyFont="1"/>
    <xf numFmtId="44" fontId="1" fillId="0" borderId="0" xfId="0" applyNumberFormat="1" applyFont="1"/>
    <xf numFmtId="0" fontId="1" fillId="0" borderId="0" xfId="0" applyFont="1"/>
    <xf numFmtId="0" fontId="2" fillId="3" borderId="1" xfId="3" applyFont="1" applyFill="1" applyBorder="1" applyAlignment="1">
      <alignment horizontal="left"/>
    </xf>
    <xf numFmtId="0" fontId="2" fillId="3" borderId="2" xfId="3" applyFont="1" applyFill="1" applyBorder="1" applyAlignment="1">
      <alignment horizontal="center"/>
    </xf>
    <xf numFmtId="44" fontId="2" fillId="3" borderId="3" xfId="1" applyFont="1" applyFill="1" applyBorder="1" applyAlignment="1">
      <alignment horizontal="center"/>
    </xf>
    <xf numFmtId="0" fontId="1" fillId="3" borderId="5" xfId="4" applyFill="1" applyBorder="1"/>
    <xf numFmtId="0" fontId="2" fillId="3" borderId="6" xfId="3" applyFont="1" applyFill="1" applyBorder="1" applyAlignment="1">
      <alignment horizontal="left"/>
    </xf>
    <xf numFmtId="0" fontId="2" fillId="3" borderId="0" xfId="3" applyFont="1" applyFill="1" applyAlignment="1">
      <alignment horizontal="center"/>
    </xf>
    <xf numFmtId="44" fontId="2" fillId="3" borderId="7" xfId="1" applyFont="1" applyFill="1" applyBorder="1" applyAlignment="1">
      <alignment horizontal="center"/>
    </xf>
    <xf numFmtId="0" fontId="2" fillId="4" borderId="0" xfId="3" applyFont="1" applyFill="1" applyAlignment="1">
      <alignment horizontal="center"/>
    </xf>
    <xf numFmtId="0" fontId="2" fillId="3" borderId="6" xfId="3" applyFont="1" applyFill="1" applyBorder="1" applyAlignment="1">
      <alignment horizontal="center"/>
    </xf>
    <xf numFmtId="44" fontId="4" fillId="5" borderId="7" xfId="1" applyFont="1" applyFill="1" applyBorder="1" applyAlignment="1">
      <alignment horizontal="center"/>
    </xf>
    <xf numFmtId="0" fontId="5" fillId="3" borderId="6" xfId="3" applyFont="1" applyFill="1" applyBorder="1" applyAlignment="1">
      <alignment horizontal="center"/>
    </xf>
    <xf numFmtId="0" fontId="5" fillId="3" borderId="0" xfId="3" applyFont="1" applyFill="1" applyAlignment="1">
      <alignment horizontal="center"/>
    </xf>
    <xf numFmtId="0" fontId="5" fillId="4" borderId="0" xfId="3" applyFont="1" applyFill="1" applyAlignment="1">
      <alignment horizontal="center"/>
    </xf>
    <xf numFmtId="164" fontId="5" fillId="0" borderId="9" xfId="5" applyFont="1" applyBorder="1" applyAlignment="1">
      <alignment horizontal="left"/>
    </xf>
    <xf numFmtId="44" fontId="7" fillId="0" borderId="10" xfId="1" applyFont="1" applyFill="1" applyBorder="1"/>
    <xf numFmtId="44" fontId="7" fillId="0" borderId="10" xfId="1" applyFont="1" applyFill="1" applyBorder="1" applyAlignment="1">
      <alignment horizontal="center"/>
    </xf>
    <xf numFmtId="10" fontId="5" fillId="0" borderId="9" xfId="3" applyNumberFormat="1" applyFont="1" applyBorder="1" applyAlignment="1">
      <alignment horizontal="center"/>
    </xf>
    <xf numFmtId="10" fontId="5" fillId="0" borderId="9" xfId="2" applyNumberFormat="1" applyFont="1" applyFill="1" applyBorder="1" applyAlignment="1">
      <alignment horizontal="center"/>
    </xf>
    <xf numFmtId="10" fontId="5" fillId="0" borderId="9" xfId="6" applyNumberFormat="1" applyFont="1" applyFill="1" applyBorder="1" applyAlignment="1">
      <alignment horizontal="center"/>
    </xf>
    <xf numFmtId="0" fontId="5" fillId="0" borderId="0" xfId="0" applyFont="1"/>
    <xf numFmtId="44" fontId="5" fillId="0" borderId="0" xfId="1" applyFont="1" applyFill="1"/>
    <xf numFmtId="44" fontId="2" fillId="0" borderId="7" xfId="1" applyFont="1" applyFill="1" applyBorder="1" applyAlignment="1">
      <alignment horizontal="center"/>
    </xf>
    <xf numFmtId="44" fontId="5" fillId="0" borderId="0" xfId="1" applyFont="1" applyFill="1" applyBorder="1" applyAlignment="1">
      <alignment horizontal="center"/>
    </xf>
    <xf numFmtId="2" fontId="1" fillId="0" borderId="0" xfId="0" applyNumberFormat="1" applyFont="1"/>
    <xf numFmtId="0" fontId="2" fillId="0" borderId="9" xfId="3" applyFont="1" applyBorder="1" applyAlignment="1">
      <alignment horizontal="left"/>
    </xf>
    <xf numFmtId="44" fontId="5" fillId="0" borderId="9" xfId="3" applyNumberFormat="1" applyFont="1" applyBorder="1" applyAlignment="1">
      <alignment horizontal="center"/>
    </xf>
    <xf numFmtId="44" fontId="5" fillId="0" borderId="9" xfId="1" applyFont="1" applyFill="1" applyBorder="1" applyAlignment="1">
      <alignment horizontal="center"/>
    </xf>
    <xf numFmtId="0" fontId="8" fillId="0" borderId="0" xfId="4" applyFont="1" applyAlignment="1">
      <alignment horizontal="left"/>
    </xf>
    <xf numFmtId="3" fontId="8" fillId="0" borderId="0" xfId="3" applyNumberFormat="1" applyFont="1" applyAlignment="1">
      <alignment horizontal="center"/>
    </xf>
    <xf numFmtId="44" fontId="9" fillId="0" borderId="0" xfId="1" applyFont="1" applyFill="1"/>
    <xf numFmtId="0" fontId="8" fillId="0" borderId="0" xfId="4" applyFont="1"/>
    <xf numFmtId="0" fontId="4" fillId="0" borderId="0" xfId="4" applyFont="1"/>
    <xf numFmtId="0" fontId="2" fillId="0" borderId="0" xfId="3" applyFont="1" applyAlignment="1">
      <alignment horizontal="left"/>
    </xf>
    <xf numFmtId="44" fontId="5" fillId="0" borderId="0" xfId="3" applyNumberFormat="1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left"/>
    </xf>
    <xf numFmtId="44" fontId="12" fillId="0" borderId="0" xfId="1" applyFont="1"/>
    <xf numFmtId="0" fontId="12" fillId="0" borderId="0" xfId="0" applyFont="1"/>
    <xf numFmtId="44" fontId="0" fillId="0" borderId="0" xfId="0" applyNumberFormat="1"/>
    <xf numFmtId="6" fontId="12" fillId="0" borderId="0" xfId="1" applyNumberFormat="1" applyFont="1"/>
    <xf numFmtId="0" fontId="2" fillId="3" borderId="4" xfId="3" applyFont="1" applyFill="1" applyBorder="1" applyAlignment="1">
      <alignment horizontal="center"/>
    </xf>
    <xf numFmtId="0" fontId="2" fillId="3" borderId="5" xfId="3" applyFont="1" applyFill="1" applyBorder="1" applyAlignment="1">
      <alignment horizontal="center"/>
    </xf>
    <xf numFmtId="0" fontId="2" fillId="3" borderId="8" xfId="3" applyFont="1" applyFill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7">
    <cellStyle name="Currency" xfId="1" builtinId="4"/>
    <cellStyle name="Normal" xfId="0" builtinId="0"/>
    <cellStyle name="Normal 2 2" xfId="3" xr:uid="{65894EF7-9E64-4168-B9E9-FE8FF0A4CBB6}"/>
    <cellStyle name="Normal 4" xfId="4" xr:uid="{C36389A2-9BA6-4097-A67F-C9A8E1F51228}"/>
    <cellStyle name="Normal 9" xfId="5" xr:uid="{078F82A8-EAA0-41D9-A3BE-758C648AB221}"/>
    <cellStyle name="Percent" xfId="2" builtinId="5"/>
    <cellStyle name="Percent 2" xfId="6" xr:uid="{4C9A34D5-268D-48E6-A9F8-D429EE581A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1E0BB-15B0-475E-9699-CF1A9D3C82FE}">
  <dimension ref="A1:AD56"/>
  <sheetViews>
    <sheetView tabSelected="1" zoomScale="99" zoomScaleNormal="99" workbookViewId="0">
      <selection sqref="A1:Y1"/>
    </sheetView>
  </sheetViews>
  <sheetFormatPr defaultColWidth="9.109375" defaultRowHeight="13.2"/>
  <cols>
    <col min="1" max="1" width="17" style="43" customWidth="1"/>
    <col min="2" max="2" width="18.6640625" style="7" customWidth="1"/>
    <col min="3" max="3" width="19.5546875" style="44" customWidth="1"/>
    <col min="4" max="4" width="13.5546875" style="7" customWidth="1"/>
    <col min="5" max="7" width="15.109375" style="7" bestFit="1" customWidth="1"/>
    <col min="8" max="9" width="14" style="7" bestFit="1" customWidth="1"/>
    <col min="10" max="10" width="11.44140625" style="7" bestFit="1" customWidth="1"/>
    <col min="11" max="11" width="19.6640625" style="7" customWidth="1"/>
    <col min="12" max="12" width="13.5546875" style="7" customWidth="1"/>
    <col min="13" max="13" width="14.44140625" style="7" customWidth="1"/>
    <col min="14" max="14" width="13.44140625" style="7" customWidth="1"/>
    <col min="15" max="15" width="12.44140625" style="7" bestFit="1" customWidth="1"/>
    <col min="16" max="16" width="12" style="7" bestFit="1" customWidth="1"/>
    <col min="17" max="17" width="12.44140625" style="7" bestFit="1" customWidth="1"/>
    <col min="18" max="18" width="11.44140625" style="7" bestFit="1" customWidth="1"/>
    <col min="19" max="19" width="12" style="7" customWidth="1"/>
    <col min="20" max="20" width="15.44140625" style="7" customWidth="1"/>
    <col min="21" max="21" width="14.109375" style="7" bestFit="1" customWidth="1"/>
    <col min="22" max="22" width="13.44140625" style="7" customWidth="1"/>
    <col min="23" max="23" width="12" style="7" bestFit="1" customWidth="1"/>
    <col min="24" max="24" width="15.44140625" style="7" customWidth="1"/>
    <col min="25" max="25" width="12.88671875" style="7" customWidth="1"/>
    <col min="26" max="26" width="12" style="7" bestFit="1" customWidth="1"/>
    <col min="27" max="28" width="15.5546875" style="7" bestFit="1" customWidth="1"/>
    <col min="29" max="29" width="15.44140625" style="45" bestFit="1" customWidth="1"/>
    <col min="30" max="30" width="12.44140625" style="45" bestFit="1" customWidth="1"/>
    <col min="31" max="16384" width="9.109375" style="45"/>
  </cols>
  <sheetData>
    <row r="1" spans="1:30" ht="34.200000000000003" customHeight="1">
      <c r="A1" s="51" t="s">
        <v>44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3" spans="1:30" s="7" customFormat="1" ht="13.8" thickBot="1">
      <c r="A3" s="1" t="s">
        <v>0</v>
      </c>
      <c r="B3" s="2"/>
      <c r="C3" s="3"/>
      <c r="D3" s="2"/>
      <c r="E3" s="2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5"/>
      <c r="AD3" s="6"/>
    </row>
    <row r="4" spans="1:30" s="7" customFormat="1" ht="13.8" thickBot="1">
      <c r="A4" s="8" t="s">
        <v>1</v>
      </c>
      <c r="B4" s="9" t="s">
        <v>2</v>
      </c>
      <c r="C4" s="10" t="s">
        <v>3</v>
      </c>
      <c r="D4" s="48" t="s">
        <v>4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11"/>
      <c r="AA4" s="11"/>
      <c r="AB4" s="11"/>
      <c r="AC4" s="5"/>
      <c r="AD4" s="6"/>
    </row>
    <row r="5" spans="1:30" s="7" customFormat="1">
      <c r="A5" s="12" t="s">
        <v>5</v>
      </c>
      <c r="B5" s="13" t="s">
        <v>6</v>
      </c>
      <c r="C5" s="14" t="s">
        <v>6</v>
      </c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13" t="s">
        <v>7</v>
      </c>
      <c r="AA5" s="13"/>
      <c r="AB5" s="15"/>
      <c r="AC5" s="5"/>
      <c r="AD5" s="6"/>
    </row>
    <row r="6" spans="1:30" s="7" customFormat="1">
      <c r="A6" s="12" t="s">
        <v>8</v>
      </c>
      <c r="B6" s="13" t="s">
        <v>48</v>
      </c>
      <c r="C6" s="14" t="s">
        <v>9</v>
      </c>
      <c r="D6" s="16" t="s">
        <v>10</v>
      </c>
      <c r="E6" s="13" t="s">
        <v>11</v>
      </c>
      <c r="F6" s="13" t="s">
        <v>12</v>
      </c>
      <c r="G6" s="13" t="s">
        <v>13</v>
      </c>
      <c r="H6" s="13" t="s">
        <v>14</v>
      </c>
      <c r="I6" s="13" t="s">
        <v>15</v>
      </c>
      <c r="J6" s="13" t="s">
        <v>16</v>
      </c>
      <c r="K6" s="13" t="s">
        <v>17</v>
      </c>
      <c r="L6" s="13" t="s">
        <v>18</v>
      </c>
      <c r="M6" s="13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3" t="s">
        <v>28</v>
      </c>
      <c r="W6" s="13" t="s">
        <v>29</v>
      </c>
      <c r="X6" s="13" t="s">
        <v>30</v>
      </c>
      <c r="Y6" s="13" t="s">
        <v>31</v>
      </c>
      <c r="Z6" s="13" t="s">
        <v>32</v>
      </c>
      <c r="AA6" s="13" t="s">
        <v>33</v>
      </c>
      <c r="AB6" s="15" t="s">
        <v>34</v>
      </c>
      <c r="AC6" s="5"/>
      <c r="AD6" s="6"/>
    </row>
    <row r="7" spans="1:30" s="7" customFormat="1">
      <c r="A7" s="12"/>
      <c r="B7" s="13"/>
      <c r="C7" s="17" t="s">
        <v>47</v>
      </c>
      <c r="D7" s="18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20"/>
      <c r="AC7" s="5"/>
      <c r="AD7" s="6"/>
    </row>
    <row r="8" spans="1:30" s="7" customFormat="1">
      <c r="A8" s="21" t="s">
        <v>35</v>
      </c>
      <c r="B8" s="22">
        <f>2295319.18+-7140.07</f>
        <v>2288179.1100000003</v>
      </c>
      <c r="C8" s="23">
        <f>B8/12</f>
        <v>190681.59250000003</v>
      </c>
      <c r="D8" s="24"/>
      <c r="E8" s="25"/>
      <c r="F8" s="26">
        <v>5.5999999999999999E-3</v>
      </c>
      <c r="G8" s="26">
        <v>0.97560000000000002</v>
      </c>
      <c r="H8" s="24"/>
      <c r="I8" s="24"/>
      <c r="J8" s="24"/>
      <c r="K8" s="24"/>
      <c r="L8" s="26">
        <v>7.4999999999999997E-3</v>
      </c>
      <c r="M8" s="24"/>
      <c r="N8" s="24"/>
      <c r="O8" s="24"/>
      <c r="P8" s="24"/>
      <c r="Q8" s="24"/>
      <c r="R8" s="24"/>
      <c r="S8" s="24"/>
      <c r="T8" s="24"/>
      <c r="U8" s="24">
        <v>1.1299999999999999E-2</v>
      </c>
      <c r="V8" s="24"/>
      <c r="W8" s="24"/>
      <c r="X8" s="24"/>
      <c r="Y8" s="24"/>
      <c r="Z8" s="24"/>
      <c r="AA8" s="24"/>
      <c r="AB8" s="24"/>
      <c r="AC8" s="5"/>
      <c r="AD8" s="6"/>
    </row>
    <row r="9" spans="1:30" s="7" customFormat="1">
      <c r="A9" s="27"/>
      <c r="B9" s="28"/>
      <c r="C9" s="29"/>
      <c r="D9" s="30">
        <f>$C8*D8</f>
        <v>0</v>
      </c>
      <c r="E9" s="30">
        <f t="shared" ref="E9:AB9" si="0">$C8*E8</f>
        <v>0</v>
      </c>
      <c r="F9" s="30">
        <f t="shared" si="0"/>
        <v>1067.8169180000002</v>
      </c>
      <c r="G9" s="30">
        <f t="shared" si="0"/>
        <v>186028.96164300005</v>
      </c>
      <c r="H9" s="30">
        <f t="shared" si="0"/>
        <v>0</v>
      </c>
      <c r="I9" s="30">
        <f t="shared" si="0"/>
        <v>0</v>
      </c>
      <c r="J9" s="30">
        <f t="shared" si="0"/>
        <v>0</v>
      </c>
      <c r="K9" s="30">
        <f t="shared" si="0"/>
        <v>0</v>
      </c>
      <c r="L9" s="30">
        <f t="shared" si="0"/>
        <v>1430.1119437500001</v>
      </c>
      <c r="M9" s="30">
        <f t="shared" si="0"/>
        <v>0</v>
      </c>
      <c r="N9" s="30">
        <f t="shared" si="0"/>
        <v>0</v>
      </c>
      <c r="O9" s="30">
        <f t="shared" si="0"/>
        <v>0</v>
      </c>
      <c r="P9" s="30">
        <f t="shared" si="0"/>
        <v>0</v>
      </c>
      <c r="Q9" s="30">
        <f t="shared" si="0"/>
        <v>0</v>
      </c>
      <c r="R9" s="30">
        <f t="shared" si="0"/>
        <v>0</v>
      </c>
      <c r="S9" s="30">
        <f t="shared" si="0"/>
        <v>0</v>
      </c>
      <c r="T9" s="30">
        <f t="shared" si="0"/>
        <v>0</v>
      </c>
      <c r="U9" s="30">
        <f t="shared" si="0"/>
        <v>2154.70199525</v>
      </c>
      <c r="V9" s="30">
        <f t="shared" si="0"/>
        <v>0</v>
      </c>
      <c r="W9" s="30">
        <f t="shared" si="0"/>
        <v>0</v>
      </c>
      <c r="X9" s="30">
        <f t="shared" si="0"/>
        <v>0</v>
      </c>
      <c r="Y9" s="30">
        <f t="shared" si="0"/>
        <v>0</v>
      </c>
      <c r="Z9" s="30">
        <f t="shared" si="0"/>
        <v>0</v>
      </c>
      <c r="AA9" s="30">
        <f t="shared" si="0"/>
        <v>0</v>
      </c>
      <c r="AB9" s="30">
        <f t="shared" si="0"/>
        <v>0</v>
      </c>
      <c r="AC9" s="5"/>
      <c r="AD9" s="6"/>
    </row>
    <row r="10" spans="1:30" s="7" customFormat="1">
      <c r="A10" s="21" t="s">
        <v>36</v>
      </c>
      <c r="B10" s="22">
        <f>3946057+-10661.6</f>
        <v>3935395.4</v>
      </c>
      <c r="C10" s="23">
        <f>B10/12</f>
        <v>327949.61666666664</v>
      </c>
      <c r="D10" s="24"/>
      <c r="E10" s="25"/>
      <c r="F10" s="26"/>
      <c r="G10" s="26">
        <v>0.94469999999999998</v>
      </c>
      <c r="H10" s="24"/>
      <c r="I10" s="24"/>
      <c r="J10" s="24"/>
      <c r="K10" s="24"/>
      <c r="L10" s="26">
        <v>2.9000000000000001E-2</v>
      </c>
      <c r="M10" s="24"/>
      <c r="N10" s="24"/>
      <c r="O10" s="24"/>
      <c r="P10" s="24"/>
      <c r="Q10" s="24"/>
      <c r="R10" s="24"/>
      <c r="S10" s="24"/>
      <c r="T10" s="24"/>
      <c r="U10" s="24">
        <v>2.63E-2</v>
      </c>
      <c r="V10" s="24"/>
      <c r="W10" s="24"/>
      <c r="X10" s="24"/>
      <c r="Y10" s="24"/>
      <c r="Z10" s="24"/>
      <c r="AA10" s="24"/>
      <c r="AB10" s="24"/>
      <c r="AC10" s="5"/>
      <c r="AD10" s="6"/>
    </row>
    <row r="11" spans="1:30" s="7" customFormat="1">
      <c r="A11" s="27"/>
      <c r="B11" s="28"/>
      <c r="C11" s="29"/>
      <c r="D11" s="30">
        <f>$C10*D10</f>
        <v>0</v>
      </c>
      <c r="E11" s="30">
        <f t="shared" ref="E11:AB11" si="1">$C10*E10</f>
        <v>0</v>
      </c>
      <c r="F11" s="30">
        <f t="shared" si="1"/>
        <v>0</v>
      </c>
      <c r="G11" s="30">
        <f t="shared" si="1"/>
        <v>309814.00286499999</v>
      </c>
      <c r="H11" s="30">
        <f t="shared" si="1"/>
        <v>0</v>
      </c>
      <c r="I11" s="30">
        <f t="shared" si="1"/>
        <v>0</v>
      </c>
      <c r="J11" s="30">
        <f t="shared" si="1"/>
        <v>0</v>
      </c>
      <c r="K11" s="30">
        <f t="shared" si="1"/>
        <v>0</v>
      </c>
      <c r="L11" s="30">
        <f t="shared" si="1"/>
        <v>9510.5388833333327</v>
      </c>
      <c r="M11" s="30">
        <f t="shared" si="1"/>
        <v>0</v>
      </c>
      <c r="N11" s="30">
        <f t="shared" si="1"/>
        <v>0</v>
      </c>
      <c r="O11" s="30">
        <f t="shared" si="1"/>
        <v>0</v>
      </c>
      <c r="P11" s="30">
        <f t="shared" si="1"/>
        <v>0</v>
      </c>
      <c r="Q11" s="30">
        <f t="shared" si="1"/>
        <v>0</v>
      </c>
      <c r="R11" s="30">
        <f t="shared" si="1"/>
        <v>0</v>
      </c>
      <c r="S11" s="30">
        <f t="shared" si="1"/>
        <v>0</v>
      </c>
      <c r="T11" s="30">
        <f t="shared" si="1"/>
        <v>0</v>
      </c>
      <c r="U11" s="30">
        <f t="shared" si="1"/>
        <v>8625.0749183333319</v>
      </c>
      <c r="V11" s="30">
        <f t="shared" si="1"/>
        <v>0</v>
      </c>
      <c r="W11" s="30">
        <f t="shared" si="1"/>
        <v>0</v>
      </c>
      <c r="X11" s="30">
        <f t="shared" si="1"/>
        <v>0</v>
      </c>
      <c r="Y11" s="30">
        <f t="shared" si="1"/>
        <v>0</v>
      </c>
      <c r="Z11" s="30">
        <f t="shared" si="1"/>
        <v>0</v>
      </c>
      <c r="AA11" s="30">
        <f t="shared" si="1"/>
        <v>0</v>
      </c>
      <c r="AB11" s="30">
        <f t="shared" si="1"/>
        <v>0</v>
      </c>
      <c r="AC11" s="5"/>
      <c r="AD11" s="6"/>
    </row>
    <row r="12" spans="1:30" s="7" customFormat="1">
      <c r="A12" s="21" t="s">
        <v>37</v>
      </c>
      <c r="B12" s="22">
        <f>8788713.46+-22980.08</f>
        <v>8765733.3800000008</v>
      </c>
      <c r="C12" s="23">
        <f>B12/12</f>
        <v>730477.78166666673</v>
      </c>
      <c r="D12" s="24"/>
      <c r="E12" s="25"/>
      <c r="F12" s="26">
        <v>7.0300000000000001E-2</v>
      </c>
      <c r="G12" s="26">
        <v>0.88080000000000003</v>
      </c>
      <c r="H12" s="24"/>
      <c r="I12" s="24"/>
      <c r="J12" s="24"/>
      <c r="K12" s="24"/>
      <c r="L12" s="26">
        <v>8.0999999999999996E-3</v>
      </c>
      <c r="M12" s="24"/>
      <c r="N12" s="24"/>
      <c r="O12" s="24"/>
      <c r="P12" s="24"/>
      <c r="Q12" s="24"/>
      <c r="R12" s="24"/>
      <c r="S12" s="24"/>
      <c r="T12" s="24"/>
      <c r="U12" s="24">
        <v>4.0800000000000003E-2</v>
      </c>
      <c r="V12" s="24"/>
      <c r="W12" s="24"/>
      <c r="X12" s="24"/>
      <c r="Y12" s="24"/>
      <c r="Z12" s="24"/>
      <c r="AA12" s="24"/>
      <c r="AB12" s="24"/>
      <c r="AC12" s="5"/>
      <c r="AD12" s="6"/>
    </row>
    <row r="13" spans="1:30" s="7" customFormat="1">
      <c r="A13" s="27"/>
      <c r="B13" s="28"/>
      <c r="C13" s="29"/>
      <c r="D13" s="30">
        <f>$C12*D12</f>
        <v>0</v>
      </c>
      <c r="E13" s="30">
        <f t="shared" ref="E13:AB13" si="2">$C12*E12</f>
        <v>0</v>
      </c>
      <c r="F13" s="30">
        <f t="shared" si="2"/>
        <v>51352.588051166669</v>
      </c>
      <c r="G13" s="30">
        <f t="shared" si="2"/>
        <v>643404.83009200008</v>
      </c>
      <c r="H13" s="30">
        <f t="shared" si="2"/>
        <v>0</v>
      </c>
      <c r="I13" s="30">
        <f t="shared" si="2"/>
        <v>0</v>
      </c>
      <c r="J13" s="30">
        <f t="shared" si="2"/>
        <v>0</v>
      </c>
      <c r="K13" s="30">
        <f t="shared" si="2"/>
        <v>0</v>
      </c>
      <c r="L13" s="30">
        <f t="shared" si="2"/>
        <v>5916.8700315000006</v>
      </c>
      <c r="M13" s="30">
        <f t="shared" si="2"/>
        <v>0</v>
      </c>
      <c r="N13" s="30">
        <f t="shared" si="2"/>
        <v>0</v>
      </c>
      <c r="O13" s="30">
        <f t="shared" si="2"/>
        <v>0</v>
      </c>
      <c r="P13" s="30">
        <f t="shared" si="2"/>
        <v>0</v>
      </c>
      <c r="Q13" s="30">
        <f t="shared" si="2"/>
        <v>0</v>
      </c>
      <c r="R13" s="30">
        <f t="shared" si="2"/>
        <v>0</v>
      </c>
      <c r="S13" s="30">
        <f t="shared" si="2"/>
        <v>0</v>
      </c>
      <c r="T13" s="30">
        <f t="shared" si="2"/>
        <v>0</v>
      </c>
      <c r="U13" s="30">
        <f t="shared" si="2"/>
        <v>29803.493492000005</v>
      </c>
      <c r="V13" s="30">
        <f t="shared" si="2"/>
        <v>0</v>
      </c>
      <c r="W13" s="30">
        <f t="shared" si="2"/>
        <v>0</v>
      </c>
      <c r="X13" s="30">
        <f t="shared" si="2"/>
        <v>0</v>
      </c>
      <c r="Y13" s="30">
        <f t="shared" si="2"/>
        <v>0</v>
      </c>
      <c r="Z13" s="30">
        <f t="shared" si="2"/>
        <v>0</v>
      </c>
      <c r="AA13" s="30">
        <f t="shared" si="2"/>
        <v>0</v>
      </c>
      <c r="AB13" s="30">
        <f t="shared" si="2"/>
        <v>0</v>
      </c>
      <c r="AC13" s="5"/>
      <c r="AD13" s="6"/>
    </row>
    <row r="14" spans="1:30" s="7" customFormat="1">
      <c r="A14" s="21" t="s">
        <v>38</v>
      </c>
      <c r="B14" s="22">
        <f>13223561.97+-54450.83</f>
        <v>13169111.140000001</v>
      </c>
      <c r="C14" s="23">
        <f>B14/12</f>
        <v>1097425.9283333335</v>
      </c>
      <c r="D14" s="24"/>
      <c r="E14" s="25"/>
      <c r="F14" s="26">
        <v>4.24E-2</v>
      </c>
      <c r="G14" s="26">
        <v>0.87760000000000005</v>
      </c>
      <c r="H14" s="24"/>
      <c r="I14" s="24"/>
      <c r="J14" s="24"/>
      <c r="K14" s="24"/>
      <c r="L14" s="26">
        <v>4.2700000000000002E-2</v>
      </c>
      <c r="M14" s="24"/>
      <c r="N14" s="24"/>
      <c r="O14" s="24"/>
      <c r="P14" s="24"/>
      <c r="Q14" s="24"/>
      <c r="R14" s="24"/>
      <c r="S14" s="24"/>
      <c r="T14" s="24"/>
      <c r="U14" s="24">
        <v>3.73E-2</v>
      </c>
      <c r="V14" s="24"/>
      <c r="W14" s="24"/>
      <c r="X14" s="24"/>
      <c r="Y14" s="24"/>
      <c r="Z14" s="24"/>
      <c r="AA14" s="24"/>
      <c r="AB14" s="24"/>
      <c r="AC14" s="5"/>
      <c r="AD14" s="6"/>
    </row>
    <row r="15" spans="1:30" s="7" customFormat="1" ht="13.65" customHeight="1">
      <c r="A15" s="27"/>
      <c r="B15" s="28"/>
      <c r="C15" s="29"/>
      <c r="D15" s="30">
        <f>$C14*D14</f>
        <v>0</v>
      </c>
      <c r="E15" s="30">
        <f t="shared" ref="E15:AB15" si="3">$C14*E14</f>
        <v>0</v>
      </c>
      <c r="F15" s="30">
        <f t="shared" si="3"/>
        <v>46530.859361333336</v>
      </c>
      <c r="G15" s="30">
        <f t="shared" si="3"/>
        <v>963100.99470533349</v>
      </c>
      <c r="H15" s="30">
        <f t="shared" si="3"/>
        <v>0</v>
      </c>
      <c r="I15" s="30">
        <f t="shared" si="3"/>
        <v>0</v>
      </c>
      <c r="J15" s="30">
        <f t="shared" si="3"/>
        <v>0</v>
      </c>
      <c r="K15" s="30">
        <f t="shared" si="3"/>
        <v>0</v>
      </c>
      <c r="L15" s="30">
        <f t="shared" si="3"/>
        <v>46860.08713983334</v>
      </c>
      <c r="M15" s="30">
        <f t="shared" si="3"/>
        <v>0</v>
      </c>
      <c r="N15" s="30">
        <f t="shared" si="3"/>
        <v>0</v>
      </c>
      <c r="O15" s="30">
        <f t="shared" si="3"/>
        <v>0</v>
      </c>
      <c r="P15" s="30">
        <f t="shared" si="3"/>
        <v>0</v>
      </c>
      <c r="Q15" s="30">
        <f t="shared" si="3"/>
        <v>0</v>
      </c>
      <c r="R15" s="30">
        <f t="shared" si="3"/>
        <v>0</v>
      </c>
      <c r="S15" s="30">
        <f t="shared" si="3"/>
        <v>0</v>
      </c>
      <c r="T15" s="30">
        <f t="shared" si="3"/>
        <v>0</v>
      </c>
      <c r="U15" s="30">
        <f t="shared" si="3"/>
        <v>40933.987126833337</v>
      </c>
      <c r="V15" s="30">
        <f t="shared" si="3"/>
        <v>0</v>
      </c>
      <c r="W15" s="30">
        <f t="shared" si="3"/>
        <v>0</v>
      </c>
      <c r="X15" s="30">
        <f t="shared" si="3"/>
        <v>0</v>
      </c>
      <c r="Y15" s="30">
        <f t="shared" si="3"/>
        <v>0</v>
      </c>
      <c r="Z15" s="30">
        <f t="shared" si="3"/>
        <v>0</v>
      </c>
      <c r="AA15" s="30">
        <f t="shared" si="3"/>
        <v>0</v>
      </c>
      <c r="AB15" s="30">
        <f t="shared" si="3"/>
        <v>0</v>
      </c>
      <c r="AC15" s="5"/>
      <c r="AD15" s="6"/>
    </row>
    <row r="16" spans="1:30" s="7" customFormat="1">
      <c r="A16" s="21" t="s">
        <v>39</v>
      </c>
      <c r="B16" s="22">
        <f>808743.41+-2182.14</f>
        <v>806561.27</v>
      </c>
      <c r="C16" s="23">
        <f>B16/12</f>
        <v>67213.439166666663</v>
      </c>
      <c r="D16" s="24"/>
      <c r="E16" s="25">
        <v>5.3800000000000001E-2</v>
      </c>
      <c r="F16" s="26">
        <v>4.2700000000000002E-2</v>
      </c>
      <c r="G16" s="26">
        <v>0.66479999999999995</v>
      </c>
      <c r="H16" s="24"/>
      <c r="I16" s="24"/>
      <c r="J16" s="24">
        <v>2.7099999999999999E-2</v>
      </c>
      <c r="K16" s="24"/>
      <c r="L16" s="26">
        <v>4.8500000000000001E-2</v>
      </c>
      <c r="M16" s="24"/>
      <c r="N16" s="24">
        <v>5.3100000000000001E-2</v>
      </c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>
        <v>0.11</v>
      </c>
      <c r="AC16" s="5"/>
      <c r="AD16" s="6"/>
    </row>
    <row r="17" spans="1:30" s="7" customFormat="1">
      <c r="A17" s="27"/>
      <c r="B17" s="28"/>
      <c r="C17" s="29"/>
      <c r="D17" s="30">
        <f>$C16*D16</f>
        <v>0</v>
      </c>
      <c r="E17" s="30">
        <f t="shared" ref="E17:AB17" si="4">$C16*E16</f>
        <v>3616.0830271666664</v>
      </c>
      <c r="F17" s="30">
        <f t="shared" si="4"/>
        <v>2870.0138524166669</v>
      </c>
      <c r="G17" s="30">
        <f t="shared" si="4"/>
        <v>44683.494357999996</v>
      </c>
      <c r="H17" s="30">
        <f t="shared" si="4"/>
        <v>0</v>
      </c>
      <c r="I17" s="30">
        <f t="shared" si="4"/>
        <v>0</v>
      </c>
      <c r="J17" s="30">
        <f t="shared" si="4"/>
        <v>1821.4842014166666</v>
      </c>
      <c r="K17" s="30">
        <f t="shared" si="4"/>
        <v>0</v>
      </c>
      <c r="L17" s="30">
        <f t="shared" si="4"/>
        <v>3259.8517995833331</v>
      </c>
      <c r="M17" s="30">
        <f t="shared" si="4"/>
        <v>0</v>
      </c>
      <c r="N17" s="30">
        <f t="shared" si="4"/>
        <v>3569.0336197500001</v>
      </c>
      <c r="O17" s="30">
        <f t="shared" si="4"/>
        <v>0</v>
      </c>
      <c r="P17" s="30">
        <f t="shared" si="4"/>
        <v>0</v>
      </c>
      <c r="Q17" s="30">
        <f t="shared" si="4"/>
        <v>0</v>
      </c>
      <c r="R17" s="30">
        <f t="shared" si="4"/>
        <v>0</v>
      </c>
      <c r="S17" s="30">
        <f t="shared" si="4"/>
        <v>0</v>
      </c>
      <c r="T17" s="30">
        <f t="shared" si="4"/>
        <v>0</v>
      </c>
      <c r="U17" s="30">
        <f t="shared" si="4"/>
        <v>0</v>
      </c>
      <c r="V17" s="30">
        <f t="shared" si="4"/>
        <v>0</v>
      </c>
      <c r="W17" s="30">
        <f t="shared" si="4"/>
        <v>0</v>
      </c>
      <c r="X17" s="30">
        <f t="shared" si="4"/>
        <v>0</v>
      </c>
      <c r="Y17" s="30">
        <f t="shared" si="4"/>
        <v>0</v>
      </c>
      <c r="Z17" s="30">
        <f t="shared" si="4"/>
        <v>0</v>
      </c>
      <c r="AA17" s="30">
        <f t="shared" si="4"/>
        <v>0</v>
      </c>
      <c r="AB17" s="30">
        <f t="shared" si="4"/>
        <v>7393.4783083333332</v>
      </c>
      <c r="AC17" s="31"/>
      <c r="AD17" s="6"/>
    </row>
    <row r="18" spans="1:30" s="7" customFormat="1">
      <c r="A18" s="21" t="s">
        <v>40</v>
      </c>
      <c r="B18" s="22">
        <f>-94105.79+-6270.6</f>
        <v>-100376.39</v>
      </c>
      <c r="C18" s="23">
        <f>B18/12</f>
        <v>-8364.6991666666672</v>
      </c>
      <c r="D18" s="24"/>
      <c r="E18" s="25"/>
      <c r="F18" s="26">
        <v>1</v>
      </c>
      <c r="G18" s="26"/>
      <c r="H18" s="24"/>
      <c r="I18" s="24"/>
      <c r="J18" s="24"/>
      <c r="K18" s="24"/>
      <c r="L18" s="26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5"/>
      <c r="AD18" s="6"/>
    </row>
    <row r="19" spans="1:30" s="7" customFormat="1">
      <c r="A19" s="27"/>
      <c r="B19" s="28"/>
      <c r="C19" s="29"/>
      <c r="D19" s="30">
        <f>$C18*D18</f>
        <v>0</v>
      </c>
      <c r="E19" s="30">
        <f t="shared" ref="E19:AB19" si="5">$C18*E18</f>
        <v>0</v>
      </c>
      <c r="F19" s="30">
        <f t="shared" si="5"/>
        <v>-8364.6991666666672</v>
      </c>
      <c r="G19" s="30">
        <f t="shared" si="5"/>
        <v>0</v>
      </c>
      <c r="H19" s="30">
        <f t="shared" si="5"/>
        <v>0</v>
      </c>
      <c r="I19" s="30">
        <f t="shared" si="5"/>
        <v>0</v>
      </c>
      <c r="J19" s="30">
        <f t="shared" si="5"/>
        <v>0</v>
      </c>
      <c r="K19" s="30">
        <f t="shared" si="5"/>
        <v>0</v>
      </c>
      <c r="L19" s="30">
        <f t="shared" si="5"/>
        <v>0</v>
      </c>
      <c r="M19" s="30">
        <f t="shared" si="5"/>
        <v>0</v>
      </c>
      <c r="N19" s="30">
        <f t="shared" si="5"/>
        <v>0</v>
      </c>
      <c r="O19" s="30">
        <f t="shared" si="5"/>
        <v>0</v>
      </c>
      <c r="P19" s="30">
        <f t="shared" si="5"/>
        <v>0</v>
      </c>
      <c r="Q19" s="30">
        <f t="shared" si="5"/>
        <v>0</v>
      </c>
      <c r="R19" s="30">
        <f t="shared" si="5"/>
        <v>0</v>
      </c>
      <c r="S19" s="30">
        <f t="shared" si="5"/>
        <v>0</v>
      </c>
      <c r="T19" s="30">
        <f t="shared" si="5"/>
        <v>0</v>
      </c>
      <c r="U19" s="30">
        <f t="shared" si="5"/>
        <v>0</v>
      </c>
      <c r="V19" s="30">
        <f t="shared" si="5"/>
        <v>0</v>
      </c>
      <c r="W19" s="30">
        <f t="shared" si="5"/>
        <v>0</v>
      </c>
      <c r="X19" s="30">
        <f t="shared" si="5"/>
        <v>0</v>
      </c>
      <c r="Y19" s="30">
        <f t="shared" si="5"/>
        <v>0</v>
      </c>
      <c r="Z19" s="30">
        <f t="shared" si="5"/>
        <v>0</v>
      </c>
      <c r="AA19" s="30">
        <f t="shared" si="5"/>
        <v>0</v>
      </c>
      <c r="AB19" s="30">
        <f t="shared" si="5"/>
        <v>0</v>
      </c>
      <c r="AC19" s="5"/>
      <c r="AD19" s="6"/>
    </row>
    <row r="20" spans="1:30" s="7" customFormat="1">
      <c r="A20" s="21" t="s">
        <v>41</v>
      </c>
      <c r="B20" s="22">
        <f>126287.25+-1762.34</f>
        <v>124524.91</v>
      </c>
      <c r="C20" s="23">
        <f>B20/12</f>
        <v>10377.075833333334</v>
      </c>
      <c r="D20" s="24"/>
      <c r="E20" s="25"/>
      <c r="F20" s="26">
        <v>1</v>
      </c>
      <c r="G20" s="26"/>
      <c r="H20" s="24"/>
      <c r="I20" s="24"/>
      <c r="J20" s="24"/>
      <c r="K20" s="24"/>
      <c r="L20" s="26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5"/>
      <c r="AD20" s="6"/>
    </row>
    <row r="21" spans="1:30" s="7" customFormat="1">
      <c r="A21" s="27"/>
      <c r="B21" s="28"/>
      <c r="C21" s="29"/>
      <c r="D21" s="30">
        <f>$C20*D20</f>
        <v>0</v>
      </c>
      <c r="E21" s="30">
        <f t="shared" ref="E21:AB21" si="6">$C20*E20</f>
        <v>0</v>
      </c>
      <c r="F21" s="30">
        <f t="shared" si="6"/>
        <v>10377.075833333334</v>
      </c>
      <c r="G21" s="30">
        <f t="shared" si="6"/>
        <v>0</v>
      </c>
      <c r="H21" s="30">
        <f t="shared" si="6"/>
        <v>0</v>
      </c>
      <c r="I21" s="30">
        <f t="shared" si="6"/>
        <v>0</v>
      </c>
      <c r="J21" s="30">
        <f t="shared" si="6"/>
        <v>0</v>
      </c>
      <c r="K21" s="30">
        <f t="shared" si="6"/>
        <v>0</v>
      </c>
      <c r="L21" s="30">
        <f t="shared" si="6"/>
        <v>0</v>
      </c>
      <c r="M21" s="30">
        <f t="shared" si="6"/>
        <v>0</v>
      </c>
      <c r="N21" s="30">
        <f t="shared" si="6"/>
        <v>0</v>
      </c>
      <c r="O21" s="30">
        <f t="shared" si="6"/>
        <v>0</v>
      </c>
      <c r="P21" s="30">
        <f t="shared" si="6"/>
        <v>0</v>
      </c>
      <c r="Q21" s="30">
        <f t="shared" si="6"/>
        <v>0</v>
      </c>
      <c r="R21" s="30">
        <f t="shared" si="6"/>
        <v>0</v>
      </c>
      <c r="S21" s="30">
        <f t="shared" si="6"/>
        <v>0</v>
      </c>
      <c r="T21" s="30">
        <f t="shared" si="6"/>
        <v>0</v>
      </c>
      <c r="U21" s="30">
        <f t="shared" si="6"/>
        <v>0</v>
      </c>
      <c r="V21" s="30">
        <f t="shared" si="6"/>
        <v>0</v>
      </c>
      <c r="W21" s="30">
        <f t="shared" si="6"/>
        <v>0</v>
      </c>
      <c r="X21" s="30">
        <f t="shared" si="6"/>
        <v>0</v>
      </c>
      <c r="Y21" s="30">
        <f t="shared" si="6"/>
        <v>0</v>
      </c>
      <c r="Z21" s="30">
        <f t="shared" si="6"/>
        <v>0</v>
      </c>
      <c r="AA21" s="30">
        <f t="shared" si="6"/>
        <v>0</v>
      </c>
      <c r="AB21" s="30">
        <f t="shared" si="6"/>
        <v>0</v>
      </c>
      <c r="AC21" s="5"/>
      <c r="AD21" s="6"/>
    </row>
    <row r="22" spans="1:30" s="7" customFormat="1">
      <c r="A22" s="21" t="s">
        <v>42</v>
      </c>
      <c r="B22" s="22">
        <f>250174.01+-3974.82</f>
        <v>246199.19</v>
      </c>
      <c r="C22" s="23">
        <f>B22/12</f>
        <v>20516.599166666667</v>
      </c>
      <c r="D22" s="24"/>
      <c r="E22" s="25"/>
      <c r="F22" s="26">
        <v>1</v>
      </c>
      <c r="G22" s="26"/>
      <c r="H22" s="24"/>
      <c r="I22" s="24"/>
      <c r="J22" s="24"/>
      <c r="K22" s="24"/>
      <c r="L22" s="26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5"/>
      <c r="AD22" s="6"/>
    </row>
    <row r="23" spans="1:30" s="7" customFormat="1">
      <c r="A23" s="27"/>
      <c r="B23" s="28"/>
      <c r="C23" s="29"/>
      <c r="D23" s="30">
        <f>$C22*D22</f>
        <v>0</v>
      </c>
      <c r="E23" s="30">
        <f t="shared" ref="E23:AB23" si="7">$C22*E22</f>
        <v>0</v>
      </c>
      <c r="F23" s="30">
        <f t="shared" si="7"/>
        <v>20516.599166666667</v>
      </c>
      <c r="G23" s="30">
        <f t="shared" si="7"/>
        <v>0</v>
      </c>
      <c r="H23" s="30">
        <f t="shared" si="7"/>
        <v>0</v>
      </c>
      <c r="I23" s="30">
        <f t="shared" si="7"/>
        <v>0</v>
      </c>
      <c r="J23" s="30">
        <f t="shared" si="7"/>
        <v>0</v>
      </c>
      <c r="K23" s="30">
        <f t="shared" si="7"/>
        <v>0</v>
      </c>
      <c r="L23" s="30">
        <f t="shared" si="7"/>
        <v>0</v>
      </c>
      <c r="M23" s="30">
        <f t="shared" si="7"/>
        <v>0</v>
      </c>
      <c r="N23" s="30">
        <f t="shared" si="7"/>
        <v>0</v>
      </c>
      <c r="O23" s="30">
        <f t="shared" si="7"/>
        <v>0</v>
      </c>
      <c r="P23" s="30">
        <f t="shared" si="7"/>
        <v>0</v>
      </c>
      <c r="Q23" s="30">
        <f t="shared" si="7"/>
        <v>0</v>
      </c>
      <c r="R23" s="30">
        <f t="shared" si="7"/>
        <v>0</v>
      </c>
      <c r="S23" s="30">
        <f t="shared" si="7"/>
        <v>0</v>
      </c>
      <c r="T23" s="30">
        <f t="shared" si="7"/>
        <v>0</v>
      </c>
      <c r="U23" s="30">
        <f t="shared" si="7"/>
        <v>0</v>
      </c>
      <c r="V23" s="30">
        <f t="shared" si="7"/>
        <v>0</v>
      </c>
      <c r="W23" s="30">
        <f t="shared" si="7"/>
        <v>0</v>
      </c>
      <c r="X23" s="30">
        <f t="shared" si="7"/>
        <v>0</v>
      </c>
      <c r="Y23" s="30">
        <f t="shared" si="7"/>
        <v>0</v>
      </c>
      <c r="Z23" s="30">
        <f t="shared" si="7"/>
        <v>0</v>
      </c>
      <c r="AA23" s="30">
        <f t="shared" si="7"/>
        <v>0</v>
      </c>
      <c r="AB23" s="30">
        <f t="shared" si="7"/>
        <v>0</v>
      </c>
      <c r="AC23" s="5"/>
      <c r="AD23" s="6"/>
    </row>
    <row r="24" spans="1:30" s="7" customFormat="1">
      <c r="A24" s="32" t="s">
        <v>43</v>
      </c>
      <c r="B24" s="33">
        <f>SUM(B8:B23)</f>
        <v>29235328.010000002</v>
      </c>
      <c r="C24" s="34">
        <f>SUM(C8:C23)</f>
        <v>2436277.3341666665</v>
      </c>
      <c r="D24" s="34">
        <f>D9+D11+D13+D15+D17+D19+D21+D23</f>
        <v>0</v>
      </c>
      <c r="E24" s="34">
        <f>E9+E11+E13+E15+E17+E19+E21+E23</f>
        <v>3616.0830271666664</v>
      </c>
      <c r="F24" s="34">
        <f>F9+F11+F13+F15+F17+F19+F21+F23</f>
        <v>124350.25401625001</v>
      </c>
      <c r="G24" s="34">
        <f t="shared" ref="G24:AB24" si="8">G9+G11+G13+G15+G17+G19+G21+G23</f>
        <v>2147032.2836633334</v>
      </c>
      <c r="H24" s="34">
        <f t="shared" si="8"/>
        <v>0</v>
      </c>
      <c r="I24" s="34">
        <f t="shared" si="8"/>
        <v>0</v>
      </c>
      <c r="J24" s="34">
        <f t="shared" si="8"/>
        <v>1821.4842014166666</v>
      </c>
      <c r="K24" s="34">
        <f t="shared" si="8"/>
        <v>0</v>
      </c>
      <c r="L24" s="34">
        <f t="shared" si="8"/>
        <v>66977.459798000011</v>
      </c>
      <c r="M24" s="34">
        <f t="shared" si="8"/>
        <v>0</v>
      </c>
      <c r="N24" s="34">
        <f t="shared" si="8"/>
        <v>3569.0336197500001</v>
      </c>
      <c r="O24" s="34">
        <f t="shared" si="8"/>
        <v>0</v>
      </c>
      <c r="P24" s="34">
        <f t="shared" si="8"/>
        <v>0</v>
      </c>
      <c r="Q24" s="34">
        <f t="shared" si="8"/>
        <v>0</v>
      </c>
      <c r="R24" s="34">
        <f t="shared" si="8"/>
        <v>0</v>
      </c>
      <c r="S24" s="34">
        <f t="shared" si="8"/>
        <v>0</v>
      </c>
      <c r="T24" s="34">
        <f t="shared" si="8"/>
        <v>0</v>
      </c>
      <c r="U24" s="34">
        <f t="shared" si="8"/>
        <v>81517.257532416668</v>
      </c>
      <c r="V24" s="34">
        <f t="shared" si="8"/>
        <v>0</v>
      </c>
      <c r="W24" s="34">
        <f t="shared" si="8"/>
        <v>0</v>
      </c>
      <c r="X24" s="34">
        <f t="shared" si="8"/>
        <v>0</v>
      </c>
      <c r="Y24" s="34">
        <f t="shared" si="8"/>
        <v>0</v>
      </c>
      <c r="Z24" s="34">
        <f t="shared" si="8"/>
        <v>0</v>
      </c>
      <c r="AA24" s="34">
        <f t="shared" si="8"/>
        <v>0</v>
      </c>
      <c r="AB24" s="34">
        <f t="shared" si="8"/>
        <v>7393.4783083333332</v>
      </c>
      <c r="AC24" s="5"/>
      <c r="AD24" s="6"/>
    </row>
    <row r="26" spans="1:30" s="7" customFormat="1">
      <c r="A26" s="35"/>
      <c r="B26" s="36"/>
      <c r="C26" s="37"/>
      <c r="D26" s="38"/>
      <c r="E26" s="39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5"/>
      <c r="AD26" s="6"/>
    </row>
    <row r="27" spans="1:30" s="7" customFormat="1" ht="13.8" thickBot="1">
      <c r="A27" s="1" t="s">
        <v>0</v>
      </c>
      <c r="B27" s="2"/>
      <c r="C27" s="3"/>
      <c r="D27" s="2"/>
      <c r="E27" s="2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5"/>
      <c r="AD27" s="6"/>
    </row>
    <row r="28" spans="1:30" s="7" customFormat="1" ht="13.8" thickBot="1">
      <c r="A28" s="8" t="s">
        <v>1</v>
      </c>
      <c r="B28" s="9" t="s">
        <v>2</v>
      </c>
      <c r="C28" s="10" t="s">
        <v>3</v>
      </c>
      <c r="D28" s="48" t="s">
        <v>4</v>
      </c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11"/>
      <c r="AA28" s="11"/>
      <c r="AB28" s="11"/>
      <c r="AC28" s="5"/>
      <c r="AD28" s="6"/>
    </row>
    <row r="29" spans="1:30" s="7" customFormat="1">
      <c r="A29" s="12" t="s">
        <v>5</v>
      </c>
      <c r="B29" s="13" t="s">
        <v>6</v>
      </c>
      <c r="C29" s="14" t="s">
        <v>6</v>
      </c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13" t="s">
        <v>7</v>
      </c>
      <c r="AA29" s="13"/>
      <c r="AB29" s="15"/>
      <c r="AC29" s="5"/>
      <c r="AD29" s="6"/>
    </row>
    <row r="30" spans="1:30" s="7" customFormat="1">
      <c r="A30" s="12" t="s">
        <v>8</v>
      </c>
      <c r="B30" s="13" t="s">
        <v>48</v>
      </c>
      <c r="C30" s="14" t="s">
        <v>9</v>
      </c>
      <c r="D30" s="16" t="s">
        <v>10</v>
      </c>
      <c r="E30" s="13" t="s">
        <v>11</v>
      </c>
      <c r="F30" s="13" t="s">
        <v>12</v>
      </c>
      <c r="G30" s="13" t="s">
        <v>13</v>
      </c>
      <c r="H30" s="13" t="s">
        <v>14</v>
      </c>
      <c r="I30" s="13" t="s">
        <v>15</v>
      </c>
      <c r="J30" s="13" t="s">
        <v>16</v>
      </c>
      <c r="K30" s="13" t="s">
        <v>17</v>
      </c>
      <c r="L30" s="13" t="s">
        <v>18</v>
      </c>
      <c r="M30" s="13" t="s">
        <v>19</v>
      </c>
      <c r="N30" s="13" t="s">
        <v>20</v>
      </c>
      <c r="O30" s="13" t="s">
        <v>21</v>
      </c>
      <c r="P30" s="13" t="s">
        <v>22</v>
      </c>
      <c r="Q30" s="13" t="s">
        <v>23</v>
      </c>
      <c r="R30" s="13" t="s">
        <v>24</v>
      </c>
      <c r="S30" s="13" t="s">
        <v>25</v>
      </c>
      <c r="T30" s="13" t="s">
        <v>26</v>
      </c>
      <c r="U30" s="13" t="s">
        <v>27</v>
      </c>
      <c r="V30" s="13" t="s">
        <v>28</v>
      </c>
      <c r="W30" s="13" t="s">
        <v>29</v>
      </c>
      <c r="X30" s="13" t="s">
        <v>30</v>
      </c>
      <c r="Y30" s="13" t="s">
        <v>31</v>
      </c>
      <c r="Z30" s="13" t="s">
        <v>32</v>
      </c>
      <c r="AA30" s="13" t="s">
        <v>33</v>
      </c>
      <c r="AB30" s="15" t="s">
        <v>34</v>
      </c>
      <c r="AC30" s="5"/>
      <c r="AD30" s="6"/>
    </row>
    <row r="31" spans="1:30" s="7" customFormat="1">
      <c r="A31" s="12"/>
      <c r="B31" s="13"/>
      <c r="C31" s="17" t="s">
        <v>46</v>
      </c>
      <c r="D31" s="18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20"/>
      <c r="AC31" s="5"/>
      <c r="AD31" s="6"/>
    </row>
    <row r="32" spans="1:30" s="7" customFormat="1">
      <c r="A32" s="21" t="s">
        <v>35</v>
      </c>
      <c r="B32" s="22">
        <f>2295319.18+-31783</f>
        <v>2263536.1800000002</v>
      </c>
      <c r="C32" s="23">
        <f>B32/12</f>
        <v>188628.01500000001</v>
      </c>
      <c r="D32" s="24"/>
      <c r="E32" s="25"/>
      <c r="F32" s="26">
        <v>5.5999999999999999E-3</v>
      </c>
      <c r="G32" s="26">
        <v>0.97560000000000002</v>
      </c>
      <c r="H32" s="24"/>
      <c r="I32" s="24"/>
      <c r="J32" s="24"/>
      <c r="K32" s="24"/>
      <c r="L32" s="26">
        <v>7.4999999999999997E-3</v>
      </c>
      <c r="M32" s="24"/>
      <c r="N32" s="24"/>
      <c r="O32" s="24"/>
      <c r="P32" s="24"/>
      <c r="Q32" s="24"/>
      <c r="R32" s="24"/>
      <c r="S32" s="24"/>
      <c r="T32" s="24"/>
      <c r="U32" s="24">
        <v>1.1299999999999999E-2</v>
      </c>
      <c r="V32" s="24"/>
      <c r="W32" s="24"/>
      <c r="X32" s="24"/>
      <c r="Y32" s="24"/>
      <c r="Z32" s="24"/>
      <c r="AA32" s="24"/>
      <c r="AB32" s="24"/>
      <c r="AC32" s="5"/>
      <c r="AD32" s="6"/>
    </row>
    <row r="33" spans="1:30" s="7" customFormat="1">
      <c r="A33" s="27"/>
      <c r="B33" s="28"/>
      <c r="C33" s="29"/>
      <c r="D33" s="30">
        <f>$C32*D32</f>
        <v>0</v>
      </c>
      <c r="E33" s="30">
        <f t="shared" ref="E33:AB33" si="9">$C32*E32</f>
        <v>0</v>
      </c>
      <c r="F33" s="30">
        <f t="shared" si="9"/>
        <v>1056.3168840000001</v>
      </c>
      <c r="G33" s="30">
        <f t="shared" si="9"/>
        <v>184025.49143400003</v>
      </c>
      <c r="H33" s="30">
        <f t="shared" si="9"/>
        <v>0</v>
      </c>
      <c r="I33" s="30">
        <f t="shared" si="9"/>
        <v>0</v>
      </c>
      <c r="J33" s="30">
        <f t="shared" si="9"/>
        <v>0</v>
      </c>
      <c r="K33" s="30">
        <f t="shared" si="9"/>
        <v>0</v>
      </c>
      <c r="L33" s="30">
        <f t="shared" si="9"/>
        <v>1414.7101125000002</v>
      </c>
      <c r="M33" s="30">
        <f t="shared" si="9"/>
        <v>0</v>
      </c>
      <c r="N33" s="30">
        <f t="shared" si="9"/>
        <v>0</v>
      </c>
      <c r="O33" s="30">
        <f t="shared" si="9"/>
        <v>0</v>
      </c>
      <c r="P33" s="30">
        <f t="shared" si="9"/>
        <v>0</v>
      </c>
      <c r="Q33" s="30">
        <f t="shared" si="9"/>
        <v>0</v>
      </c>
      <c r="R33" s="30">
        <f t="shared" si="9"/>
        <v>0</v>
      </c>
      <c r="S33" s="30">
        <f t="shared" si="9"/>
        <v>0</v>
      </c>
      <c r="T33" s="30">
        <f t="shared" si="9"/>
        <v>0</v>
      </c>
      <c r="U33" s="30">
        <f t="shared" si="9"/>
        <v>2131.4965695000001</v>
      </c>
      <c r="V33" s="30">
        <f t="shared" si="9"/>
        <v>0</v>
      </c>
      <c r="W33" s="30">
        <f t="shared" si="9"/>
        <v>0</v>
      </c>
      <c r="X33" s="30">
        <f t="shared" si="9"/>
        <v>0</v>
      </c>
      <c r="Y33" s="30">
        <f t="shared" si="9"/>
        <v>0</v>
      </c>
      <c r="Z33" s="30">
        <f t="shared" si="9"/>
        <v>0</v>
      </c>
      <c r="AA33" s="30">
        <f t="shared" si="9"/>
        <v>0</v>
      </c>
      <c r="AB33" s="30">
        <f t="shared" si="9"/>
        <v>0</v>
      </c>
      <c r="AC33" s="5"/>
      <c r="AD33" s="6"/>
    </row>
    <row r="34" spans="1:30" s="7" customFormat="1">
      <c r="A34" s="21" t="s">
        <v>36</v>
      </c>
      <c r="B34" s="22">
        <f>3946057+-47458</f>
        <v>3898599</v>
      </c>
      <c r="C34" s="23">
        <f>B34/12</f>
        <v>324883.25</v>
      </c>
      <c r="D34" s="24"/>
      <c r="E34" s="25"/>
      <c r="F34" s="26"/>
      <c r="G34" s="26">
        <v>0.94469999999999998</v>
      </c>
      <c r="H34" s="24"/>
      <c r="I34" s="24"/>
      <c r="J34" s="24"/>
      <c r="K34" s="24"/>
      <c r="L34" s="26">
        <v>2.9000000000000001E-2</v>
      </c>
      <c r="M34" s="24"/>
      <c r="N34" s="24"/>
      <c r="O34" s="24"/>
      <c r="P34" s="24"/>
      <c r="Q34" s="24"/>
      <c r="R34" s="24"/>
      <c r="S34" s="24"/>
      <c r="T34" s="24"/>
      <c r="U34" s="24">
        <v>2.63E-2</v>
      </c>
      <c r="V34" s="24"/>
      <c r="W34" s="24"/>
      <c r="X34" s="24"/>
      <c r="Y34" s="24"/>
      <c r="Z34" s="24"/>
      <c r="AA34" s="24"/>
      <c r="AB34" s="24"/>
      <c r="AC34" s="5"/>
      <c r="AD34" s="6"/>
    </row>
    <row r="35" spans="1:30" s="7" customFormat="1">
      <c r="A35" s="27"/>
      <c r="B35" s="28"/>
      <c r="C35" s="29"/>
      <c r="D35" s="30">
        <f>$C34*D34</f>
        <v>0</v>
      </c>
      <c r="E35" s="30">
        <f t="shared" ref="E35:AB35" si="10">$C34*E34</f>
        <v>0</v>
      </c>
      <c r="F35" s="30">
        <f t="shared" si="10"/>
        <v>0</v>
      </c>
      <c r="G35" s="30">
        <f t="shared" si="10"/>
        <v>306917.206275</v>
      </c>
      <c r="H35" s="30">
        <f t="shared" si="10"/>
        <v>0</v>
      </c>
      <c r="I35" s="30">
        <f t="shared" si="10"/>
        <v>0</v>
      </c>
      <c r="J35" s="30">
        <f t="shared" si="10"/>
        <v>0</v>
      </c>
      <c r="K35" s="30">
        <f t="shared" si="10"/>
        <v>0</v>
      </c>
      <c r="L35" s="30">
        <f t="shared" si="10"/>
        <v>9421.6142500000005</v>
      </c>
      <c r="M35" s="30">
        <f t="shared" si="10"/>
        <v>0</v>
      </c>
      <c r="N35" s="30">
        <f t="shared" si="10"/>
        <v>0</v>
      </c>
      <c r="O35" s="30">
        <f t="shared" si="10"/>
        <v>0</v>
      </c>
      <c r="P35" s="30">
        <f t="shared" si="10"/>
        <v>0</v>
      </c>
      <c r="Q35" s="30">
        <f t="shared" si="10"/>
        <v>0</v>
      </c>
      <c r="R35" s="30">
        <f t="shared" si="10"/>
        <v>0</v>
      </c>
      <c r="S35" s="30">
        <f t="shared" si="10"/>
        <v>0</v>
      </c>
      <c r="T35" s="30">
        <f t="shared" si="10"/>
        <v>0</v>
      </c>
      <c r="U35" s="30">
        <f t="shared" si="10"/>
        <v>8544.4294750000008</v>
      </c>
      <c r="V35" s="30">
        <f t="shared" si="10"/>
        <v>0</v>
      </c>
      <c r="W35" s="30">
        <f t="shared" si="10"/>
        <v>0</v>
      </c>
      <c r="X35" s="30">
        <f t="shared" si="10"/>
        <v>0</v>
      </c>
      <c r="Y35" s="30">
        <f t="shared" si="10"/>
        <v>0</v>
      </c>
      <c r="Z35" s="30">
        <f t="shared" si="10"/>
        <v>0</v>
      </c>
      <c r="AA35" s="30">
        <f t="shared" si="10"/>
        <v>0</v>
      </c>
      <c r="AB35" s="30">
        <f t="shared" si="10"/>
        <v>0</v>
      </c>
      <c r="AC35" s="5"/>
      <c r="AD35" s="6"/>
    </row>
    <row r="36" spans="1:30" s="7" customFormat="1">
      <c r="A36" s="21" t="s">
        <v>37</v>
      </c>
      <c r="B36" s="22">
        <f>8788713.46+-102291</f>
        <v>8686422.4600000009</v>
      </c>
      <c r="C36" s="23">
        <f>B36/12</f>
        <v>723868.53833333345</v>
      </c>
      <c r="D36" s="24"/>
      <c r="E36" s="25"/>
      <c r="F36" s="26">
        <v>7.0300000000000001E-2</v>
      </c>
      <c r="G36" s="26">
        <v>0.88080000000000003</v>
      </c>
      <c r="H36" s="24"/>
      <c r="I36" s="24"/>
      <c r="J36" s="24"/>
      <c r="K36" s="24"/>
      <c r="L36" s="26">
        <v>8.0999999999999996E-3</v>
      </c>
      <c r="M36" s="24"/>
      <c r="N36" s="24"/>
      <c r="O36" s="24"/>
      <c r="P36" s="24"/>
      <c r="Q36" s="24"/>
      <c r="R36" s="24"/>
      <c r="S36" s="24"/>
      <c r="T36" s="24"/>
      <c r="U36" s="24">
        <v>4.0800000000000003E-2</v>
      </c>
      <c r="V36" s="24"/>
      <c r="W36" s="24"/>
      <c r="X36" s="24"/>
      <c r="Y36" s="24"/>
      <c r="Z36" s="24"/>
      <c r="AA36" s="24"/>
      <c r="AB36" s="24"/>
      <c r="AC36" s="5"/>
      <c r="AD36" s="6"/>
    </row>
    <row r="37" spans="1:30" s="7" customFormat="1">
      <c r="A37" s="27"/>
      <c r="B37" s="28"/>
      <c r="C37" s="29"/>
      <c r="D37" s="30">
        <f>$C36*D36</f>
        <v>0</v>
      </c>
      <c r="E37" s="30">
        <f t="shared" ref="E37:AB37" si="11">$C36*E36</f>
        <v>0</v>
      </c>
      <c r="F37" s="30">
        <f t="shared" si="11"/>
        <v>50887.958244833346</v>
      </c>
      <c r="G37" s="30">
        <f t="shared" si="11"/>
        <v>637583.40856400016</v>
      </c>
      <c r="H37" s="30">
        <f t="shared" si="11"/>
        <v>0</v>
      </c>
      <c r="I37" s="30">
        <f t="shared" si="11"/>
        <v>0</v>
      </c>
      <c r="J37" s="30">
        <f t="shared" si="11"/>
        <v>0</v>
      </c>
      <c r="K37" s="30">
        <f t="shared" si="11"/>
        <v>0</v>
      </c>
      <c r="L37" s="30">
        <f t="shared" si="11"/>
        <v>5863.3351605000007</v>
      </c>
      <c r="M37" s="30">
        <f t="shared" si="11"/>
        <v>0</v>
      </c>
      <c r="N37" s="30">
        <f t="shared" si="11"/>
        <v>0</v>
      </c>
      <c r="O37" s="30">
        <f t="shared" si="11"/>
        <v>0</v>
      </c>
      <c r="P37" s="30">
        <f t="shared" si="11"/>
        <v>0</v>
      </c>
      <c r="Q37" s="30">
        <f t="shared" si="11"/>
        <v>0</v>
      </c>
      <c r="R37" s="30">
        <f t="shared" si="11"/>
        <v>0</v>
      </c>
      <c r="S37" s="30">
        <f t="shared" si="11"/>
        <v>0</v>
      </c>
      <c r="T37" s="30">
        <f t="shared" si="11"/>
        <v>0</v>
      </c>
      <c r="U37" s="30">
        <f t="shared" si="11"/>
        <v>29533.836364000006</v>
      </c>
      <c r="V37" s="30">
        <f t="shared" si="11"/>
        <v>0</v>
      </c>
      <c r="W37" s="30">
        <f t="shared" si="11"/>
        <v>0</v>
      </c>
      <c r="X37" s="30">
        <f t="shared" si="11"/>
        <v>0</v>
      </c>
      <c r="Y37" s="30">
        <f t="shared" si="11"/>
        <v>0</v>
      </c>
      <c r="Z37" s="30">
        <f t="shared" si="11"/>
        <v>0</v>
      </c>
      <c r="AA37" s="30">
        <f t="shared" si="11"/>
        <v>0</v>
      </c>
      <c r="AB37" s="30">
        <f t="shared" si="11"/>
        <v>0</v>
      </c>
      <c r="AC37" s="5"/>
      <c r="AD37" s="6"/>
    </row>
    <row r="38" spans="1:30" s="7" customFormat="1">
      <c r="A38" s="21" t="s">
        <v>38</v>
      </c>
      <c r="B38" s="22">
        <f>13223561.97+-242376</f>
        <v>12981185.970000001</v>
      </c>
      <c r="C38" s="23">
        <f>B38/12</f>
        <v>1081765.4975000001</v>
      </c>
      <c r="D38" s="24"/>
      <c r="E38" s="25"/>
      <c r="F38" s="26">
        <v>4.24E-2</v>
      </c>
      <c r="G38" s="26">
        <v>0.87760000000000005</v>
      </c>
      <c r="H38" s="24"/>
      <c r="I38" s="24"/>
      <c r="J38" s="24"/>
      <c r="K38" s="24"/>
      <c r="L38" s="26">
        <v>4.2700000000000002E-2</v>
      </c>
      <c r="M38" s="24"/>
      <c r="N38" s="24"/>
      <c r="O38" s="24"/>
      <c r="P38" s="24"/>
      <c r="Q38" s="24"/>
      <c r="R38" s="24"/>
      <c r="S38" s="24"/>
      <c r="T38" s="24"/>
      <c r="U38" s="24">
        <v>3.73E-2</v>
      </c>
      <c r="V38" s="24"/>
      <c r="W38" s="24"/>
      <c r="X38" s="24"/>
      <c r="Y38" s="24"/>
      <c r="Z38" s="24"/>
      <c r="AA38" s="24"/>
      <c r="AB38" s="24"/>
      <c r="AC38" s="5"/>
      <c r="AD38" s="6"/>
    </row>
    <row r="39" spans="1:30" s="7" customFormat="1" ht="13.65" customHeight="1">
      <c r="A39" s="27"/>
      <c r="B39" s="28"/>
      <c r="C39" s="29"/>
      <c r="D39" s="30">
        <f>$C38*D38</f>
        <v>0</v>
      </c>
      <c r="E39" s="30">
        <f t="shared" ref="E39:AB39" si="12">$C38*E38</f>
        <v>0</v>
      </c>
      <c r="F39" s="30">
        <f t="shared" si="12"/>
        <v>45866.857093999999</v>
      </c>
      <c r="G39" s="30">
        <f t="shared" si="12"/>
        <v>949357.4006060001</v>
      </c>
      <c r="H39" s="30">
        <f t="shared" si="12"/>
        <v>0</v>
      </c>
      <c r="I39" s="30">
        <f t="shared" si="12"/>
        <v>0</v>
      </c>
      <c r="J39" s="30">
        <f t="shared" si="12"/>
        <v>0</v>
      </c>
      <c r="K39" s="30">
        <f t="shared" si="12"/>
        <v>0</v>
      </c>
      <c r="L39" s="30">
        <f t="shared" si="12"/>
        <v>46191.386743250005</v>
      </c>
      <c r="M39" s="30">
        <f t="shared" si="12"/>
        <v>0</v>
      </c>
      <c r="N39" s="30">
        <f t="shared" si="12"/>
        <v>0</v>
      </c>
      <c r="O39" s="30">
        <f t="shared" si="12"/>
        <v>0</v>
      </c>
      <c r="P39" s="30">
        <f t="shared" si="12"/>
        <v>0</v>
      </c>
      <c r="Q39" s="30">
        <f t="shared" si="12"/>
        <v>0</v>
      </c>
      <c r="R39" s="30">
        <f t="shared" si="12"/>
        <v>0</v>
      </c>
      <c r="S39" s="30">
        <f t="shared" si="12"/>
        <v>0</v>
      </c>
      <c r="T39" s="30">
        <f t="shared" si="12"/>
        <v>0</v>
      </c>
      <c r="U39" s="30">
        <f t="shared" si="12"/>
        <v>40349.853056749998</v>
      </c>
      <c r="V39" s="30">
        <f t="shared" si="12"/>
        <v>0</v>
      </c>
      <c r="W39" s="30">
        <f t="shared" si="12"/>
        <v>0</v>
      </c>
      <c r="X39" s="30">
        <f t="shared" si="12"/>
        <v>0</v>
      </c>
      <c r="Y39" s="30">
        <f t="shared" si="12"/>
        <v>0</v>
      </c>
      <c r="Z39" s="30">
        <f t="shared" si="12"/>
        <v>0</v>
      </c>
      <c r="AA39" s="30">
        <f t="shared" si="12"/>
        <v>0</v>
      </c>
      <c r="AB39" s="30">
        <f t="shared" si="12"/>
        <v>0</v>
      </c>
      <c r="AC39" s="5"/>
      <c r="AD39" s="6"/>
    </row>
    <row r="40" spans="1:30" s="7" customFormat="1">
      <c r="A40" s="21" t="s">
        <v>39</v>
      </c>
      <c r="B40" s="22">
        <f>808743.41+-9713</f>
        <v>799030.41</v>
      </c>
      <c r="C40" s="23">
        <f>B40/12</f>
        <v>66585.867500000008</v>
      </c>
      <c r="D40" s="24"/>
      <c r="E40" s="25">
        <v>5.3800000000000001E-2</v>
      </c>
      <c r="F40" s="26">
        <v>4.2700000000000002E-2</v>
      </c>
      <c r="G40" s="26">
        <v>0.66479999999999995</v>
      </c>
      <c r="H40" s="24"/>
      <c r="I40" s="24"/>
      <c r="J40" s="24">
        <v>2.7099999999999999E-2</v>
      </c>
      <c r="K40" s="24"/>
      <c r="L40" s="26">
        <v>4.8500000000000001E-2</v>
      </c>
      <c r="M40" s="24"/>
      <c r="N40" s="24">
        <v>5.3100000000000001E-2</v>
      </c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>
        <v>0.11</v>
      </c>
      <c r="AC40" s="5"/>
      <c r="AD40" s="6"/>
    </row>
    <row r="41" spans="1:30" s="7" customFormat="1">
      <c r="A41" s="27"/>
      <c r="B41" s="28"/>
      <c r="C41" s="29"/>
      <c r="D41" s="30">
        <f>$C40*D40</f>
        <v>0</v>
      </c>
      <c r="E41" s="30">
        <f t="shared" ref="E41:AB41" si="13">$C40*E40</f>
        <v>3582.3196715000004</v>
      </c>
      <c r="F41" s="30">
        <f t="shared" si="13"/>
        <v>2843.2165422500007</v>
      </c>
      <c r="G41" s="30">
        <f t="shared" si="13"/>
        <v>44266.284714000001</v>
      </c>
      <c r="H41" s="30">
        <f t="shared" si="13"/>
        <v>0</v>
      </c>
      <c r="I41" s="30">
        <f t="shared" si="13"/>
        <v>0</v>
      </c>
      <c r="J41" s="30">
        <f t="shared" si="13"/>
        <v>1804.47700925</v>
      </c>
      <c r="K41" s="30">
        <f t="shared" si="13"/>
        <v>0</v>
      </c>
      <c r="L41" s="30">
        <f t="shared" si="13"/>
        <v>3229.4145737500003</v>
      </c>
      <c r="M41" s="30">
        <f t="shared" si="13"/>
        <v>0</v>
      </c>
      <c r="N41" s="30">
        <f t="shared" si="13"/>
        <v>3535.7095642500003</v>
      </c>
      <c r="O41" s="30">
        <f t="shared" si="13"/>
        <v>0</v>
      </c>
      <c r="P41" s="30">
        <f t="shared" si="13"/>
        <v>0</v>
      </c>
      <c r="Q41" s="30">
        <f t="shared" si="13"/>
        <v>0</v>
      </c>
      <c r="R41" s="30">
        <f t="shared" si="13"/>
        <v>0</v>
      </c>
      <c r="S41" s="30">
        <f t="shared" si="13"/>
        <v>0</v>
      </c>
      <c r="T41" s="30">
        <f t="shared" si="13"/>
        <v>0</v>
      </c>
      <c r="U41" s="30">
        <f t="shared" si="13"/>
        <v>0</v>
      </c>
      <c r="V41" s="30">
        <f t="shared" si="13"/>
        <v>0</v>
      </c>
      <c r="W41" s="30">
        <f t="shared" si="13"/>
        <v>0</v>
      </c>
      <c r="X41" s="30">
        <f t="shared" si="13"/>
        <v>0</v>
      </c>
      <c r="Y41" s="30">
        <f t="shared" si="13"/>
        <v>0</v>
      </c>
      <c r="Z41" s="30">
        <f t="shared" si="13"/>
        <v>0</v>
      </c>
      <c r="AA41" s="30">
        <f t="shared" si="13"/>
        <v>0</v>
      </c>
      <c r="AB41" s="30">
        <f t="shared" si="13"/>
        <v>7324.4454250000008</v>
      </c>
      <c r="AC41" s="31"/>
      <c r="AD41" s="6"/>
    </row>
    <row r="42" spans="1:30" s="7" customFormat="1">
      <c r="A42" s="21" t="s">
        <v>40</v>
      </c>
      <c r="B42" s="22">
        <f>-94105.79+-27912</f>
        <v>-122017.79</v>
      </c>
      <c r="C42" s="23">
        <f>B42/12</f>
        <v>-10168.149166666666</v>
      </c>
      <c r="D42" s="24"/>
      <c r="E42" s="25"/>
      <c r="F42" s="26">
        <v>1</v>
      </c>
      <c r="G42" s="26"/>
      <c r="H42" s="24"/>
      <c r="I42" s="24"/>
      <c r="J42" s="24"/>
      <c r="K42" s="24"/>
      <c r="L42" s="26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5"/>
      <c r="AD42" s="6"/>
    </row>
    <row r="43" spans="1:30" s="7" customFormat="1">
      <c r="A43" s="27"/>
      <c r="B43" s="28"/>
      <c r="C43" s="29"/>
      <c r="D43" s="30">
        <f>$C42*D42</f>
        <v>0</v>
      </c>
      <c r="E43" s="30">
        <f t="shared" ref="E43:AB43" si="14">$C42*E42</f>
        <v>0</v>
      </c>
      <c r="F43" s="30">
        <f t="shared" si="14"/>
        <v>-10168.149166666666</v>
      </c>
      <c r="G43" s="30">
        <f t="shared" si="14"/>
        <v>0</v>
      </c>
      <c r="H43" s="30">
        <f t="shared" si="14"/>
        <v>0</v>
      </c>
      <c r="I43" s="30">
        <f t="shared" si="14"/>
        <v>0</v>
      </c>
      <c r="J43" s="30">
        <f t="shared" si="14"/>
        <v>0</v>
      </c>
      <c r="K43" s="30">
        <f t="shared" si="14"/>
        <v>0</v>
      </c>
      <c r="L43" s="30">
        <f t="shared" si="14"/>
        <v>0</v>
      </c>
      <c r="M43" s="30">
        <f t="shared" si="14"/>
        <v>0</v>
      </c>
      <c r="N43" s="30">
        <f t="shared" si="14"/>
        <v>0</v>
      </c>
      <c r="O43" s="30">
        <f t="shared" si="14"/>
        <v>0</v>
      </c>
      <c r="P43" s="30">
        <f t="shared" si="14"/>
        <v>0</v>
      </c>
      <c r="Q43" s="30">
        <f t="shared" si="14"/>
        <v>0</v>
      </c>
      <c r="R43" s="30">
        <f t="shared" si="14"/>
        <v>0</v>
      </c>
      <c r="S43" s="30">
        <f t="shared" si="14"/>
        <v>0</v>
      </c>
      <c r="T43" s="30">
        <f t="shared" si="14"/>
        <v>0</v>
      </c>
      <c r="U43" s="30">
        <f t="shared" si="14"/>
        <v>0</v>
      </c>
      <c r="V43" s="30">
        <f t="shared" si="14"/>
        <v>0</v>
      </c>
      <c r="W43" s="30">
        <f t="shared" si="14"/>
        <v>0</v>
      </c>
      <c r="X43" s="30">
        <f t="shared" si="14"/>
        <v>0</v>
      </c>
      <c r="Y43" s="30">
        <f t="shared" si="14"/>
        <v>0</v>
      </c>
      <c r="Z43" s="30">
        <f t="shared" si="14"/>
        <v>0</v>
      </c>
      <c r="AA43" s="30">
        <f t="shared" si="14"/>
        <v>0</v>
      </c>
      <c r="AB43" s="30">
        <f t="shared" si="14"/>
        <v>0</v>
      </c>
      <c r="AC43" s="5"/>
      <c r="AD43" s="6"/>
    </row>
    <row r="44" spans="1:30" s="7" customFormat="1">
      <c r="A44" s="21" t="s">
        <v>41</v>
      </c>
      <c r="B44" s="22">
        <f>126287.25+-7845</f>
        <v>118442.25</v>
      </c>
      <c r="C44" s="23">
        <f>B44/12</f>
        <v>9870.1875</v>
      </c>
      <c r="D44" s="24"/>
      <c r="E44" s="25"/>
      <c r="F44" s="26">
        <v>1</v>
      </c>
      <c r="G44" s="26"/>
      <c r="H44" s="24"/>
      <c r="I44" s="24"/>
      <c r="J44" s="24"/>
      <c r="K44" s="24"/>
      <c r="L44" s="26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5"/>
      <c r="AD44" s="6"/>
    </row>
    <row r="45" spans="1:30" s="7" customFormat="1">
      <c r="A45" s="27"/>
      <c r="B45" s="28"/>
      <c r="C45" s="29"/>
      <c r="D45" s="30">
        <f>$C44*D44</f>
        <v>0</v>
      </c>
      <c r="E45" s="30">
        <f t="shared" ref="E45:AB45" si="15">$C44*E44</f>
        <v>0</v>
      </c>
      <c r="F45" s="30">
        <f t="shared" si="15"/>
        <v>9870.1875</v>
      </c>
      <c r="G45" s="30">
        <f t="shared" si="15"/>
        <v>0</v>
      </c>
      <c r="H45" s="30">
        <f t="shared" si="15"/>
        <v>0</v>
      </c>
      <c r="I45" s="30">
        <f t="shared" si="15"/>
        <v>0</v>
      </c>
      <c r="J45" s="30">
        <f t="shared" si="15"/>
        <v>0</v>
      </c>
      <c r="K45" s="30">
        <f t="shared" si="15"/>
        <v>0</v>
      </c>
      <c r="L45" s="30">
        <f t="shared" si="15"/>
        <v>0</v>
      </c>
      <c r="M45" s="30">
        <f t="shared" si="15"/>
        <v>0</v>
      </c>
      <c r="N45" s="30">
        <f t="shared" si="15"/>
        <v>0</v>
      </c>
      <c r="O45" s="30">
        <f t="shared" si="15"/>
        <v>0</v>
      </c>
      <c r="P45" s="30">
        <f t="shared" si="15"/>
        <v>0</v>
      </c>
      <c r="Q45" s="30">
        <f t="shared" si="15"/>
        <v>0</v>
      </c>
      <c r="R45" s="30">
        <f t="shared" si="15"/>
        <v>0</v>
      </c>
      <c r="S45" s="30">
        <f t="shared" si="15"/>
        <v>0</v>
      </c>
      <c r="T45" s="30">
        <f t="shared" si="15"/>
        <v>0</v>
      </c>
      <c r="U45" s="30">
        <f t="shared" si="15"/>
        <v>0</v>
      </c>
      <c r="V45" s="30">
        <f t="shared" si="15"/>
        <v>0</v>
      </c>
      <c r="W45" s="30">
        <f t="shared" si="15"/>
        <v>0</v>
      </c>
      <c r="X45" s="30">
        <f t="shared" si="15"/>
        <v>0</v>
      </c>
      <c r="Y45" s="30">
        <f t="shared" si="15"/>
        <v>0</v>
      </c>
      <c r="Z45" s="30">
        <f t="shared" si="15"/>
        <v>0</v>
      </c>
      <c r="AA45" s="30">
        <f t="shared" si="15"/>
        <v>0</v>
      </c>
      <c r="AB45" s="30">
        <f t="shared" si="15"/>
        <v>0</v>
      </c>
      <c r="AC45" s="5"/>
      <c r="AD45" s="6"/>
    </row>
    <row r="46" spans="1:30" s="7" customFormat="1">
      <c r="A46" s="21" t="s">
        <v>42</v>
      </c>
      <c r="B46" s="22">
        <f>250174.01+-17693</f>
        <v>232481.01</v>
      </c>
      <c r="C46" s="23">
        <f>B46/12</f>
        <v>19373.4175</v>
      </c>
      <c r="D46" s="24"/>
      <c r="E46" s="25"/>
      <c r="F46" s="26">
        <v>1</v>
      </c>
      <c r="G46" s="26"/>
      <c r="H46" s="24"/>
      <c r="I46" s="24"/>
      <c r="J46" s="24"/>
      <c r="K46" s="24"/>
      <c r="L46" s="26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5"/>
      <c r="AD46" s="6"/>
    </row>
    <row r="47" spans="1:30" s="7" customFormat="1">
      <c r="A47" s="27"/>
      <c r="B47" s="28"/>
      <c r="C47" s="29"/>
      <c r="D47" s="30">
        <f>$C46*D46</f>
        <v>0</v>
      </c>
      <c r="E47" s="30">
        <f t="shared" ref="E47:AB47" si="16">$C46*E46</f>
        <v>0</v>
      </c>
      <c r="F47" s="30">
        <f t="shared" si="16"/>
        <v>19373.4175</v>
      </c>
      <c r="G47" s="30">
        <f t="shared" si="16"/>
        <v>0</v>
      </c>
      <c r="H47" s="30">
        <f t="shared" si="16"/>
        <v>0</v>
      </c>
      <c r="I47" s="30">
        <f t="shared" si="16"/>
        <v>0</v>
      </c>
      <c r="J47" s="30">
        <f t="shared" si="16"/>
        <v>0</v>
      </c>
      <c r="K47" s="30">
        <f t="shared" si="16"/>
        <v>0</v>
      </c>
      <c r="L47" s="30">
        <f t="shared" si="16"/>
        <v>0</v>
      </c>
      <c r="M47" s="30">
        <f t="shared" si="16"/>
        <v>0</v>
      </c>
      <c r="N47" s="30">
        <f t="shared" si="16"/>
        <v>0</v>
      </c>
      <c r="O47" s="30">
        <f t="shared" si="16"/>
        <v>0</v>
      </c>
      <c r="P47" s="30">
        <f t="shared" si="16"/>
        <v>0</v>
      </c>
      <c r="Q47" s="30">
        <f t="shared" si="16"/>
        <v>0</v>
      </c>
      <c r="R47" s="30">
        <f t="shared" si="16"/>
        <v>0</v>
      </c>
      <c r="S47" s="30">
        <f t="shared" si="16"/>
        <v>0</v>
      </c>
      <c r="T47" s="30">
        <f t="shared" si="16"/>
        <v>0</v>
      </c>
      <c r="U47" s="30">
        <f t="shared" si="16"/>
        <v>0</v>
      </c>
      <c r="V47" s="30">
        <f t="shared" si="16"/>
        <v>0</v>
      </c>
      <c r="W47" s="30">
        <f t="shared" si="16"/>
        <v>0</v>
      </c>
      <c r="X47" s="30">
        <f t="shared" si="16"/>
        <v>0</v>
      </c>
      <c r="Y47" s="30">
        <f t="shared" si="16"/>
        <v>0</v>
      </c>
      <c r="Z47" s="30">
        <f t="shared" si="16"/>
        <v>0</v>
      </c>
      <c r="AA47" s="30">
        <f t="shared" si="16"/>
        <v>0</v>
      </c>
      <c r="AB47" s="30">
        <f t="shared" si="16"/>
        <v>0</v>
      </c>
      <c r="AC47" s="5"/>
      <c r="AD47" s="6"/>
    </row>
    <row r="48" spans="1:30" s="7" customFormat="1">
      <c r="A48" s="32" t="s">
        <v>43</v>
      </c>
      <c r="B48" s="33">
        <f>SUM(B32:B47)</f>
        <v>28857679.490000002</v>
      </c>
      <c r="C48" s="34">
        <f>SUM(C32:C47)</f>
        <v>2404806.624166667</v>
      </c>
      <c r="D48" s="34">
        <f>D33+D35+D37+D39+D41+D43+D45+D47</f>
        <v>0</v>
      </c>
      <c r="E48" s="34">
        <f>E33+E35+E37+E39+E41+E43+E45+E47</f>
        <v>3582.3196715000004</v>
      </c>
      <c r="F48" s="34">
        <f>F33+F35+F37+F39+F41+F43+F45+F47</f>
        <v>119729.80459841667</v>
      </c>
      <c r="G48" s="34">
        <f t="shared" ref="G48:AB48" si="17">G33+G35+G37+G39+G41+G43+G45+G47</f>
        <v>2122149.7915930003</v>
      </c>
      <c r="H48" s="34">
        <f t="shared" si="17"/>
        <v>0</v>
      </c>
      <c r="I48" s="34">
        <f t="shared" si="17"/>
        <v>0</v>
      </c>
      <c r="J48" s="34">
        <f t="shared" si="17"/>
        <v>1804.47700925</v>
      </c>
      <c r="K48" s="34">
        <f t="shared" si="17"/>
        <v>0</v>
      </c>
      <c r="L48" s="34">
        <f t="shared" si="17"/>
        <v>66120.460840000014</v>
      </c>
      <c r="M48" s="34">
        <f t="shared" si="17"/>
        <v>0</v>
      </c>
      <c r="N48" s="34">
        <f t="shared" si="17"/>
        <v>3535.7095642500003</v>
      </c>
      <c r="O48" s="34">
        <f t="shared" si="17"/>
        <v>0</v>
      </c>
      <c r="P48" s="34">
        <f t="shared" si="17"/>
        <v>0</v>
      </c>
      <c r="Q48" s="34">
        <f t="shared" si="17"/>
        <v>0</v>
      </c>
      <c r="R48" s="34">
        <f t="shared" si="17"/>
        <v>0</v>
      </c>
      <c r="S48" s="34">
        <f t="shared" si="17"/>
        <v>0</v>
      </c>
      <c r="T48" s="34">
        <f t="shared" si="17"/>
        <v>0</v>
      </c>
      <c r="U48" s="34">
        <f t="shared" si="17"/>
        <v>80559.615465250012</v>
      </c>
      <c r="V48" s="34">
        <f t="shared" si="17"/>
        <v>0</v>
      </c>
      <c r="W48" s="34">
        <f t="shared" si="17"/>
        <v>0</v>
      </c>
      <c r="X48" s="34">
        <f t="shared" si="17"/>
        <v>0</v>
      </c>
      <c r="Y48" s="34">
        <f t="shared" si="17"/>
        <v>0</v>
      </c>
      <c r="Z48" s="34">
        <f t="shared" si="17"/>
        <v>0</v>
      </c>
      <c r="AA48" s="34">
        <f t="shared" si="17"/>
        <v>0</v>
      </c>
      <c r="AB48" s="34">
        <f t="shared" si="17"/>
        <v>7324.4454250000008</v>
      </c>
      <c r="AC48" s="5"/>
      <c r="AD48" s="6"/>
    </row>
    <row r="49" spans="1:30" s="7" customFormat="1">
      <c r="A49" s="40"/>
      <c r="B49" s="41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5"/>
      <c r="AD49" s="6"/>
    </row>
    <row r="50" spans="1:30" customFormat="1"/>
    <row r="51" spans="1:30" customFormat="1">
      <c r="A51" s="42" t="s">
        <v>45</v>
      </c>
      <c r="B51" s="42"/>
      <c r="C51" s="42"/>
      <c r="D51" s="42"/>
      <c r="E51" s="42"/>
      <c r="F51" s="42"/>
    </row>
    <row r="52" spans="1:30" customFormat="1"/>
    <row r="53" spans="1:30" customFormat="1">
      <c r="C53" s="46"/>
    </row>
    <row r="56" spans="1:30">
      <c r="C56" s="47"/>
    </row>
  </sheetData>
  <mergeCells count="5">
    <mergeCell ref="D4:Y4"/>
    <mergeCell ref="D5:Y5"/>
    <mergeCell ref="D28:Y28"/>
    <mergeCell ref="D29:Y29"/>
    <mergeCell ref="A1:Y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</vt:lpstr>
    </vt:vector>
  </TitlesOfParts>
  <Company>PJM Interconnection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Daley, Faith</dc:creator>
  <cp:lastModifiedBy>Daley, Faith</cp:lastModifiedBy>
  <dcterms:created xsi:type="dcterms:W3CDTF">2026-08-18T12:15:08Z</dcterms:created>
  <dcterms:modified xsi:type="dcterms:W3CDTF">2026-09-03T12:00:34Z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37be2d-9a50-473d-b372-9d2e4491f364_Enabled">
    <vt:lpwstr>true</vt:lpwstr>
  </property>
  <property fmtid="{D5CDD505-2E9C-101B-9397-08002B2CF9AE}" pid="3" name="MSIP_Label_4b37be2d-9a50-473d-b372-9d2e4491f364_SetDate">
    <vt:lpwstr>2026-08-18T12:15:16Z</vt:lpwstr>
  </property>
  <property fmtid="{D5CDD505-2E9C-101B-9397-08002B2CF9AE}" pid="4" name="MSIP_Label_4b37be2d-9a50-473d-b372-9d2e4491f364_Method">
    <vt:lpwstr>Standard</vt:lpwstr>
  </property>
  <property fmtid="{D5CDD505-2E9C-101B-9397-08002B2CF9AE}" pid="5" name="MSIP_Label_4b37be2d-9a50-473d-b372-9d2e4491f364_Name">
    <vt:lpwstr>Confidential - PJM Personnel Only</vt:lpwstr>
  </property>
  <property fmtid="{D5CDD505-2E9C-101B-9397-08002B2CF9AE}" pid="6" name="MSIP_Label_4b37be2d-9a50-473d-b372-9d2e4491f364_SiteId">
    <vt:lpwstr>2ca508d6-9abf-4628-bb63-2a491e2be6f9</vt:lpwstr>
  </property>
  <property fmtid="{D5CDD505-2E9C-101B-9397-08002B2CF9AE}" pid="7" name="MSIP_Label_4b37be2d-9a50-473d-b372-9d2e4491f364_ActionId">
    <vt:lpwstr>23e291bf-23d3-4248-ab9a-fff02efa46e5</vt:lpwstr>
  </property>
  <property fmtid="{D5CDD505-2E9C-101B-9397-08002B2CF9AE}" pid="8" name="MSIP_Label_4b37be2d-9a50-473d-b372-9d2e4491f364_ContentBits">
    <vt:lpwstr>0</vt:lpwstr>
  </property>
  <property fmtid="{D5CDD505-2E9C-101B-9397-08002B2CF9AE}" pid="9" name="MSIP_Label_4b37be2d-9a50-473d-b372-9d2e4491f364_Tag">
    <vt:lpwstr>10, 3, 0, 1</vt:lpwstr>
  </property>
</Properties>
</file>