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customProperty1.bin" ContentType="application/vnd.openxmlformats-officedocument.spreadsheetml.customProperty"/>
  <Override PartName="/xl/worksheets/sheet1.xml" ContentType="application/vnd.openxmlformats-officedocument.spreadsheetml.worksheet+xml"/>
  <Override PartName="/xl/customProperty2.bin" ContentType="application/vnd.openxmlformats-officedocument.spreadsheetml.customProperty"/>
  <Override PartName="/xl/worksheets/sheet2.xml" ContentType="application/vnd.openxmlformats-officedocument.spreadsheetml.worksheet+xml"/>
  <Override PartName="/xl/customProperty3.bin" ContentType="application/vnd.openxmlformats-officedocument.spreadsheetml.customProperty"/>
  <Override PartName="/xl/worksheets/sheet3.xml" ContentType="application/vnd.openxmlformats-officedocument.spreadsheetml.worksheet+xml"/>
  <Override PartName="/xl/customProperty4.bin" ContentType="application/vnd.openxmlformats-officedocument.spreadsheetml.customProperty"/>
  <Override PartName="/xl/worksheets/sheet4.xml" ContentType="application/vnd.openxmlformats-officedocument.spreadsheetml.worksheet+xml"/>
  <Override PartName="/xl/customProperty5.bin" ContentType="application/vnd.openxmlformats-officedocument.spreadsheetml.customProperty"/>
  <Override PartName="/xl/worksheets/sheet5.xml" ContentType="application/vnd.openxmlformats-officedocument.spreadsheetml.worksheet+xml"/>
  <Override PartName="/xl/customProperty6.bin" ContentType="application/vnd.openxmlformats-officedocument.spreadsheetml.customProperty"/>
  <Override PartName="/xl/worksheets/sheet6.xml" ContentType="application/vnd.openxmlformats-officedocument.spreadsheetml.worksheet+xml"/>
  <Override PartName="/xl/customProperty7.bin" ContentType="application/vnd.openxmlformats-officedocument.spreadsheetml.customProperty"/>
  <Override PartName="/xl/worksheets/sheet7.xml" ContentType="application/vnd.openxmlformats-officedocument.spreadsheetml.worksheet+xml"/>
  <Override PartName="/xl/customProperty8.bin" ContentType="application/vnd.openxmlformats-officedocument.spreadsheetml.customProperty"/>
  <Override PartName="/xl/worksheets/sheet8.xml" ContentType="application/vnd.openxmlformats-officedocument.spreadsheetml.worksheet+xml"/>
  <Override PartName="/xl/customProperty9.bin" ContentType="application/vnd.openxmlformats-officedocument.spreadsheetml.customProperty"/>
  <Override PartName="/xl/worksheets/sheet9.xml" ContentType="application/vnd.openxmlformats-officedocument.spreadsheetml.worksheet+xml"/>
  <Override PartName="/xl/customProperty10.bin" ContentType="application/vnd.openxmlformats-officedocument.spreadsheetml.customProperty"/>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mc:AlternateContent xmlns:mc="http://schemas.openxmlformats.org/markup-compatibility/2006">
    <mc:Choice Requires="x15">
      <x15ac:absPath xmlns:x15ac="http://schemas.microsoft.com/office/spreadsheetml/2010/11/ac" url="C:\Users\sitij\AppData\Local\Temp\yddls3fh\"/>
    </mc:Choice>
  </mc:AlternateContent>
  <bookViews>
    <workbookView xWindow="0" yWindow="0" windowWidth="28800" windowHeight="12300" tabRatio="731" activeTab="0"/>
  </bookViews>
  <sheets>
    <sheet name="Attachment H" sheetId="1" r:id="rId2"/>
    <sheet name="1-Project Rev Req" sheetId="2" r:id="rId3"/>
    <sheet name="2-Incentive ROE" sheetId="3" r:id="rId4"/>
    <sheet name="3-Project True-up" sheetId="4" r:id="rId5"/>
    <sheet name="4- Rate Base" sheetId="5" r:id="rId6"/>
    <sheet name="4a-Projection ADIT" sheetId="6" r:id="rId7"/>
    <sheet name="5-P3 Support" sheetId="7" r:id="rId8"/>
    <sheet name="6-True-Up Interest" sheetId="8" r:id="rId9"/>
    <sheet name="7 - PBOP" sheetId="9" r:id="rId10"/>
    <sheet name="8-Dep Rates" sheetId="10" r:id="rId11"/>
  </sheets>
  <definedNames>
    <definedName name="_31_Dec_00" localSheetId="2">#REF!</definedName>
    <definedName name="CH_COS" localSheetId="1">#REF!</definedName>
    <definedName name="DefaultCopy" localSheetId="2">#REF!</definedName>
    <definedName name="Mgmt" localSheetId="2">#REF!</definedName>
    <definedName name="new" localSheetId="2">#REF!</definedName>
    <definedName name="NSP_COS" localSheetId="1">#REF!</definedName>
    <definedName name="_xlnm.Print_Area" localSheetId="1">'1-Project Rev Req'!$A$1:$S$108</definedName>
    <definedName name="_xlnm.Print_Area" localSheetId="2">'2-Incentive ROE'!$A$1:$K$48</definedName>
    <definedName name="_xlnm.Print_Area" localSheetId="4">'4- Rate Base'!$A$1:$J$73</definedName>
    <definedName name="_xlnm.Print_Area" localSheetId="5">'4a-Projection ADIT'!$A$1:$K$126</definedName>
    <definedName name="_xlnm.Print_Area" localSheetId="6">'5-P3 Support'!$A$1:$M$95</definedName>
    <definedName name="_xlnm.Print_Area" localSheetId="8">'7 - PBOP'!$A$1:$F$22</definedName>
    <definedName name="_xlnm.Print_Area" localSheetId="9">'8-Dep Rates'!$A$1:$D$47</definedName>
    <definedName name="_xlnm.Print_Area" localSheetId="0">'Attachment H'!$A$1:$K$274</definedName>
    <definedName name="Print1" localSheetId="1">#REF!</definedName>
    <definedName name="Print1" localSheetId="2">#REF!</definedName>
    <definedName name="Print3" localSheetId="1">#REF!</definedName>
    <definedName name="Print4" localSheetId="1">#REF!</definedName>
    <definedName name="SPS_COS" localSheetId="2">#REF!</definedName>
    <definedName name="Xcel" localSheetId="1">#REF!</definedName>
    <definedName name="Xcel_COS" localSheetId="1">#REF!</definedName>
    <definedName name="Xcel_COS" localSheetId="2">#REF!</definedName>
    <definedName name="Z_F04A2B9A_C6FE_4FEB_AD1E_2CF9AC309BE4_.wvu.PrintArea" localSheetId="1" hidden="1">'1-Project Rev Req'!$A$1:$Q$105</definedName>
    <definedName name="Z_F04A2B9A_C6FE_4FEB_AD1E_2CF9AC309BE4_.wvu.PrintArea" localSheetId="3" hidden="1">'3-Project True-up'!$A$1:$L$24</definedName>
    <definedName name="Z_F04A2B9A_C6FE_4FEB_AD1E_2CF9AC309BE4_.wvu.PrintArea" localSheetId="4" hidden="1">'4- Rate Base'!$A$1:$L$49</definedName>
    <definedName name="Z_F04A2B9A_C6FE_4FEB_AD1E_2CF9AC309BE4_.wvu.PrintArea" localSheetId="0" hidden="1">'Attachment H'!$A$1:$K$267</definedName>
  </definedNames>
  <calcPr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8" i="1" l="1"/>
</calcChain>
</file>

<file path=xl/sharedStrings.xml><?xml version="1.0" encoding="utf-8"?>
<sst xmlns="http://schemas.openxmlformats.org/spreadsheetml/2006/main" count="1407" uniqueCount="849">
  <si>
    <t>page 1 of 5</t>
  </si>
  <si>
    <t>Attachment H</t>
  </si>
  <si>
    <t xml:space="preserve">Formula Rate - Non-Levelized </t>
  </si>
  <si>
    <r>
      <t>NextEra Energy Transmission MidAtlantic Indiana, Inc</t>
    </r>
    <r>
      <rPr>
        <sz val="10"/>
        <color rgb="FFFF0000"/>
        <rFont val="Times New Roman"/>
        <family val="1"/>
      </rPr>
      <t>.</t>
    </r>
  </si>
  <si>
    <t>Rate Formula Template</t>
  </si>
  <si>
    <t>For  the 12 months ended 12/31/2020</t>
  </si>
  <si>
    <t>Utilizing FERC Form 1 Data</t>
  </si>
  <si>
    <t>NextEra Energy Transmission MidAtlantic Indiana, Inc.</t>
  </si>
  <si>
    <t>(1)</t>
  </si>
  <si>
    <t>(2)</t>
  </si>
  <si>
    <t>(3)</t>
  </si>
  <si>
    <t xml:space="preserve"> </t>
  </si>
  <si>
    <t>(4)</t>
  </si>
  <si>
    <t>(5)</t>
  </si>
  <si>
    <t>Line</t>
  </si>
  <si>
    <t>Allocated</t>
  </si>
  <si>
    <t>No.</t>
  </si>
  <si>
    <t>Amount</t>
  </si>
  <si>
    <t>GROSS REVENUE REQUIREMENT</t>
  </si>
  <si>
    <t>(page 3, line 47)</t>
  </si>
  <si>
    <t xml:space="preserve">REVENUE CREDITS </t>
  </si>
  <si>
    <t>(Note O)</t>
  </si>
  <si>
    <t>Total</t>
  </si>
  <si>
    <t>Allocator</t>
  </si>
  <si>
    <t xml:space="preserve">  Account No. 454</t>
  </si>
  <si>
    <t>TP</t>
  </si>
  <si>
    <t xml:space="preserve">  Account No. 456.1</t>
  </si>
  <si>
    <t xml:space="preserve">  Account No. 457.1 Scheduling</t>
  </si>
  <si>
    <t>Attachment 5, line 39, col e</t>
  </si>
  <si>
    <t xml:space="preserve">  Revenues from Grandfathered Interzonal Transactions </t>
  </si>
  <si>
    <t>(Note N)</t>
  </si>
  <si>
    <t xml:space="preserve">  Revenues from service provided by the ISO at a discount</t>
  </si>
  <si>
    <t xml:space="preserve">TOTAL REVENUE CREDITS </t>
  </si>
  <si>
    <t>(Sum of Lines 2 through 6)</t>
  </si>
  <si>
    <t>NET REVENUE REQUIREMENT</t>
  </si>
  <si>
    <t>(line 1 minus line 7)</t>
  </si>
  <si>
    <t>True-up Adjustment with Interest</t>
  </si>
  <si>
    <t>Attachment 3, line 4, Col. J</t>
  </si>
  <si>
    <t>DA</t>
  </si>
  <si>
    <t>(line 8 plus line 9)</t>
  </si>
  <si>
    <t>page 2 of 5</t>
  </si>
  <si>
    <t>Transmission</t>
  </si>
  <si>
    <t>Source</t>
  </si>
  <si>
    <t>Company Total</t>
  </si>
  <si>
    <t xml:space="preserve">                  Allocator</t>
  </si>
  <si>
    <t>(Col 3 times Col 4)</t>
  </si>
  <si>
    <t xml:space="preserve">RATE BASE: </t>
  </si>
  <si>
    <t>GROSS PLANT IN SERVICE   (Notes U and R)</t>
  </si>
  <si>
    <t xml:space="preserve">  Production </t>
  </si>
  <si>
    <t>205.46.g for end of year, records for other months</t>
  </si>
  <si>
    <t>NA</t>
  </si>
  <si>
    <t xml:space="preserve">  Transmission</t>
  </si>
  <si>
    <t>Attachment 4, Line 14, Col. (b)</t>
  </si>
  <si>
    <t xml:space="preserve">  Distribution </t>
  </si>
  <si>
    <t>207.75.g for end of year, records for other months</t>
  </si>
  <si>
    <t xml:space="preserve">  General &amp; Intangible</t>
  </si>
  <si>
    <t>Attachment 4, Line 14, Col. (c)</t>
  </si>
  <si>
    <t>W/S</t>
  </si>
  <si>
    <t xml:space="preserve">  Common </t>
  </si>
  <si>
    <t>356.1 for end of year, records for other months</t>
  </si>
  <si>
    <t>CE</t>
  </si>
  <si>
    <t>TOTAL GROSS PLANT</t>
  </si>
  <si>
    <t>(Sum of Lines 1 through 5)</t>
  </si>
  <si>
    <t>GP=</t>
  </si>
  <si>
    <t>ACCUMULATED DEPRECIATION  (Notes U and R)</t>
  </si>
  <si>
    <t>219.20-24.c for end of year, records for other months</t>
  </si>
  <si>
    <t>Attachment 4, Line 14, Col. (h)</t>
  </si>
  <si>
    <t>219.26.c for end of year, records for other months</t>
  </si>
  <si>
    <t>Attachment 4, Line 14, Col. (i)</t>
  </si>
  <si>
    <t xml:space="preserve">TOTAL ACCUM. DEPRECIATION </t>
  </si>
  <si>
    <t>(Sum of Lines 8 through 12)</t>
  </si>
  <si>
    <t>NET PLANT IN SERVICE</t>
  </si>
  <si>
    <t>(Line 2 minus line 9)</t>
  </si>
  <si>
    <t>(Line 4 minus line 11)</t>
  </si>
  <si>
    <t>TOTAL NET PLANT</t>
  </si>
  <si>
    <t>(Sum of Lines 15 through 19)</t>
  </si>
  <si>
    <t>NP=</t>
  </si>
  <si>
    <t>ADJUSTMENTS TO RATE BASE  (Note R)</t>
  </si>
  <si>
    <t xml:space="preserve">  Account No. 281 (enter negative)</t>
  </si>
  <si>
    <t>Attach 4, Line 28, Col. (d)/Attach 4a, Line 54, Col. H (Notes B and X)</t>
  </si>
  <si>
    <t>zero</t>
  </si>
  <si>
    <t xml:space="preserve">  Account No. 282 (enter negative)</t>
  </si>
  <si>
    <t>Attach 4, Line 28, Col. (e)/Attach 4a, Line 81, Col. H (Notes B and X)</t>
  </si>
  <si>
    <t>NP</t>
  </si>
  <si>
    <t xml:space="preserve">  Account No. 283 (enter negative)</t>
  </si>
  <si>
    <t>Attach 4, Line 28, Col. (f)/Attach 4a, Line 108, Col. H (Notes B and X)</t>
  </si>
  <si>
    <t xml:space="preserve">  Account No. 190 </t>
  </si>
  <si>
    <t>Attach 4, Line 28, Col. (g)/Attach 4a, Line 27, Col. H (Notes B and X)</t>
  </si>
  <si>
    <t xml:space="preserve">  Account No. 255 (enter negative)</t>
  </si>
  <si>
    <t>Attachment 4, Line 28, Col. (h) (Notes B and X)</t>
  </si>
  <si>
    <t>26a</t>
  </si>
  <si>
    <t xml:space="preserve">  Unfunded Reserves (enter negative)</t>
  </si>
  <si>
    <t>Attachment 4, Line 31, Col. (h)  (Note Y)</t>
  </si>
  <si>
    <t xml:space="preserve">  CWIP</t>
  </si>
  <si>
    <t>Attachment 4, Line 14, Col. (d)</t>
  </si>
  <si>
    <t xml:space="preserve">  Unamortized Regulatory Asset </t>
  </si>
  <si>
    <t>Attachment 4, Line 28, Col. (b) (Note T)</t>
  </si>
  <si>
    <t xml:space="preserve">  Unamortized Abandoned Plant  </t>
  </si>
  <si>
    <t>Attachment 4, Line 28, Col. (c) (Note S)</t>
  </si>
  <si>
    <t xml:space="preserve">TOTAL ADJUSTMENTS </t>
  </si>
  <si>
    <t>(Sum of Lines 22 through 29)</t>
  </si>
  <si>
    <t xml:space="preserve">LAND HELD FOR FUTURE USE  </t>
  </si>
  <si>
    <t>Attachment 4, Line 14, Col. (e) (Note C)</t>
  </si>
  <si>
    <t xml:space="preserve">WORKING CAPITAL </t>
  </si>
  <si>
    <t>(Note D)</t>
  </si>
  <si>
    <t xml:space="preserve">  CWC </t>
  </si>
  <si>
    <t>1/8*(Page 3, Line 14 minus Page 3, Line 11)</t>
  </si>
  <si>
    <t xml:space="preserve">  Materials &amp; Supplies</t>
  </si>
  <si>
    <t>Attachment 4, Line 14, Col. (f) (Note C)</t>
  </si>
  <si>
    <t xml:space="preserve">  Prepayments (Account 165)</t>
  </si>
  <si>
    <t>Attachment 4, Line 14, Col. (g)</t>
  </si>
  <si>
    <t>GP</t>
  </si>
  <si>
    <t xml:space="preserve">TOTAL WORKING CAPITAL  </t>
  </si>
  <si>
    <t>(Sum of Lines 33 through 35)</t>
  </si>
  <si>
    <t xml:space="preserve">RATE BASE </t>
  </si>
  <si>
    <t>(Sum of Lines 20, 30, 31 &amp; 36)</t>
  </si>
  <si>
    <t>page 3 of 5</t>
  </si>
  <si>
    <t>O&amp;M</t>
  </si>
  <si>
    <t xml:space="preserve">  Transmission </t>
  </si>
  <si>
    <t>321.112.b Attach. 5, Line 13, Col. (a)</t>
  </si>
  <si>
    <t xml:space="preserve">     Less Account 566 (Misc Trans Expense)</t>
  </si>
  <si>
    <t xml:space="preserve">321.97.b Attach. 5, Line 13, Col. (b) </t>
  </si>
  <si>
    <t xml:space="preserve">     Less Account 565</t>
  </si>
  <si>
    <t>321.96.b Attach. 5, Line 13, Col. (c)</t>
  </si>
  <si>
    <t xml:space="preserve">  A&amp;G</t>
  </si>
  <si>
    <t>323.197.b Attach. 5, Line 13, Col. (d)</t>
  </si>
  <si>
    <t xml:space="preserve">     Less FERC Annual Fees</t>
  </si>
  <si>
    <t>Attach. 5, Line 13, Col. (e)</t>
  </si>
  <si>
    <t xml:space="preserve">     Less EPRI &amp; Reg. Comm. Exp. &amp; Non-safety Ad.  </t>
  </si>
  <si>
    <t>(Note E) Attach. 5, Line 13, Col. (f)</t>
  </si>
  <si>
    <t>6a</t>
  </si>
  <si>
    <t xml:space="preserve">     Less PBOP Expense in Year</t>
  </si>
  <si>
    <t>Attachment 7, Line 8, Col. (g)</t>
  </si>
  <si>
    <t xml:space="preserve">     Plus Transmission Related Reg. Comm. Exp.  </t>
  </si>
  <si>
    <t>(Note E) Attach. 5, Line 13, Col. (g)</t>
  </si>
  <si>
    <t>7a</t>
  </si>
  <si>
    <t xml:space="preserve">     Plus PBOP Expense Allowed Amount</t>
  </si>
  <si>
    <t>Attachment 7, Line 6, Col. (g)</t>
  </si>
  <si>
    <t>356.1</t>
  </si>
  <si>
    <t xml:space="preserve">  Transmission Lease Payments</t>
  </si>
  <si>
    <t>Attach. 5, Line 13, Col (h)</t>
  </si>
  <si>
    <t>Account 566</t>
  </si>
  <si>
    <t xml:space="preserve">   Amortization of Regulatory Asset</t>
  </si>
  <si>
    <t>(Note T) Attach. 5, Line 13, Col. (i)</t>
  </si>
  <si>
    <t xml:space="preserve">   Miscellaneous Transmission Expense (less amortization of regulatory asset)</t>
  </si>
  <si>
    <t>Attach. 5, Line 13, Col .(j)</t>
  </si>
  <si>
    <t>Total Account 566</t>
  </si>
  <si>
    <t>(Line 11 plus Line 12) Ties to 321.97.b</t>
  </si>
  <si>
    <t>TOTAL O&amp;M</t>
  </si>
  <si>
    <t>(Sum of Lines 1, 4, 7, 7a, 8, 9, 13 less Lines 2, 3, 5, 6, 6a)</t>
  </si>
  <si>
    <t>DEPRECIATION EXPENSE  (Note U)</t>
  </si>
  <si>
    <t>336.7.b, d &amp;e Attach. 5, Line 13, Col. (k)</t>
  </si>
  <si>
    <t>336.10.b, d &amp;e, 336.1.b, d &amp;e Attach. 5, Line 26, Col. (a)</t>
  </si>
  <si>
    <t>336.11.b, d &amp;e</t>
  </si>
  <si>
    <t xml:space="preserve">  Amortization of Abandoned Plant</t>
  </si>
  <si>
    <t>(Note S) Attach. 5, Line 26, Col. (b)</t>
  </si>
  <si>
    <t xml:space="preserve">TOTAL DEPRECIATION </t>
  </si>
  <si>
    <t>(Sum of Lines 16 through 19)</t>
  </si>
  <si>
    <t xml:space="preserve">TAXES OTHER THAN INCOME TAXES </t>
  </si>
  <si>
    <t>(Note F)</t>
  </si>
  <si>
    <t xml:space="preserve">  LABOR RELATED</t>
  </si>
  <si>
    <t xml:space="preserve">          Payroll</t>
  </si>
  <si>
    <t>263.i Attach. 5, Line 26, Col. (c)</t>
  </si>
  <si>
    <t xml:space="preserve">          Highway and vehicle</t>
  </si>
  <si>
    <t>263.i Attach. 5, Line 26, Col. (d)</t>
  </si>
  <si>
    <t xml:space="preserve">  PLANT RELATED</t>
  </si>
  <si>
    <t xml:space="preserve">         Property</t>
  </si>
  <si>
    <t>263.i Attach. 5, Line 26, Co.l (e)</t>
  </si>
  <si>
    <t xml:space="preserve">         Gross Receipts</t>
  </si>
  <si>
    <t>263.i Attach. 5, Line 26, Col. (f)</t>
  </si>
  <si>
    <t xml:space="preserve">         Other</t>
  </si>
  <si>
    <t>263.i Attach. 5, Line 26, Col. (g)</t>
  </si>
  <si>
    <t xml:space="preserve">         Payments in lieu of taxes</t>
  </si>
  <si>
    <t>263.i Attach. 5, Line 26, Col. (h)</t>
  </si>
  <si>
    <t>TOTAL OTHER TAXES</t>
  </si>
  <si>
    <t>(Sum of Lines 23 through 29)</t>
  </si>
  <si>
    <t xml:space="preserve">INCOME TAXES          </t>
  </si>
  <si>
    <t xml:space="preserve">     T=1 - {[(1 - SIT) * (1 - FIT)] / (1 - SIT * FIT * p)}</t>
  </si>
  <si>
    <t xml:space="preserve">WCLTD = Page 4, Line 20 </t>
  </si>
  <si>
    <t xml:space="preserve">     CIT=(T/1-T) * (1-(WCLTD/R)) =</t>
  </si>
  <si>
    <t>R = Page 4, Line 23</t>
  </si>
  <si>
    <t xml:space="preserve">     FIT &amp; SIT &amp; P</t>
  </si>
  <si>
    <t>(Note G)</t>
  </si>
  <si>
    <t>Amortized Investment Tax Credit</t>
  </si>
  <si>
    <t>266.8f (enter negative) Attach. 5, Line 26, Col. (i)</t>
  </si>
  <si>
    <t xml:space="preserve">Excess Deferred Income Taxes </t>
  </si>
  <si>
    <t>(enter negative) Attach. 5, Line 26, Col. (j)</t>
  </si>
  <si>
    <t>Tax Effect of Permanent Differences</t>
  </si>
  <si>
    <t>Attach. 5, Line 26, Col. (k) (Note W)</t>
  </si>
  <si>
    <t xml:space="preserve">Income Tax Calculation </t>
  </si>
  <si>
    <t>(Line 33 times Line 46)</t>
  </si>
  <si>
    <t xml:space="preserve">ITC adjustment </t>
  </si>
  <si>
    <t>(Line 36 times Line 37)</t>
  </si>
  <si>
    <t xml:space="preserve">Excess Deferred Income Tax Adjustment </t>
  </si>
  <si>
    <t>(Line 36 times Line 38)</t>
  </si>
  <si>
    <t>Permanent Differences Tax Adjustment</t>
  </si>
  <si>
    <t>(Line 36 times Line 39)</t>
  </si>
  <si>
    <t xml:space="preserve">Total Income Taxes </t>
  </si>
  <si>
    <t>(Sum of Lines 40 through 43)</t>
  </si>
  <si>
    <t xml:space="preserve">RETURN </t>
  </si>
  <si>
    <t>Rate Base times Return</t>
  </si>
  <si>
    <t>(Page 2, Line 37 times Page 4, Line 23)</t>
  </si>
  <si>
    <t>REV. REQUIREMENT</t>
  </si>
  <si>
    <t>(Sum of Lines 14, 20, 30, 44 &amp; 46)</t>
  </si>
  <si>
    <t>page 4 of 5</t>
  </si>
  <si>
    <t xml:space="preserve">                SUPPORTING CALCULATIONS AND NOTES</t>
  </si>
  <si>
    <t>TRANSMISSION PLANT INCLUDED IN ISO RATES</t>
  </si>
  <si>
    <t xml:space="preserve">Total Transmission plant  </t>
  </si>
  <si>
    <t>(Page 2, Line 2, Column 3)</t>
  </si>
  <si>
    <t xml:space="preserve">Less Transmission plant excluded from ISO rates  </t>
  </si>
  <si>
    <t>(Note H)</t>
  </si>
  <si>
    <t xml:space="preserve">Less Transmission plant included in OATT Ancillary Services  </t>
  </si>
  <si>
    <t>(Note I)</t>
  </si>
  <si>
    <t>Transmission plant included in ISO rates</t>
  </si>
  <si>
    <t>(Line 1 minus Lines 2 &amp; 3)</t>
  </si>
  <si>
    <t xml:space="preserve">Percentage of Transmission plant included in ISO Rates  </t>
  </si>
  <si>
    <t>(Line 4 divided by Line 1)</t>
  </si>
  <si>
    <t>TP=</t>
  </si>
  <si>
    <t>WAGES &amp; SALARY ALLOCATOR  (W&amp;S)</t>
  </si>
  <si>
    <t>Form 1 Reference</t>
  </si>
  <si>
    <t>$</t>
  </si>
  <si>
    <t>Allocation</t>
  </si>
  <si>
    <t>354.20.b</t>
  </si>
  <si>
    <t>354.21.b</t>
  </si>
  <si>
    <t>354.23.b</t>
  </si>
  <si>
    <t>W&amp;S Allocator</t>
  </si>
  <si>
    <t xml:space="preserve">  Other</t>
  </si>
  <si>
    <t>354.24,25,26.b</t>
  </si>
  <si>
    <t>($ / Allocation)</t>
  </si>
  <si>
    <t xml:space="preserve"> Total  (W&amp; S Allocator is 1 if lines 7-10 are zero)</t>
  </si>
  <si>
    <t>(Sum of Lines 7 through 10)</t>
  </si>
  <si>
    <t>=</t>
  </si>
  <si>
    <t>WS</t>
  </si>
  <si>
    <t xml:space="preserve">COMMON PLANT ALLOCATOR  (CE)  (Note J and X) </t>
  </si>
  <si>
    <t>% Electric</t>
  </si>
  <si>
    <t xml:space="preserve">  Electric </t>
  </si>
  <si>
    <t>200.3.c</t>
  </si>
  <si>
    <t>(line 13 / line 16)</t>
  </si>
  <si>
    <t>(line 11)</t>
  </si>
  <si>
    <t xml:space="preserve">  Gas</t>
  </si>
  <si>
    <t>201.3.d</t>
  </si>
  <si>
    <t>*</t>
  </si>
  <si>
    <t xml:space="preserve">  Water </t>
  </si>
  <si>
    <t>201.3.e</t>
  </si>
  <si>
    <t xml:space="preserve">  Total</t>
  </si>
  <si>
    <t>(Sum of Lines 13 through 15)</t>
  </si>
  <si>
    <t>RETURN (R)</t>
  </si>
  <si>
    <t>(Note V)</t>
  </si>
  <si>
    <t>Cost</t>
  </si>
  <si>
    <t>%</t>
  </si>
  <si>
    <t>Weighted</t>
  </si>
  <si>
    <t xml:space="preserve">  Long Term Debt </t>
  </si>
  <si>
    <t>(Attachment 5, line 48    Notes Q &amp; R)</t>
  </si>
  <si>
    <t>=WCLTD</t>
  </si>
  <si>
    <t xml:space="preserve">  Preferred Stock  (112.3.c)</t>
  </si>
  <si>
    <t>(Attachment 5, line 49   Notes Q &amp; R)</t>
  </si>
  <si>
    <t xml:space="preserve">  Common Stock</t>
  </si>
  <si>
    <t>(Attachment 5, line 50  Notes K, Q &amp; R)</t>
  </si>
  <si>
    <t xml:space="preserve">Total </t>
  </si>
  <si>
    <t>(Attachment 5, line 51)</t>
  </si>
  <si>
    <t>=R</t>
  </si>
  <si>
    <t>REVENUE CREDITS</t>
  </si>
  <si>
    <t>ACCOUNT 447 (SALES FOR RESALE) (Note L)</t>
  </si>
  <si>
    <r>
      <t>310 -</t>
    </r>
    <r>
      <rPr>
        <sz val="10"/>
        <rFont val="Times New Roman"/>
        <family val="1"/>
      </rPr>
      <t>311</t>
    </r>
  </si>
  <si>
    <t xml:space="preserve">a. Bundled Non-RQ Sales for Resale </t>
  </si>
  <si>
    <t>311.x.h</t>
  </si>
  <si>
    <t xml:space="preserve">b. Bundled Sales for Resale </t>
  </si>
  <si>
    <t xml:space="preserve">Attach 5, line 39, col (a) </t>
  </si>
  <si>
    <t xml:space="preserve">  Total of (a)-(b)</t>
  </si>
  <si>
    <t xml:space="preserve">ACCOUNT 454 (RENT FROM ELECTRIC PROPERTY) </t>
  </si>
  <si>
    <t xml:space="preserve">(Note M) Attach 5, line 39, col (b) </t>
  </si>
  <si>
    <t>ACCOUNT 456.1 (OTHER ELECTRIC REVENUES)</t>
  </si>
  <si>
    <t xml:space="preserve">330.x.n </t>
  </si>
  <si>
    <t xml:space="preserve">a. Transmission charges for all transmission transactions </t>
  </si>
  <si>
    <t xml:space="preserve">Attach 5, line 39, col (c) </t>
  </si>
  <si>
    <t>b. Transmission charges associated with Project detailed on the Project Rev Req Schedule Col. 10.</t>
  </si>
  <si>
    <t xml:space="preserve">Attach 5, line 39, col (d) </t>
  </si>
  <si>
    <t>page 5 of 5</t>
  </si>
  <si>
    <t>General Note:  References to pages in this formulary rate are indicated as:  (page#, line#, col.#)</t>
  </si>
  <si>
    <t>References to data from FERC Form 1 are indicated as:  #.y.x  (page, line, column)</t>
  </si>
  <si>
    <t>Note</t>
  </si>
  <si>
    <t>Letter</t>
  </si>
  <si>
    <t xml:space="preserve">A </t>
  </si>
  <si>
    <t>Reserved</t>
  </si>
  <si>
    <t xml:space="preserve">B </t>
  </si>
  <si>
    <t xml:space="preserve">The balances in Accounts 190, 281, 282 and 283, as adjusted by any amounts in contra accounts identified as regulatory assets or liabilities related to FASB 106 or 109.  Balance of Account 255 is reduced by prior flow throughs and excluded if the utility chose to utilize amortization of tax credits against taxable income.  Account 281 is not allocated.  </t>
  </si>
  <si>
    <t>C</t>
  </si>
  <si>
    <t>Identified in Form 1 as being only transmission related.</t>
  </si>
  <si>
    <t>D</t>
  </si>
  <si>
    <t>Cash Working Capital assigned to transmission is one-eighth of O&amp;M allocated to transmission at page 3, line 14, column 5 minus amortization of Regulatory Asset at page 3, line 11, column 5.  Prepayments are the electric related prepayments booked to Account No. 165 and reported on pages 111, line 57 in the Form 1.</t>
  </si>
  <si>
    <t>E</t>
  </si>
  <si>
    <t xml:space="preserve">Page 3, Line 6 - EPRI Annual Membership Dues listed in Form 1 at 353.f, all Regulatory Commission Expenses itemized at 351.h, and non-safety related advertising included in Account 930.1 found at 323.191.b.  Page 3, Line 7-Regulatory Commission Expenses directly related to transmission service, ISO filings, or transmission siting itemized at 351.h. </t>
  </si>
  <si>
    <t>F</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</si>
  <si>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</si>
  <si>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G</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</si>
  <si>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36).  Excess Deferred Income Taxes reduce income tax expense by the amount of the expense multiplied by (T/1-T).</t>
  </si>
  <si>
    <t xml:space="preserve">         Inputs Required:</t>
  </si>
  <si>
    <t>FIT =</t>
  </si>
  <si>
    <t>SIT=</t>
  </si>
  <si>
    <t>(State Income Tax Rate or Composite SIT)</t>
  </si>
  <si>
    <t>p =</t>
  </si>
  <si>
    <t>(percent of federal income tax deductible for state purposes)</t>
  </si>
  <si>
    <t>H</t>
  </si>
  <si>
    <t>Removes transmission plant determined by Commission order to be state-jurisdictional according to the seven-factor test (until Form 1 balances are adjusted to reflect application of seven-factor test).</t>
  </si>
  <si>
    <t>I</t>
  </si>
  <si>
    <t xml:space="preserve">Removes dollar amount of transmission plant to be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  </t>
  </si>
  <si>
    <t>J</t>
  </si>
  <si>
    <t>Enter dollar amounts</t>
  </si>
  <si>
    <t>K</t>
  </si>
  <si>
    <t>ROE will be supported in the original filing and no change in ROE may be made absent a filing with FERC.</t>
  </si>
  <si>
    <t xml:space="preserve">L </t>
  </si>
  <si>
    <t>Page 4, Line 28 must equal zero since all short-term power sales must be unbundled and the transmission component reflected in Account No. 456.1.</t>
  </si>
  <si>
    <t>M</t>
  </si>
  <si>
    <t>Includes income related only to transmission facilities, such as pole attachments, rentals and special use.</t>
  </si>
  <si>
    <t xml:space="preserve">N </t>
  </si>
  <si>
    <t xml:space="preserve">Company will not have any grandfathered agreements.  Therefore, this line shall remain zero. </t>
  </si>
  <si>
    <t>O</t>
  </si>
  <si>
    <r>
      <t>The revenues credited on page 1 lines 2-6 shall include only the amounts received directly (in the case of grandfathered agreements) or from the ISO (for service under this tariff) reflecting the Transmission Owner's integrated transmission facilities.  Revenue Credits do not include revenues associated with FERC annual charges, gross receipts taxes,</t>
    </r>
    <r>
      <rPr>
        <strike/>
        <sz val="10"/>
        <rFont val="Times New Roman"/>
        <family val="1"/>
      </rPr>
      <t xml:space="preserve"> </t>
    </r>
    <r>
      <rPr>
        <sz val="10"/>
        <rFont val="Times New Roman"/>
        <family val="1"/>
      </rPr>
      <t>facilities not included in this template (e.g., direct assignment facilities and GSUs) the costs of which are not recovered under this Rate Formula Template.</t>
    </r>
  </si>
  <si>
    <t>P</t>
  </si>
  <si>
    <t>Q</t>
  </si>
  <si>
    <r>
      <t xml:space="preserve">Prior to obtaining any debt, the cost of debt will be LIBOR plus 1.5%.  Once any debt is obtained, the formula will use the actual cost of debt determined in Attachment 5.  The capital structure will be 60% equity and 40% debt until NextEra Energy Transmission MidAtlantic, </t>
    </r>
    <r>
      <rPr>
        <sz val="10"/>
        <rFont val="Times New Roman"/>
        <family val="1"/>
      </rPr>
      <t>Inc.’s first transmission project enters service, after which the capital structure will be the actual capital structure.  LIBOR refers to the London Inter Bank Offer Rate from the Federal Reserve Bank of St. Louis's https://fred.stlouisfed.org/.</t>
    </r>
  </si>
  <si>
    <t>R</t>
  </si>
  <si>
    <t>Calculate using 13 month average balance, except ADIT.</t>
  </si>
  <si>
    <t>S</t>
  </si>
  <si>
    <t>Unamortized Abandoned Plant and Amortization of Abandoned Plant will be zero until the Commission accepts or approves recovery of the cost of abandoned plant.  Utility must receive FERC authorization before recovering the cost of abandoned plant.</t>
  </si>
  <si>
    <t>T</t>
  </si>
  <si>
    <t>Recovery of Regulatory Asset is permitted only for pre-commercial expenses incurred prior to the date when NEET MidAtlantic may first recover costs under the PJM Tariff, as authorized by the Commission.  Recovery of any other regulatory assets requires authorization from the Commission. A carrying charge equal to the weighted cost of capital calculated pursuant to this formula will be applied to the Regulatory Asset prior to the rate year when costs are first recovered.</t>
  </si>
  <si>
    <t>U</t>
  </si>
  <si>
    <t>Excludes Asset Retirement Obligation balances</t>
  </si>
  <si>
    <t>V</t>
  </si>
  <si>
    <t>Company shall be allowed recovery of costs related to interest rate locks.  Absent a Section 205 filing, Company shall not include in the Formula Rate, the gains, losses, or costs related to other hedges.</t>
  </si>
  <si>
    <t>W</t>
  </si>
  <si>
    <t>The Tax Effect of Permanent Differences captures the differences in the income taxes due under the Federal and State calculations and the income taxes calculated in Attachment H that are not the result of a timing difference</t>
  </si>
  <si>
    <t>X</t>
  </si>
  <si>
    <t>Calculated on Attachment 4 for the true up and on Attachment 4a for the projection</t>
  </si>
  <si>
    <t>Y</t>
  </si>
  <si>
    <t xml:space="preserve">Unfunded Reserves are customer contributed capital such as when employee vacation expense is accrued but not yet incurred.  Also, pursuant to Special Instructions to Accounts 228.1 through 228.4, </t>
  </si>
  <si>
    <t>no amounts shall be credited to accounts 228.1 through 228.4 unless authorized by a regulatory authority or authorities to be collected in a utility’s rates.</t>
  </si>
  <si>
    <t>Attachment 1</t>
  </si>
  <si>
    <t>Page 1 of 2</t>
  </si>
  <si>
    <t>Project Revenue Requirement Worksheet</t>
  </si>
  <si>
    <t>To be completed in conjunction with Attachment H.</t>
  </si>
  <si>
    <t>Page, Line, Col.</t>
  </si>
  <si>
    <t>Gross Transmission Plant - Total</t>
  </si>
  <si>
    <t>Attach H, p 2, line 2 col 5  (Note A)</t>
  </si>
  <si>
    <t>Net Transmission Plant - Total</t>
  </si>
  <si>
    <t>Attach H, p 2, line 16 col 5 plus line 27 &amp; 29 col 5 (Note B)</t>
  </si>
  <si>
    <t>O&amp;M EXPENSE</t>
  </si>
  <si>
    <t>Total O&amp;M Allocated to Transmission</t>
  </si>
  <si>
    <t>Attach H, p 3, line 14 col 5</t>
  </si>
  <si>
    <t>Annual Allocation Factor for O&amp;M</t>
  </si>
  <si>
    <t>(line 3 divided by line 1 col 3)</t>
  </si>
  <si>
    <t>GENERAL, INTANGIBLE AND COMMON (G&amp;C) DEPRECIATION EXPENSE</t>
  </si>
  <si>
    <t>5</t>
  </si>
  <si>
    <t>Total G, I &amp; C Depreciation Expense</t>
  </si>
  <si>
    <t>Attach H, p 3, lines 17 &amp; 18, col 5 (Note H)</t>
  </si>
  <si>
    <t>6</t>
  </si>
  <si>
    <t>Annual Allocation Factor for G, I &amp; C Depreciation Expense</t>
  </si>
  <si>
    <t>(line 5 divided by line 1 col 3)</t>
  </si>
  <si>
    <t>TAXES OTHER THAN INCOME TAXES</t>
  </si>
  <si>
    <t>7</t>
  </si>
  <si>
    <t>Total Other Taxes</t>
  </si>
  <si>
    <t>Attach H, p 3, line 30 col 5</t>
  </si>
  <si>
    <t>8</t>
  </si>
  <si>
    <t>Annual Allocation Factor for Other Taxes</t>
  </si>
  <si>
    <t>(line 7 divided by line 1 col 3)</t>
  </si>
  <si>
    <t>9</t>
  </si>
  <si>
    <t>Less Revenue Credits</t>
  </si>
  <si>
    <t>Attach H, p 1, line 7 col 5</t>
  </si>
  <si>
    <t>10</t>
  </si>
  <si>
    <t>Annual Allocation Factor Revenue Credits</t>
  </si>
  <si>
    <t>(line 9 divided by line 1 col 3)</t>
  </si>
  <si>
    <t>11</t>
  </si>
  <si>
    <t>Annual Allocation Factor for Expense</t>
  </si>
  <si>
    <t>Sum of line 4, 6, 8, and 10</t>
  </si>
  <si>
    <t>INCOME TAXES</t>
  </si>
  <si>
    <t>12</t>
  </si>
  <si>
    <t>Total Income Taxes</t>
  </si>
  <si>
    <t>Attach H, p 3, line 44 col 5</t>
  </si>
  <si>
    <t>13</t>
  </si>
  <si>
    <t>Annual Allocation Factor for Income Taxes</t>
  </si>
  <si>
    <t>(line 12 divided by line 2 col 3)</t>
  </si>
  <si>
    <t>14</t>
  </si>
  <si>
    <t>Return on Rate Base</t>
  </si>
  <si>
    <t>Attach H, p 3, line 46 col 5</t>
  </si>
  <si>
    <t>15</t>
  </si>
  <si>
    <t>Annual Allocation Factor for Return on Rate Base</t>
  </si>
  <si>
    <t>(line 14 divided by line 2 col 3)</t>
  </si>
  <si>
    <t>16</t>
  </si>
  <si>
    <t>Annual Allocation Factor for Return</t>
  </si>
  <si>
    <t>Sum of line 13 and 15</t>
  </si>
  <si>
    <t>Page 2 of 2</t>
  </si>
  <si>
    <t xml:space="preserve"> (12a)</t>
  </si>
  <si>
    <t>(14)</t>
  </si>
  <si>
    <t>(15)</t>
  </si>
  <si>
    <t>(16)</t>
  </si>
  <si>
    <t>Line No.</t>
  </si>
  <si>
    <t xml:space="preserve">Project Name </t>
  </si>
  <si>
    <t>RTO Project Number</t>
  </si>
  <si>
    <t xml:space="preserve">Project Gross Plant </t>
  </si>
  <si>
    <t>Annual Expense Charge</t>
  </si>
  <si>
    <t>Project Net Plant or CWIP Balance</t>
  </si>
  <si>
    <t>Annual Return Charge</t>
  </si>
  <si>
    <t>Project Depreciation/Amortization Expense</t>
  </si>
  <si>
    <t>Annual Revenue Requirement</t>
  </si>
  <si>
    <t>Incentive Return in basis Points</t>
  </si>
  <si>
    <t>Incentive Return</t>
  </si>
  <si>
    <t>Ceiling Rate</t>
  </si>
  <si>
    <t>Competitive Bid Concession</t>
  </si>
  <si>
    <t>Total Annual Revenue Requirement</t>
  </si>
  <si>
    <t>True-Up Adjustment</t>
  </si>
  <si>
    <t>Net Rev Req</t>
  </si>
  <si>
    <t>(Note C)</t>
  </si>
  <si>
    <t>(Page 1 line 11)</t>
  </si>
  <si>
    <t>(Col. 3 * Col. 4)</t>
  </si>
  <si>
    <t>(Notes D &amp; I)</t>
  </si>
  <si>
    <t>(Page 1 line 16)</t>
  </si>
  <si>
    <t>(Col. 6 * Col. 7)</t>
  </si>
  <si>
    <t>(Notes E &amp; I)</t>
  </si>
  <si>
    <t>(Sum Col. 5, 8 &amp; 9)</t>
  </si>
  <si>
    <t>(Note K)</t>
  </si>
  <si>
    <t>(Attachment 2, Line 28 /100 * Col. 11)</t>
  </si>
  <si>
    <t>(Sum Col. 10 &amp; 12)</t>
  </si>
  <si>
    <t>(Note J)</t>
  </si>
  <si>
    <t>(Sum Col. 10 &amp; 12 Less Col. 13)</t>
  </si>
  <si>
    <t>Sum Col. 14 &amp; 15 
(Note G)</t>
  </si>
  <si>
    <t>15a</t>
  </si>
  <si>
    <t>Lake County and Porter County, Indiana Assets</t>
  </si>
  <si>
    <t>15b</t>
  </si>
  <si>
    <t>15c</t>
  </si>
  <si>
    <t>Annual Totals</t>
  </si>
  <si>
    <t>A</t>
  </si>
  <si>
    <t>Gross Transmission Plant is that identified on page 2 line 2 of Attachment H</t>
  </si>
  <si>
    <t>B</t>
  </si>
  <si>
    <t>Inclusive of any CWIP or unamortized abandoned plant included in rate base when authorized by FERC order less any prefunded AFUDC, if applicable.</t>
  </si>
  <si>
    <t xml:space="preserve">Project Gross Plant is the total capital investment for the project calculated in the same method as the gross plant value in line 1.  This value includes subsequent capital investments required to maintain the facilities to their original capabilities.  </t>
  </si>
  <si>
    <t xml:space="preserve"> Gross plant does not include Unamortized Abandoned Plant.</t>
  </si>
  <si>
    <t>Project Net Plant is the Project Gross Plant Identified in Column 3 less the associated Accumulated Depreciation.  Net Plant includes CWIP and Unamortized Abandoned Plant and excludes any regulatory asset, which are to entered as a separate line item.</t>
  </si>
  <si>
    <t>Project Depreciation Expense is the actual value booked for the project and included in the Depreciation Expense in Attachment H, page 3, line 16.  Project Depreciation Expense includes the amortization of Abandoned Plant</t>
  </si>
  <si>
    <t>True-Up Adjustment is calculated on the Project True-up Schedule for the Rate Year</t>
  </si>
  <si>
    <t>The Net Rev Req is the value to be used in the rate calculation under the applicable Schedule under the PJM OATT for each project.</t>
  </si>
  <si>
    <t>The Total General, Intangible and Common Depreciation Expense excludes any depreciation expense directly associated with a project and thereby included in page 2 column 9.</t>
  </si>
  <si>
    <t>The Unamortized Abandoned Plant balance is included in Net Plant, and Amortization of Abandoned Plant is included in Depreciation/Amortization Expense.</t>
  </si>
  <si>
    <t>The Competitive Bid Concession is the reduction in revenue, if any, that the company agreed to, for instance, to be selected to build facilities as the result of a competitive process and equals the amount by which the annual revenue requirement is reduced from the ceiling rate</t>
  </si>
  <si>
    <t>Requires approval by FERC of incentive return applicable to the specified project(s)</t>
  </si>
  <si>
    <t>All facilities other than those being recovered under Schedules 7, 8, 9 are to be included in Attachment 1.</t>
  </si>
  <si>
    <t>N</t>
  </si>
  <si>
    <t xml:space="preserve">Facilities that provide Wholesale Distribution Service are not to be listed as projects on lines 15, the revenue requirements associated with these facilities are calculated on Attachment 11 </t>
  </si>
  <si>
    <t>When an updated projected net revenue requirement is posted due to an asset acquisition as provided for in the Protocols, the difference between the updated net revenue requirement in Col (16) and the revenues collected to date will be recovered</t>
  </si>
  <si>
    <t>over the remaining months of the Rate Year.</t>
  </si>
  <si>
    <t>Attachment 2</t>
  </si>
  <si>
    <t>Page 1 of 1</t>
  </si>
  <si>
    <t>Incentive ROE</t>
  </si>
  <si>
    <t>Rate Base</t>
  </si>
  <si>
    <t xml:space="preserve">Attachment H, Page 2 line 37, Col.5 </t>
  </si>
  <si>
    <t>100 Basis Point Incentive Return</t>
  </si>
  <si>
    <t>(Attachment H, Notes Q and R)</t>
  </si>
  <si>
    <t xml:space="preserve">  Preferred Stock  </t>
  </si>
  <si>
    <t>(Attachment H, Notes K, Q and R)</t>
  </si>
  <si>
    <t>Cost = Attachment H, Page 4 Line 22, Cost plus .01</t>
  </si>
  <si>
    <t>Total  (sum lines 3-5)</t>
  </si>
  <si>
    <t>100 Basis Point Incentive Return multiplied by Rate Base (line 1 * line 6)</t>
  </si>
  <si>
    <t xml:space="preserve">     T=1 - {[(1 - SIT) * (1 - FIT)] / (1 - SIT * FIT * p)} =</t>
  </si>
  <si>
    <t xml:space="preserve">      WCLTD = Line 3</t>
  </si>
  <si>
    <t xml:space="preserve">       and FIT, SIT &amp; p are as given in footnote K.</t>
  </si>
  <si>
    <t>Amortized Investment Tax Credit (266.8f) (enter negative)</t>
  </si>
  <si>
    <t>Attachment H, Page 3, Line 37</t>
  </si>
  <si>
    <t>Excess Deferred Income Taxes (enter negative)</t>
  </si>
  <si>
    <t>Attachment H, Page 3, Line 38</t>
  </si>
  <si>
    <t>Tax Effect of Permanent Differences  (Note B)</t>
  </si>
  <si>
    <t>Attachment H, Page 3, Line 39</t>
  </si>
  <si>
    <t>Return and Income Taxes with 100 basis point increase in ROE</t>
  </si>
  <si>
    <t>(Sum lines 7 &amp; 21)</t>
  </si>
  <si>
    <t>Return    (Attach. H, page 3 line 46 col 5)</t>
  </si>
  <si>
    <t>Income Tax    (Attach. H, page 3 line 44 col 5)</t>
  </si>
  <si>
    <t>Return and Income Taxes without 100 basis point increase in ROE</t>
  </si>
  <si>
    <t>(Sum lines 23 &amp; 24)</t>
  </si>
  <si>
    <t>Incremental Return and Income Taxes for 100 basis point increase in ROE</t>
  </si>
  <si>
    <t>(Line 22 - line 25)</t>
  </si>
  <si>
    <t>Rate Base (line 1)</t>
  </si>
  <si>
    <t>Incremental Return and Income Taxes for 100 basis point increase in ROE divided by Rate Base</t>
  </si>
  <si>
    <t>(Line 26 / line 27)</t>
  </si>
  <si>
    <t xml:space="preserve">Notes: </t>
  </si>
  <si>
    <t>Line 5 includes a 100 basis point increase in ROE that is used only to determine the increase in return and income taxes associated with</t>
  </si>
  <si>
    <t>a 100 basis point increase in ROE.  Any actual ROE incentive must be approved by the Commission.</t>
  </si>
  <si>
    <t>For example, if the Commission were to grant a 137 basis point ROE incentive, the increase in return and taxes for a 100 basis point</t>
  </si>
  <si>
    <t>increase in ROE would be multiplied by 1.37 on Attachment 1 column 12.</t>
  </si>
  <si>
    <t>The Tax Effect of Permanent Differences captures the differences in the income taxes due under the Federal and State calculations and the income taxes calculated</t>
  </si>
  <si>
    <t xml:space="preserve"> in Attachment H that are not the result of a timing difference</t>
  </si>
  <si>
    <t>Attachment 3</t>
  </si>
  <si>
    <t>Project True-Up</t>
  </si>
  <si>
    <t>Revenue Requirement Projected</t>
  </si>
  <si>
    <t>Actual Revenue</t>
  </si>
  <si>
    <t>Rate Year being Trued-Up</t>
  </si>
  <si>
    <t>For Rate Year</t>
  </si>
  <si>
    <r>
      <t>Revenue Received</t>
    </r>
    <r>
      <rPr>
        <vertAlign val="superscript"/>
        <sz val="10"/>
        <color theme="1"/>
        <rFont val="Times New Roman"/>
        <family val="1"/>
      </rPr>
      <t>3</t>
    </r>
  </si>
  <si>
    <t>Requirement</t>
  </si>
  <si>
    <t>Annual True-Up Calculation</t>
  </si>
  <si>
    <t>% of</t>
  </si>
  <si>
    <t>Projected</t>
  </si>
  <si>
    <t xml:space="preserve">Revenue </t>
  </si>
  <si>
    <t>Actual</t>
  </si>
  <si>
    <t xml:space="preserve">Net </t>
  </si>
  <si>
    <t>Interest</t>
  </si>
  <si>
    <t xml:space="preserve"> Project #</t>
  </si>
  <si>
    <t>Net Revenue</t>
  </si>
  <si>
    <t>Revenue</t>
  </si>
  <si>
    <t>Received</t>
  </si>
  <si>
    <t>Under/(Over)</t>
  </si>
  <si>
    <t>Prior Period</t>
  </si>
  <si>
    <t>Income</t>
  </si>
  <si>
    <t>Total True-Up</t>
  </si>
  <si>
    <t>Or Other Identifier</t>
  </si>
  <si>
    <t>Project Name</t>
  </si>
  <si>
    <r>
      <t>Requirement</t>
    </r>
    <r>
      <rPr>
        <vertAlign val="superscript"/>
        <sz val="10"/>
        <color theme="1"/>
        <rFont val="Times New Roman"/>
        <family val="1"/>
      </rPr>
      <t>1</t>
    </r>
  </si>
  <si>
    <t>(E, Line 2 ) x (D)</t>
  </si>
  <si>
    <r>
      <t>Requirement</t>
    </r>
    <r>
      <rPr>
        <vertAlign val="superscript"/>
        <sz val="10"/>
        <color theme="1"/>
        <rFont val="Times New Roman"/>
        <family val="1"/>
      </rPr>
      <t>2</t>
    </r>
  </si>
  <si>
    <t>Collection  (F)-(E)</t>
  </si>
  <si>
    <r>
      <t xml:space="preserve">Adjustment </t>
    </r>
    <r>
      <rPr>
        <vertAlign val="superscript"/>
        <sz val="10"/>
        <rFont val="Times New Roman"/>
        <family val="1"/>
      </rPr>
      <t>5</t>
    </r>
  </si>
  <si>
    <r>
      <t>(Expense)</t>
    </r>
    <r>
      <rPr>
        <vertAlign val="superscript"/>
        <sz val="10"/>
        <color theme="1"/>
        <rFont val="Times New Roman"/>
        <family val="1"/>
      </rPr>
      <t>4</t>
    </r>
  </si>
  <si>
    <t>(G) + (H) + (I)</t>
  </si>
  <si>
    <t>3a</t>
  </si>
  <si>
    <t>3b</t>
  </si>
  <si>
    <t>3c</t>
  </si>
  <si>
    <t>Total Annual Revenue Requirements (Note A)</t>
  </si>
  <si>
    <t>Monthly Interest Rate</t>
  </si>
  <si>
    <t>Interest Income (Expense)</t>
  </si>
  <si>
    <t>Notes:</t>
  </si>
  <si>
    <t>1) From Attachment 1, line 15, col. 14 for the projection for the Rate Year.</t>
  </si>
  <si>
    <t>2) From Attachment 1, line 15, col. 14 for that project based on the actual costs for the Rate Year.</t>
  </si>
  <si>
    <t>3) The "Revenue Received" on line 2, Col. (E), is the total amount of revenue distributed to company in the  year as shown on  pages 328-330 of the Form No 1. The Revenue Received is input on line 2, Col. E excludes any True-Up revenues.</t>
  </si>
  <si>
    <t xml:space="preserve">      Column E, lines 3 are the dollar amounts of Revenue Received reflecting the % in Column D.  This assigns to each project a percentage of the revenue received based on the percentage of the Projected Net Revenue Requirement in Column C.</t>
  </si>
  <si>
    <t xml:space="preserve">      Column D, lines 3 are sourced from the projected revenue requirement for the year at issue.</t>
  </si>
  <si>
    <t xml:space="preserve">4) Interest from Attachment 6. </t>
  </si>
  <si>
    <t>5)  Prior Period Adjustment from line 5 is pro rata  to each project, unless the error was project specific.</t>
  </si>
  <si>
    <t>Prior Period Adjustment</t>
  </si>
  <si>
    <t>(a)</t>
  </si>
  <si>
    <t>(b)</t>
  </si>
  <si>
    <t>(c)</t>
  </si>
  <si>
    <t>(d)</t>
  </si>
  <si>
    <t>(Note B)</t>
  </si>
  <si>
    <t>In Dollars</t>
  </si>
  <si>
    <t>Note B</t>
  </si>
  <si>
    <t>Col. (b) + Col. (c)</t>
  </si>
  <si>
    <t>For each project or Attachment H, the utility will populate the formula rate with the inputs for the True-Up Year.  The revenue requirements, based on actual operating results for the True-Up Year, associated with the projects and Attachment H will then be entered in Col. (F) above.  Column (E) above contains the actual revenues received associated with Attachment H and any Projects paid by the RTO to the utility during the True-Up Year.   Then in Col. (G), Col. (E) is subtracted from Col. (F) to calculate the True-up Adjustment.  The Prior Period Adjustment from Line 5 below is input in Col. (H).  Column (I) is the applicable interest rate from Attachment 6.  Column (I) adds the interest on the sum of Col.(G) and  (H).  Col. (J) is the sum of Col. (G), (H), and (I).</t>
  </si>
  <si>
    <t>Prior Period Adjustment is the amount of an adjustment to correct an error in a prior period.  The FERC Refund interest rate specified in CFR 35.19(a) for the period up to the date the projected rates that are subject to True Up here went into effect.</t>
  </si>
  <si>
    <t>Attachment 4</t>
  </si>
  <si>
    <t xml:space="preserve">Rate Base Worksheet </t>
  </si>
  <si>
    <t>Gross Plant In Service</t>
  </si>
  <si>
    <t>CWIP</t>
  </si>
  <si>
    <t>LHFFU</t>
  </si>
  <si>
    <t>Working Capital</t>
  </si>
  <si>
    <t>Accumulated Depreciation</t>
  </si>
  <si>
    <t>Line No</t>
  </si>
  <si>
    <t>Month</t>
  </si>
  <si>
    <t>General &amp; Intangible</t>
  </si>
  <si>
    <t xml:space="preserve">CWIP in Rate Base </t>
  </si>
  <si>
    <t>Held for Future Use</t>
  </si>
  <si>
    <t xml:space="preserve">  Prepayments</t>
  </si>
  <si>
    <t>(e)</t>
  </si>
  <si>
    <t>(f)</t>
  </si>
  <si>
    <t>(g)</t>
  </si>
  <si>
    <t>(h)</t>
  </si>
  <si>
    <t>(i)</t>
  </si>
  <si>
    <t>Attachment H, Page 2, Line No:</t>
  </si>
  <si>
    <t>207.58.g for end of year, records for other months</t>
  </si>
  <si>
    <t>205.5.g &amp; 207.99.g for end of year, records for other months</t>
  </si>
  <si>
    <t>214.x.d for end of year, records for other months</t>
  </si>
  <si>
    <t>227.8.c &amp; 227.16.c for end of year, records for other months</t>
  </si>
  <si>
    <t>111.57.c for end of year, records for other months</t>
  </si>
  <si>
    <t>219.25.c for end of year, records for other months</t>
  </si>
  <si>
    <t>219.28.c &amp; 200.21.c for end of year, records for other months</t>
  </si>
  <si>
    <t>December Prior Year</t>
  </si>
  <si>
    <t>January</t>
  </si>
  <si>
    <t>February</t>
  </si>
  <si>
    <t xml:space="preserve">March </t>
  </si>
  <si>
    <t>April</t>
  </si>
  <si>
    <t>May</t>
  </si>
  <si>
    <t>June</t>
  </si>
  <si>
    <t>July</t>
  </si>
  <si>
    <t xml:space="preserve">August </t>
  </si>
  <si>
    <t>September</t>
  </si>
  <si>
    <t>October</t>
  </si>
  <si>
    <t>November</t>
  </si>
  <si>
    <t xml:space="preserve">December </t>
  </si>
  <si>
    <t xml:space="preserve">Average of the 13 Monthly Balances </t>
  </si>
  <si>
    <t>Adjustments to Rate Base</t>
  </si>
  <si>
    <t xml:space="preserve">Unamortized Regulatory Asset </t>
  </si>
  <si>
    <t xml:space="preserve">Unamortized Abandoned Plant  </t>
  </si>
  <si>
    <t>Account No. 281
Accumulated Deferred Income Taxes (Note D)</t>
  </si>
  <si>
    <t>Account No. 282
Accumulated Deferred Income Taxes (Note D)</t>
  </si>
  <si>
    <t>Account No. 283
Accumulated Deferred Income Taxes (Note D)</t>
  </si>
  <si>
    <t>Account No. 190
Accumulated Deferred Income Taxes (Note D)</t>
  </si>
  <si>
    <t>Account No. 255
Accumulated Deferred Investment Credit</t>
  </si>
  <si>
    <t>Notes A &amp; E</t>
  </si>
  <si>
    <t>Notes B &amp; F</t>
  </si>
  <si>
    <t>272.8.b &amp; 273.8.k</t>
  </si>
  <si>
    <t>274.2.b &amp; 275.2.k</t>
  </si>
  <si>
    <t>276.9.b &amp; 277.9.k</t>
  </si>
  <si>
    <t>234.8.b &amp; c</t>
  </si>
  <si>
    <t>Consistent with 266.8.b &amp; 267.8.h</t>
  </si>
  <si>
    <t>Average of the 13 Monthly Balances</t>
  </si>
  <si>
    <t>Unfunded Reserves    (Notes G &amp; H)</t>
  </si>
  <si>
    <t>List of all reserves:</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</si>
  <si>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</si>
  <si>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</si>
  <si>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Enter the percentage paid for by the transmission formula customers</t>
  </si>
  <si>
    <t xml:space="preserve">Allocation (Plant or Labor Allocator) </t>
  </si>
  <si>
    <t>Amount Allocated, col. c x col. d x col. e x col. f x col. g</t>
  </si>
  <si>
    <t>30a</t>
  </si>
  <si>
    <t>Reserve 1</t>
  </si>
  <si>
    <t>30b</t>
  </si>
  <si>
    <t>Reserve 2</t>
  </si>
  <si>
    <t>30c</t>
  </si>
  <si>
    <t>Reserve 3</t>
  </si>
  <si>
    <t>30d</t>
  </si>
  <si>
    <t>Reserve 4</t>
  </si>
  <si>
    <t>30e</t>
  </si>
  <si>
    <t>…</t>
  </si>
  <si>
    <t>30f</t>
  </si>
  <si>
    <t>Recovery of regulatory asset is limited to any regulatory assets authorized by FERC.</t>
  </si>
  <si>
    <t>Recovery of abandoned plant is limited to any abandoned plant recovery authorized by FERC.</t>
  </si>
  <si>
    <r>
      <t>Includes only CWIP authorized by the Commission for inclusion in rate base.  The annual report filed pursuant to Section 6</t>
    </r>
    <r>
      <rPr>
        <sz val="10"/>
        <rFont val="Times New Roman"/>
        <family val="1"/>
      </rPr>
      <t xml:space="preserve"> of the Protocols will include for each project under construction (i) the CWIP balance eligible for inclusion in rate base; (ii) the CWIP balance ineligible for inclusion in rate base; and</t>
    </r>
  </si>
  <si>
    <t xml:space="preserve"> (iii) a demonstration that AFUDC is only applied to the CWIP balance that is not included in rate base.  The annual report will reconcile the project-specific CWIP balances to the total Account 107 CWIP balance reported on p. 216.b of the FERC Form 1.   The demonstartion in (iii) above</t>
  </si>
  <si>
    <t xml:space="preserve">  will show that monthly debts and credits do not contain entries for AFUDC for each CWIP project in ratebase. </t>
  </si>
  <si>
    <t>ADIT and Accumulated Deferred Income Tax Credits are computed using the average of the beginning of the year and the end of the year balances. The projection will use line 108 of Attachment 4a to populate the average ADIT balance on line 28 above.</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</si>
  <si>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A carrying charge equal to the weighted cost of capital will be applied to the Regulatory Asset prior to the rate year when costs are first recovered. </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</si>
  <si>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</si>
  <si>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30 above.  The allocator in Col. (g) will be the same allocator used in the formula for the cost accruals to the account that is recovered under the Formula Rate.  Since reserves can be created by an offsetting balance sheet account, rather than through cost accruals, the amount to be deducted from rate base should exclude the portion offset by another balance sheet account.</t>
  </si>
  <si>
    <t>Attachment 4a - Accumulated Deferred Income Taxes</t>
  </si>
  <si>
    <t>Year Ended December 31, 2020</t>
  </si>
  <si>
    <t>Rate Year =</t>
  </si>
  <si>
    <t>Projected 2020</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</si>
  <si>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</si>
  <si>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</si>
  <si>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</si>
  <si>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</si>
  <si>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</si>
  <si>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</si>
  <si>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</si>
  <si>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</si>
  <si>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</si>
  <si>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</si>
  <si>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</si>
  <si>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March</t>
  </si>
  <si>
    <t>August</t>
  </si>
  <si>
    <t>December</t>
  </si>
  <si>
    <t>Beginning Balance</t>
  </si>
  <si>
    <t>234.8.b</t>
  </si>
  <si>
    <t>Less non Prorated Items</t>
  </si>
  <si>
    <t>Beginning Balance of Prorated items</t>
  </si>
  <si>
    <t>Ending Balance</t>
  </si>
  <si>
    <t>234.8.c</t>
  </si>
  <si>
    <t>Ending Balance of Prorated items</t>
  </si>
  <si>
    <t>Average Balance</t>
  </si>
  <si>
    <t>Less FASB 106 &amp; 109 Items</t>
  </si>
  <si>
    <t>Attachment H, Footnote B</t>
  </si>
  <si>
    <t>Amount for Attachment 4</t>
  </si>
  <si>
    <t>Account 281</t>
  </si>
  <si>
    <t>274.b</t>
  </si>
  <si>
    <t>275.k</t>
  </si>
  <si>
    <t>Account 282</t>
  </si>
  <si>
    <t xml:space="preserve">Less non Prorated Items </t>
  </si>
  <si>
    <t>Account 283</t>
  </si>
  <si>
    <t>276.b</t>
  </si>
  <si>
    <t>277.k</t>
  </si>
  <si>
    <t>Attachment 5</t>
  </si>
  <si>
    <t>Attachment H, Pages 3 and 4, Worksheet</t>
  </si>
  <si>
    <t>Transmission O&amp;M Expenses</t>
  </si>
  <si>
    <t>Account No. 566 (Misc. Trans. Expense)</t>
  </si>
  <si>
    <t>Account No. 565</t>
  </si>
  <si>
    <t>A&amp;G Expenses</t>
  </si>
  <si>
    <t>FERC Annual Fees</t>
  </si>
  <si>
    <t>EPRI &amp; Reg. Comm. Exp. &amp; Non-safety  Ad.</t>
  </si>
  <si>
    <t>Transmission Related Reg. Comm. Exp.</t>
  </si>
  <si>
    <t>Transmission Lease Payments</t>
  </si>
  <si>
    <t>Amortization of Regulatory Asset</t>
  </si>
  <si>
    <t>Depreciation Expense - Transmission</t>
  </si>
  <si>
    <t>(j)</t>
  </si>
  <si>
    <t>(k)</t>
  </si>
  <si>
    <t>Attachment H, Page 3, Line No.:</t>
  </si>
  <si>
    <t>Form No. 1</t>
  </si>
  <si>
    <t>321.112.b</t>
  </si>
  <si>
    <t>321.97.b</t>
  </si>
  <si>
    <t>321.96.b</t>
  </si>
  <si>
    <t>323.197.b</t>
  </si>
  <si>
    <t>(Note E)</t>
  </si>
  <si>
    <t>Portion of Transmission O&amp;M</t>
  </si>
  <si>
    <t>Portion of Account 566</t>
  </si>
  <si>
    <t>Balance of Account 566</t>
  </si>
  <si>
    <t>336.7.b, d &amp; e</t>
  </si>
  <si>
    <t>1</t>
  </si>
  <si>
    <t>2</t>
  </si>
  <si>
    <t>3</t>
  </si>
  <si>
    <t>4</t>
  </si>
  <si>
    <t>Depreciation Expense - General &amp; Intangible</t>
  </si>
  <si>
    <t>Amortization of Abandoned Plant</t>
  </si>
  <si>
    <t>Payroll Taxes</t>
  </si>
  <si>
    <t>Highway &amp; Vehicle Taxes</t>
  </si>
  <si>
    <t>Property Taxes</t>
  </si>
  <si>
    <t>Gross Receipts Taxes</t>
  </si>
  <si>
    <t>Other Taxes</t>
  </si>
  <si>
    <t>Payments in lieu of Taxes</t>
  </si>
  <si>
    <t>Amortized Investment Tax Credit (266.8f)</t>
  </si>
  <si>
    <t>Excess Deferred Income Taxes</t>
  </si>
  <si>
    <t>Attachment H, Page 3, Line Number</t>
  </si>
  <si>
    <t>336.10.b, d &amp; e, 336.1.b, d &amp; e</t>
  </si>
  <si>
    <t>(Note S)</t>
  </si>
  <si>
    <t>263.i</t>
  </si>
  <si>
    <t>266.8.f</t>
  </si>
  <si>
    <t>(Note W)</t>
  </si>
  <si>
    <t>17</t>
  </si>
  <si>
    <t>18</t>
  </si>
  <si>
    <t>19</t>
  </si>
  <si>
    <t>20</t>
  </si>
  <si>
    <t>21</t>
  </si>
  <si>
    <t>22</t>
  </si>
  <si>
    <t>23</t>
  </si>
  <si>
    <t>24</t>
  </si>
  <si>
    <t>25</t>
  </si>
  <si>
    <t>26</t>
  </si>
  <si>
    <t>Bundled Sales for Resale  included on page 4 of Attachment H</t>
  </si>
  <si>
    <t xml:space="preserve">Transmission charges for all transmission transactions </t>
  </si>
  <si>
    <t>Transmission charges associated with Project detailed on the Project Rev Req Schedule Col. 10.</t>
  </si>
  <si>
    <t>Attachment H, Page 4, Line No:</t>
  </si>
  <si>
    <t>29</t>
  </si>
  <si>
    <t>Attach H, p 1 line 4</t>
  </si>
  <si>
    <t>(Note L)</t>
  </si>
  <si>
    <t>(Note M)</t>
  </si>
  <si>
    <t>Portion of Account 456.1</t>
  </si>
  <si>
    <t>Notes K, Q &amp; R from Attachment H</t>
  </si>
  <si>
    <t>Long Term Interest (117, sum of 62.c through 67.c, Note A)</t>
  </si>
  <si>
    <t>Preferred Dividends (118.29c) (positive number)</t>
  </si>
  <si>
    <t>Proprietary Capital (112.16.c)</t>
  </si>
  <si>
    <t xml:space="preserve">Less Preferred Stock (line 49) </t>
  </si>
  <si>
    <t>Less Account 216.1 (112.12.c)  (enter negative)</t>
  </si>
  <si>
    <t>Common Stock</t>
  </si>
  <si>
    <t>(sum lines 41-43)</t>
  </si>
  <si>
    <t>Note A</t>
  </si>
  <si>
    <t xml:space="preserve">Note C  </t>
  </si>
  <si>
    <t>(Sum of Lines 48-50)</t>
  </si>
  <si>
    <t>Note:</t>
  </si>
  <si>
    <t>Long Term Debt balance will reflect the 13 month average of the balances, of which the 1st and 13th are found on page 112 lines 18.c &amp; d to 21.c &amp; d in the Form No. 1.  The cost is calculated by dividing line 42 by the Long Term Debt balance in line 48.</t>
  </si>
  <si>
    <t>In the event there is a construction loan, line 42 will also include the interest and line 48 will also include the outstanding amounts associated with any short term construction financing, prior to the issuance of long term debt.</t>
  </si>
  <si>
    <t>Preferred Stock balance will reflect the 13 month average of the balances, of which the 1st and 13th are found on page 112 line 3.c &amp; d in the Form No. 1</t>
  </si>
  <si>
    <t>Common Stock balance will reflect the 13 month average of the balances, of which the 1st and 13th are found on page 112 lines 3.c &amp; d,  12.c &amp; d, and 16.c &amp; d in the Form No. 1 as shown on lines 41-44 above</t>
  </si>
  <si>
    <t>Attachment 6</t>
  </si>
  <si>
    <t>True-Up Interest Rate</t>
  </si>
  <si>
    <t>[A]</t>
  </si>
  <si>
    <t>[B]</t>
  </si>
  <si>
    <t>[C]</t>
  </si>
  <si>
    <t>[D]</t>
  </si>
  <si>
    <t>Quarter (Note A)</t>
  </si>
  <si>
    <t>FERC Quarterly Interest Rate</t>
  </si>
  <si>
    <t>Short Term Debt Rate</t>
  </si>
  <si>
    <t>Rate for Surcharges (Note A (3))</t>
  </si>
  <si>
    <t>Rate for Refunds (column A)</t>
  </si>
  <si>
    <t>1st Qtr</t>
  </si>
  <si>
    <t xml:space="preserve">2nd Qtr </t>
  </si>
  <si>
    <t xml:space="preserve">3rd Qtr </t>
  </si>
  <si>
    <t>4th Qtr.</t>
  </si>
  <si>
    <t xml:space="preserve">1st Qtr </t>
  </si>
  <si>
    <t xml:space="preserve">Average of lines 1-7 above </t>
  </si>
  <si>
    <t>Note A:</t>
  </si>
  <si>
    <t>(1) The FERC Quarterly Interest Rate in column [A] is the interest applicable to the quarter indicated.</t>
  </si>
  <si>
    <t>(2) The Short Term Debt Rate in column [B] is the weighted average Short Term Debt cost applicable to the quarter indicated.</t>
  </si>
  <si>
    <t>(3) The Rate for Surcharges is the lesser of Column A or B if short term debt is issued in the quarter and Column A if there is no short term debt issued in a quarter</t>
  </si>
  <si>
    <t>Year</t>
  </si>
  <si>
    <t>L</t>
  </si>
  <si>
    <t>Date Payments Received</t>
  </si>
  <si>
    <t>Rate (line 8)</t>
  </si>
  <si>
    <t>11a</t>
  </si>
  <si>
    <t>11b</t>
  </si>
  <si>
    <t>11c</t>
  </si>
  <si>
    <t xml:space="preserve">Interest is calculated by taking the interest rate in line 8 and applying it monthly to the balances in Column C-N (i.e., for January 12/12* Column O, February 11/12* Column O, etc.) </t>
  </si>
  <si>
    <t xml:space="preserve">   plus the interest rate in line 8 times 1.5 times the sum of the balances for January through December.   </t>
  </si>
  <si>
    <t>Attachment 7</t>
  </si>
  <si>
    <t>PBOPs</t>
  </si>
  <si>
    <t>Calculation of PBOP Expenses</t>
  </si>
  <si>
    <t>NextEra</t>
  </si>
  <si>
    <t>Total PBOP expenses (Note A)</t>
  </si>
  <si>
    <t>Labor dollars (total labor under PBOP Plan, Note A)</t>
  </si>
  <si>
    <t>Cost per labor dollar (line2 / line3)</t>
  </si>
  <si>
    <t>labor expensed (labor not capitalized) in current year, 354.28.b.</t>
  </si>
  <si>
    <t>PBOP Expense for current year</t>
  </si>
  <si>
    <t>(line 4 * line 5)</t>
  </si>
  <si>
    <t xml:space="preserve">Lines 2-3 cannot change absent approval or acceptance by FERC in a separate proceeding. </t>
  </si>
  <si>
    <t>PBOP amount included in Company's O&amp;M and A&amp;G expenses included in FERC Account Nos. 500-935</t>
  </si>
  <si>
    <t>The source of the amounts from the Actuary Study supporting the numbers in Line 2 and 3 is -</t>
  </si>
  <si>
    <t>Attachment 8</t>
  </si>
  <si>
    <t>Depreciation Rates</t>
  </si>
  <si>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</si>
  <si>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</si>
  <si>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</si>
  <si>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</si>
  <si>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</si>
  <si>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</si>
  <si>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</si>
  <si>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</si>
  <si>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</si>
  <si>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</si>
  <si>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</si>
  <si>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</si>
  <si>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</si>
  <si>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</si>
  <si>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</si>
  <si>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</si>
  <si>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</si>
  <si>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</si>
  <si>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</si>
  <si>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</si>
  <si>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</si>
  <si>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</si>
  <si>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</si>
  <si>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</si>
  <si>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</si>
  <si>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</si>
  <si>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</si>
  <si>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</si>
  <si>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</si>
  <si>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</si>
  <si>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</si>
  <si>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</si>
  <si>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</si>
  <si>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</si>
  <si>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</si>
  <si>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</si>
  <si>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</si>
  <si>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</si>
  <si>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</si>
  <si>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</si>
  <si>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</si>
  <si>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</si>
  <si>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</si>
  <si>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</si>
  <si>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</si>
  <si>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</si>
  <si>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</si>
  <si>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</si>
  <si>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</si>
  <si>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</si>
  <si>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</si>
  <si>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r>
      <t xml:space="preserve"> </t>
    </r>
    <r>
      <rPr>
        <sz val="14"/>
        <color indexed="8"/>
        <rFont val="Arial Narrow"/>
        <family val="2"/>
      </rPr>
      <t xml:space="preserve">Note 1: In the event a Contribution in Aid of Construction (CIAC) is made for a transmission facility, the transmission </t>
    </r>
    <r>
      <rPr>
        <sz val="14"/>
        <rFont val="Arial Narrow"/>
        <family val="2"/>
      </rPr>
      <t xml:space="preserve"> </t>
    </r>
  </si>
  <si>
    <r>
      <t xml:space="preserve"> </t>
    </r>
    <r>
      <rPr>
        <sz val="14"/>
        <color indexed="8"/>
        <rFont val="Arial Narrow"/>
        <family val="2"/>
      </rPr>
      <t>depreciation rates above will be weighted based on the relative amount of underlying transmission plant booked to the accounts</t>
    </r>
    <r>
      <rPr>
        <sz val="14"/>
        <rFont val="Arial Narrow"/>
        <family val="2"/>
      </rPr>
      <t xml:space="preserve"> </t>
    </r>
  </si>
  <si>
    <r>
      <t xml:space="preserve"> </t>
    </r>
    <r>
      <rPr>
        <sz val="14"/>
        <color indexed="8"/>
        <rFont val="Arial Narrow"/>
        <family val="2"/>
      </rPr>
      <t>shown in lines 1-9 above and the weighted average depreciation rate will be used to amortize the CIAC.</t>
    </r>
    <r>
      <rPr>
        <sz val="14"/>
        <rFont val="Arial Narrow"/>
        <family val="2"/>
      </rPr>
      <t xml:space="preserve">  The life of a</t>
    </r>
  </si>
  <si>
    <t xml:space="preserve"> facility subject to a CIAC will be equivalent to the depreciation rate calculated above, i.e., 100% ÷ deprecation rate = life</t>
  </si>
  <si>
    <t xml:space="preserve"> in years. The estimated life of the facility or rights associated with the facility will not change  over the life of a CIAC</t>
  </si>
  <si>
    <t xml:space="preserve"> without prior FERC approval.</t>
  </si>
  <si>
    <r>
      <t xml:space="preserve"> </t>
    </r>
    <r>
      <rPr>
        <sz val="14"/>
        <color indexed="8"/>
        <rFont val="Arial Narrow"/>
        <family val="2"/>
      </rPr>
      <t>These depreciation rates will not change absent the appropriate filing at FERC.</t>
    </r>
    <r>
      <rPr>
        <sz val="14"/>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</si>
</sst>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0.00000"/>
    <numFmt numFmtId="167" formatCode="&quot;$&quot;#,##0"/>
    <numFmt numFmtId="168" formatCode="#,##0.000"/>
    <numFmt numFmtId="169" formatCode="&quot;$&quot;#,##0.000"/>
    <numFmt numFmtId="170" formatCode="0.0000"/>
    <numFmt numFmtId="171" formatCode="#,##0.00000"/>
    <numFmt numFmtId="172" formatCode="0.000%"/>
    <numFmt numFmtId="173" formatCode="_(* #,##0.00000_);_(* \(#,##0.00000\);_(* &quot;-&quot;??_);_(@_)"/>
    <numFmt numFmtId="174" formatCode="#,##0.0"/>
    <numFmt numFmtId="175" formatCode="_(* #,##0.0000_);_(* \(#,##0.0000\);_(* &quot;-&quot;??_);_(@_)"/>
    <numFmt numFmtId="176" formatCode="#,##0.0000"/>
    <numFmt numFmtId="177" formatCode="_(* #,##0.0_);_(* \(#,##0.0\);_(* &quot;-&quot;??_);_(@_)"/>
    <numFmt numFmtId="178" formatCode="_(* #,##0.0000000_);_(* \(#,##0.0000000\);_(* &quot;-&quot;??_);_(@_)"/>
    <numFmt numFmtId="179" formatCode="_(* #,##0.000000_);_(* \(#,##0.000000\);_(* &quot;-&quot;??_);_(@_)"/>
    <numFmt numFmtId="180" formatCode="0_);\(0\)"/>
    <numFmt numFmtId="181" formatCode="_(&quot;$&quot;* #,##0_);_(&quot;$&quot;* \(#,##0\);_(&quot;$&quot;* &quot;-&quot;??_);_(@_)"/>
    <numFmt numFmtId="182" formatCode="_(* #,##0.000_);_(* \(#,##0.000\);_(* &quot;-&quot;??_);_(@_)"/>
    <numFmt numFmtId="183" formatCode="0.0000%"/>
    <numFmt numFmtId="184" formatCode="_(* #,##0.00000_);_(* \(#,##0.00000\);_(* &quot;-&quot;?????_);_(@_)"/>
  </numFmts>
  <fonts count="48">
    <font>
      <sz val="12"/>
      <name val="Arial MT"/>
      <family val="2"/>
    </font>
    <font>
      <sz val="10"/>
      <color theme="1"/>
      <name val="Arial"/>
      <family val="2"/>
    </font>
    <font>
      <sz val="10"/>
      <name val="Arial"/>
      <family val="2"/>
    </font>
    <font>
      <sz val="11"/>
      <color theme="1"/>
      <name val="Calibri"/>
      <family val="2"/>
      <scheme val="minor"/>
    </font>
    <font>
      <sz val="10"/>
      <name val="Times New Roman"/>
      <family val="1"/>
    </font>
    <font>
      <sz val="10"/>
      <color rgb="FFFF0000"/>
      <name val="Times New Roman"/>
      <family val="1"/>
    </font>
    <font>
      <b/>
      <i/>
      <strike/>
      <sz val="10"/>
      <name val="Times New Roman"/>
      <family val="1"/>
    </font>
    <font>
      <b/>
      <sz val="12"/>
      <name val="Times New Roman"/>
      <family val="1"/>
    </font>
    <font>
      <sz val="10"/>
      <color indexed="10"/>
      <name val="Times New Roman"/>
      <family val="1"/>
    </font>
    <font>
      <strike/>
      <sz val="10"/>
      <name val="Times New Roman"/>
      <family val="1"/>
    </font>
    <font>
      <b/>
      <sz val="10"/>
      <name val="Times New Roman"/>
      <family val="1"/>
    </font>
    <font>
      <sz val="10"/>
      <color indexed="40"/>
      <name val="Times New Roman"/>
      <family val="1"/>
    </font>
    <font>
      <strike/>
      <sz val="10"/>
      <color indexed="10"/>
      <name val="Times New Roman"/>
      <family val="1"/>
    </font>
    <font>
      <sz val="11"/>
      <name val="Calibri"/>
      <family val="2"/>
    </font>
    <font>
      <sz val="10"/>
      <color indexed="17"/>
      <name val="Times New Roman"/>
      <family val="1"/>
    </font>
    <font>
      <b/>
      <u val="single"/>
      <sz val="10"/>
      <name val="Times New Roman"/>
      <family val="1"/>
    </font>
    <font>
      <sz val="10"/>
      <color indexed="8"/>
      <name val="Times New Roman"/>
      <family val="1"/>
    </font>
    <font>
      <sz val="12"/>
      <name val="Times New Roman"/>
      <family val="1"/>
    </font>
    <font>
      <sz val="12"/>
      <name val="Arial"/>
      <family val="2"/>
    </font>
    <font>
      <sz val="10"/>
      <name val="Arial Narrow"/>
      <family val="2"/>
    </font>
    <font>
      <vertAlign val="superscript"/>
      <sz val="10"/>
      <color theme="1"/>
      <name val="Times New Roman"/>
      <family val="1"/>
    </font>
    <font>
      <vertAlign val="superscript"/>
      <sz val="10"/>
      <name val="Times New Roman"/>
      <family val="1"/>
    </font>
    <font>
      <sz val="12"/>
      <color theme="1"/>
      <name val="Times New Roman"/>
      <family val="1"/>
    </font>
    <font>
      <i/>
      <sz val="12"/>
      <color theme="1"/>
      <name val="Times New Roman"/>
      <family val="1"/>
    </font>
    <font>
      <b/>
      <sz val="12"/>
      <color theme="1"/>
      <name val="Times New Roman"/>
      <family val="1"/>
    </font>
    <font>
      <sz val="12"/>
      <color rgb="FFFF0000"/>
      <name val="Times New Roman"/>
      <family val="1"/>
    </font>
    <font>
      <sz val="10"/>
      <color theme="1"/>
      <name val="Times New Roman"/>
      <family val="1"/>
    </font>
    <font>
      <sz val="11"/>
      <color indexed="8"/>
      <name val="Calibri"/>
      <family val="2"/>
    </font>
    <font>
      <b/>
      <sz val="12"/>
      <color rgb="FFFF0000"/>
      <name val="Times New Roman"/>
      <family val="1"/>
    </font>
    <font>
      <strike/>
      <sz val="10"/>
      <color indexed="12"/>
      <name val="Times New Roman"/>
      <family val="1"/>
    </font>
    <font>
      <sz val="11"/>
      <color indexed="8"/>
      <name val="Arial Narrow"/>
      <family val="2"/>
    </font>
    <font>
      <u val="single"/>
      <sz val="12"/>
      <name val="Arial"/>
      <family val="2"/>
    </font>
    <font>
      <b/>
      <sz val="12"/>
      <name val="Arial"/>
      <family val="2"/>
    </font>
    <font>
      <sz val="10"/>
      <color indexed="8"/>
      <name val="Arial"/>
      <family val="2"/>
    </font>
    <font>
      <sz val="10"/>
      <color rgb="FF0000FF"/>
      <name val="Arial"/>
      <family val="2"/>
    </font>
    <font>
      <sz val="11"/>
      <color indexed="8"/>
      <name val="Arial"/>
      <family val="2"/>
    </font>
    <font>
      <sz val="12"/>
      <color indexed="10"/>
      <name val="Arial MT"/>
      <family val="2"/>
    </font>
    <font>
      <b/>
      <u val="single"/>
      <sz val="10"/>
      <name val="Arial"/>
      <family val="2"/>
    </font>
    <font>
      <sz val="11"/>
      <name val="Times New Roman"/>
      <family val="1"/>
    </font>
    <font>
      <b/>
      <sz val="10"/>
      <name val="Arial"/>
      <family val="2"/>
    </font>
    <font>
      <sz val="12"/>
      <name val="Arial Narrow"/>
      <family val="2"/>
    </font>
    <font>
      <sz val="12"/>
      <color indexed="8"/>
      <name val="Arial Narrow"/>
      <family val="2"/>
    </font>
    <font>
      <b/>
      <sz val="12"/>
      <name val="Arial Narrow"/>
      <family val="2"/>
    </font>
    <font>
      <b/>
      <sz val="12"/>
      <color indexed="8"/>
      <name val="Arial Narrow"/>
      <family val="2"/>
    </font>
    <font>
      <sz val="14"/>
      <name val="Arial Narrow"/>
      <family val="2"/>
    </font>
    <font>
      <sz val="14"/>
      <color indexed="8"/>
      <name val="Arial Narrow"/>
      <family val="2"/>
    </font>
    <font>
      <sz val="14"/>
      <name val="Arial"/>
      <family val="2"/>
    </font>
    <font>
      <sz val="14"/>
      <name val="Times New Roman"/>
      <family val="1"/>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00FF"/>
        <bgColor indexed="64"/>
      </patternFill>
    </fill>
    <fill>
      <patternFill patternType="solid">
        <fgColor theme="0"/>
        <bgColor indexed="64"/>
      </patternFill>
    </fill>
    <fill>
      <patternFill patternType="solid">
        <fgColor theme="1"/>
        <bgColor indexed="64"/>
      </patternFill>
    </fill>
  </fills>
  <borders count="20">
    <border>
      <left/>
      <right/>
      <top/>
      <bottom/>
      <diagonal/>
    </border>
    <border>
      <left/>
      <right/>
      <top/>
      <bottom style="medium">
        <color auto="1"/>
      </bottom>
    </border>
    <border>
      <left/>
      <right/>
      <top/>
      <bottom style="double">
        <color auto="1"/>
      </bottom>
    </border>
    <border>
      <left/>
      <right/>
      <top style="thin">
        <color auto="1"/>
      </top>
      <bottom style="double">
        <color auto="1"/>
      </bottom>
    </border>
    <border>
      <left style="thin">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style="thin">
        <color auto="1"/>
      </right>
      <top style="thin">
        <color auto="1"/>
      </top>
      <bottom style="thin">
        <color auto="1"/>
      </bottom>
    </border>
    <border>
      <left style="thin">
        <color auto="1"/>
      </left>
      <right/>
      <top/>
      <bottom/>
    </border>
    <border>
      <left style="thin">
        <color auto="1"/>
      </left>
      <right style="thin">
        <color auto="1"/>
      </right>
      <top/>
      <bottom/>
    </border>
    <border>
      <left style="thin">
        <color auto="1"/>
      </left>
      <right/>
      <top style="thin">
        <color auto="1"/>
      </top>
      <bottom/>
    </border>
    <border>
      <left style="thin">
        <color auto="1"/>
      </left>
      <right style="thin">
        <color auto="1"/>
      </right>
      <top style="thin">
        <color auto="1"/>
      </top>
      <bottom/>
    </border>
    <border>
      <left style="thin">
        <color auto="1"/>
      </left>
      <right/>
      <top/>
      <bottom style="thin">
        <color auto="1"/>
      </bottom>
    </border>
    <border>
      <left/>
      <right/>
      <top/>
      <bottom style="thin">
        <color auto="1"/>
      </bottom>
    </border>
    <border>
      <left style="thin">
        <color auto="1"/>
      </left>
      <right style="thin">
        <color auto="1"/>
      </right>
      <top/>
      <bottom style="thin">
        <color auto="1"/>
      </bottom>
    </border>
    <border>
      <left/>
      <right style="thin">
        <color auto="1"/>
      </right>
      <top style="thin">
        <color auto="1"/>
      </top>
      <bottom/>
    </border>
    <border>
      <left/>
      <right style="thin">
        <color auto="1"/>
      </right>
      <top/>
      <bottom style="thin">
        <color auto="1"/>
      </bottom>
    </border>
    <border>
      <left/>
      <right style="thin">
        <color auto="1"/>
      </right>
      <top/>
      <bottom/>
    </border>
    <border>
      <left/>
      <right style="thin">
        <color auto="1"/>
      </right>
      <top style="thin">
        <color auto="1"/>
      </top>
      <bottom style="thin">
        <color auto="1"/>
      </bottom>
    </border>
    <border>
      <left style="medium">
        <color auto="1"/>
      </left>
      <right/>
      <top/>
      <bottom/>
    </border>
  </borders>
  <cellStyleXfs count="39">
    <xf numFmtId="164" fontId="0" fillId="0" borderId="0" applyProtection="0">
      <alignment/>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alignment/>
      <protection/>
    </xf>
    <xf numFmtId="164" fontId="0" fillId="0" borderId="0" applyProtection="0">
      <alignment/>
    </xf>
    <xf numFmtId="164" fontId="0" fillId="0" borderId="0" applyProtection="0">
      <alignment/>
    </xf>
    <xf numFmtId="0" fontId="0" fillId="0" borderId="0" applyProtection="0">
      <alignment/>
    </xf>
    <xf numFmtId="0" fontId="3" fillId="0" borderId="0">
      <alignment/>
      <protection/>
    </xf>
    <xf numFmtId="164" fontId="0" fillId="0" borderId="0" applyProtection="0">
      <alignment/>
    </xf>
    <xf numFmtId="164" fontId="0" fillId="0" borderId="0" applyProtection="0">
      <alignment/>
    </xf>
    <xf numFmtId="0" fontId="2" fillId="0" borderId="0">
      <alignment/>
      <protection/>
    </xf>
    <xf numFmtId="0" fontId="2" fillId="0" borderId="0">
      <alignment/>
      <protection/>
    </xf>
    <xf numFmtId="0" fontId="2" fillId="0" borderId="0">
      <alignment/>
      <protection/>
    </xf>
    <xf numFmtId="164" fontId="0" fillId="0" borderId="0" applyProtection="0">
      <alignment/>
    </xf>
    <xf numFmtId="0" fontId="2" fillId="0" borderId="0">
      <alignment/>
      <protection/>
    </xf>
    <xf numFmtId="0" fontId="3" fillId="0" borderId="0">
      <alignment/>
      <protection/>
    </xf>
    <xf numFmtId="43" fontId="3"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0" fontId="30" fillId="0" borderId="0">
      <alignment/>
      <protection/>
    </xf>
    <xf numFmtId="0" fontId="38" fillId="0" borderId="0">
      <alignment/>
      <protection/>
    </xf>
    <xf numFmtId="0" fontId="3" fillId="0" borderId="0">
      <alignment/>
      <protection/>
    </xf>
  </cellStyleXfs>
  <cellXfs count="759">
    <xf numFmtId="164" fontId="0" fillId="0" borderId="0" xfId="0"/>
    <xf numFmtId="0" fontId="4" fillId="0" borderId="0" xfId="20" applyFont="1">
      <alignment/>
      <protection/>
    </xf>
    <xf numFmtId="0" fontId="4" fillId="0" borderId="0" xfId="20" applyFont="1" applyAlignment="1">
      <alignment horizontal="right"/>
      <protection/>
    </xf>
    <xf numFmtId="164" fontId="4" fillId="0" borderId="0" xfId="0" applyFont="1" applyAlignment="1">
      <alignment/>
    </xf>
    <xf numFmtId="164" fontId="4" fillId="0" borderId="0" xfId="21" applyFont="1" applyAlignment="1">
      <alignment/>
    </xf>
    <xf numFmtId="0" fontId="4" fillId="0" borderId="0" xfId="21" applyNumberFormat="1" applyFont="1" applyAlignment="1" applyProtection="1">
      <alignment/>
      <protection locked="0"/>
    </xf>
    <xf numFmtId="164" fontId="4" fillId="0" borderId="0" xfId="0" applyFont="1" applyAlignment="1">
      <alignment horizontal="left" vertical="center"/>
    </xf>
    <xf numFmtId="0" fontId="4" fillId="0" borderId="0" xfId="21" applyNumberFormat="1" applyFont="1" applyAlignment="1" applyProtection="1">
      <alignment horizontal="center"/>
      <protection locked="0"/>
    </xf>
    <xf numFmtId="0" fontId="4" fillId="0" borderId="0" xfId="21" applyNumberFormat="1" applyFont="1" applyFill="1" applyAlignment="1" applyProtection="1">
      <alignment/>
      <protection locked="0"/>
    </xf>
    <xf numFmtId="0" fontId="4" fillId="0" borderId="0" xfId="21" applyNumberFormat="1" applyFont="1" applyFill="1" applyProtection="1">
      <alignment/>
      <protection locked="0"/>
    </xf>
    <xf numFmtId="0" fontId="4" fillId="2" borderId="0" xfId="20" applyFont="1" applyFill="1">
      <alignment/>
      <protection/>
    </xf>
    <xf numFmtId="0" fontId="4" fillId="2" borderId="0" xfId="21" applyNumberFormat="1" applyFont="1" applyFill="1">
      <alignment/>
    </xf>
    <xf numFmtId="0" fontId="4" fillId="2" borderId="0" xfId="22" applyNumberFormat="1" applyFont="1" applyFill="1" applyAlignment="1">
      <alignment horizontal="right"/>
    </xf>
    <xf numFmtId="3" fontId="4" fillId="0" borderId="0" xfId="21" applyNumberFormat="1" applyFont="1" applyAlignment="1">
      <alignment/>
    </xf>
    <xf numFmtId="3" fontId="4" fillId="0" borderId="0" xfId="21" applyNumberFormat="1" applyFont="1" applyAlignment="1">
      <alignment horizontal="center"/>
    </xf>
    <xf numFmtId="0" fontId="4" fillId="0" borderId="0" xfId="21" applyNumberFormat="1" applyFont="1" applyProtection="1">
      <alignment/>
      <protection locked="0"/>
    </xf>
    <xf numFmtId="0" fontId="4" fillId="0" borderId="0" xfId="21" applyNumberFormat="1" applyFont="1">
      <alignment/>
    </xf>
    <xf numFmtId="0" fontId="6" fillId="0" borderId="0" xfId="21" applyNumberFormat="1" applyFont="1">
      <alignment/>
    </xf>
    <xf numFmtId="164" fontId="7" fillId="0" borderId="0" xfId="0" applyFont="1" applyAlignment="1">
      <alignment horizontal="center" vertical="center"/>
    </xf>
    <xf numFmtId="49" fontId="4" fillId="0" borderId="0" xfId="21" applyNumberFormat="1" applyFont="1" applyAlignment="1">
      <alignment/>
    </xf>
    <xf numFmtId="49" fontId="4" fillId="0" borderId="0" xfId="21" applyNumberFormat="1" applyFont="1" applyAlignment="1">
      <alignment horizontal="center"/>
    </xf>
    <xf numFmtId="0" fontId="4" fillId="0" borderId="0" xfId="21" applyNumberFormat="1" applyFont="1" applyAlignment="1">
      <alignment horizontal="center"/>
    </xf>
    <xf numFmtId="49" fontId="4" fillId="0" borderId="0" xfId="21" applyNumberFormat="1" applyFont="1">
      <alignment/>
    </xf>
    <xf numFmtId="0" fontId="4" fillId="0" borderId="1" xfId="21" applyNumberFormat="1" applyFont="1" applyBorder="1" applyAlignment="1" applyProtection="1">
      <alignment horizontal="center"/>
      <protection locked="0"/>
    </xf>
    <xf numFmtId="3" fontId="4" fillId="0" borderId="0" xfId="21" applyNumberFormat="1" applyFont="1">
      <alignment/>
    </xf>
    <xf numFmtId="42" fontId="4" fillId="0" borderId="0" xfId="20" applyNumberFormat="1" applyFont="1">
      <alignment/>
      <protection/>
    </xf>
    <xf numFmtId="0" fontId="4" fillId="0" borderId="0" xfId="21" applyNumberFormat="1" applyFont="1" applyFill="1">
      <alignment/>
    </xf>
    <xf numFmtId="0" fontId="4" fillId="0" borderId="0" xfId="21" applyNumberFormat="1" applyFont="1" applyAlignment="1">
      <alignment/>
    </xf>
    <xf numFmtId="3" fontId="4" fillId="0" borderId="0" xfId="21" applyNumberFormat="1" applyFont="1" applyFill="1" applyAlignment="1">
      <alignment/>
    </xf>
    <xf numFmtId="0" fontId="4" fillId="0" borderId="1" xfId="21" applyNumberFormat="1" applyFont="1" applyBorder="1" applyAlignment="1" applyProtection="1">
      <alignment horizontal="centerContinuous"/>
      <protection locked="0"/>
    </xf>
    <xf numFmtId="43" fontId="4" fillId="0" borderId="0" xfId="18" applyFont="1" applyFill="1" applyAlignment="1">
      <alignment/>
    </xf>
    <xf numFmtId="43" fontId="4" fillId="0" borderId="0" xfId="18" applyFont="1" applyAlignment="1">
      <alignment/>
    </xf>
    <xf numFmtId="3" fontId="4" fillId="0" borderId="0" xfId="20" applyNumberFormat="1" applyFont="1" applyAlignment="1">
      <alignment/>
      <protection/>
    </xf>
    <xf numFmtId="3" fontId="4" fillId="0" borderId="0" xfId="21" applyNumberFormat="1" applyFont="1" applyFill="1" applyBorder="1">
      <alignment/>
    </xf>
    <xf numFmtId="3" fontId="4" fillId="0" borderId="0" xfId="21" applyNumberFormat="1" applyFont="1" applyAlignment="1">
      <alignment horizontal="left"/>
    </xf>
    <xf numFmtId="165" fontId="4" fillId="0" borderId="0" xfId="18" applyNumberFormat="1" applyFont="1" applyFill="1" applyAlignment="1">
      <alignment/>
    </xf>
    <xf numFmtId="43" fontId="4" fillId="0" borderId="1" xfId="18" applyFont="1" applyBorder="1" applyAlignment="1">
      <alignment/>
    </xf>
    <xf numFmtId="43" fontId="4" fillId="0" borderId="0" xfId="18" applyFont="1" applyAlignment="1">
      <alignment horizontal="fill"/>
    </xf>
    <xf numFmtId="166" fontId="4" fillId="0" borderId="0" xfId="20" applyNumberFormat="1" applyFont="1" applyAlignment="1">
      <alignment/>
      <protection/>
    </xf>
    <xf numFmtId="166" fontId="4" fillId="0" borderId="0" xfId="21" applyNumberFormat="1" applyFont="1" applyAlignment="1">
      <alignment/>
    </xf>
    <xf numFmtId="3" fontId="4" fillId="0" borderId="0" xfId="21" applyNumberFormat="1" applyFont="1" applyAlignment="1">
      <alignment horizontal="fill"/>
    </xf>
    <xf numFmtId="42" fontId="4" fillId="0" borderId="2" xfId="21" applyNumberFormat="1" applyFont="1" applyBorder="1" applyAlignment="1" applyProtection="1">
      <alignment horizontal="right"/>
      <protection locked="0"/>
    </xf>
    <xf numFmtId="167" fontId="8" fillId="0" borderId="0" xfId="0" applyNumberFormat="1" applyFont="1" applyAlignment="1">
      <alignment/>
    </xf>
    <xf numFmtId="164" fontId="8" fillId="0" borderId="0" xfId="0" applyFont="1" applyAlignment="1">
      <alignment/>
    </xf>
    <xf numFmtId="0" fontId="4" fillId="0" borderId="0" xfId="23" applyNumberFormat="1" applyFont="1" applyAlignment="1" applyProtection="1">
      <alignment horizontal="center"/>
      <protection locked="0"/>
    </xf>
    <xf numFmtId="0" fontId="4" fillId="0" borderId="0" xfId="23" applyNumberFormat="1" applyFont="1" applyAlignment="1">
      <alignment/>
    </xf>
    <xf numFmtId="0" fontId="4" fillId="0" borderId="0" xfId="23" applyNumberFormat="1" applyFont="1" applyFill="1" applyAlignment="1">
      <alignment horizontal="left"/>
    </xf>
    <xf numFmtId="0" fontId="4" fillId="0" borderId="0" xfId="23" applyNumberFormat="1" applyFont="1">
      <alignment/>
    </xf>
    <xf numFmtId="0" fontId="4" fillId="0" borderId="0" xfId="23" applyNumberFormat="1" applyFont="1" applyBorder="1" applyAlignment="1">
      <alignment/>
    </xf>
    <xf numFmtId="166" fontId="4" fillId="0" borderId="0" xfId="23" applyNumberFormat="1" applyFont="1" applyAlignment="1">
      <alignment/>
    </xf>
    <xf numFmtId="165" fontId="4" fillId="0" borderId="0" xfId="18" applyNumberFormat="1" applyFont="1" applyAlignment="1">
      <alignment/>
    </xf>
    <xf numFmtId="0" fontId="4" fillId="0" borderId="0" xfId="21" applyNumberFormat="1" applyFont="1" applyFill="1" applyBorder="1">
      <alignment/>
    </xf>
    <xf numFmtId="0" fontId="4" fillId="0" borderId="0" xfId="23" applyFont="1" applyAlignment="1">
      <alignment/>
    </xf>
    <xf numFmtId="3" fontId="4" fillId="0" borderId="0" xfId="23" applyNumberFormat="1" applyFont="1" applyAlignment="1">
      <alignment/>
    </xf>
    <xf numFmtId="42" fontId="4" fillId="0" borderId="2" xfId="23" applyNumberFormat="1" applyFont="1" applyBorder="1" applyAlignment="1" applyProtection="1">
      <alignment horizontal="right"/>
      <protection locked="0"/>
    </xf>
    <xf numFmtId="0" fontId="4" fillId="0" borderId="0" xfId="21" applyNumberFormat="1" applyFont="1" applyFill="1" applyBorder="1" applyAlignment="1" applyProtection="1">
      <alignment horizontal="center"/>
      <protection locked="0"/>
    </xf>
    <xf numFmtId="164" fontId="4" fillId="0" borderId="0" xfId="21" applyFont="1" applyFill="1" applyBorder="1" applyAlignment="1">
      <alignment/>
    </xf>
    <xf numFmtId="0" fontId="4" fillId="0" borderId="0" xfId="21" applyNumberFormat="1" applyFont="1" applyFill="1" applyBorder="1" applyProtection="1">
      <alignment/>
      <protection locked="0"/>
    </xf>
    <xf numFmtId="0" fontId="4" fillId="0" borderId="0" xfId="21" applyNumberFormat="1" applyFont="1" applyFill="1" applyBorder="1" applyAlignment="1">
      <alignment/>
    </xf>
    <xf numFmtId="0" fontId="4" fillId="0" borderId="0" xfId="21" applyNumberFormat="1" applyFont="1" applyFill="1" applyBorder="1" applyAlignment="1" applyProtection="1">
      <alignment/>
      <protection locked="0"/>
    </xf>
    <xf numFmtId="168" fontId="4" fillId="0" borderId="0" xfId="20" applyNumberFormat="1" applyFont="1" applyFill="1" applyBorder="1">
      <alignment/>
      <protection/>
    </xf>
    <xf numFmtId="168" fontId="4" fillId="0" borderId="0" xfId="21" applyNumberFormat="1" applyFont="1" applyFill="1" applyBorder="1">
      <alignment/>
    </xf>
    <xf numFmtId="168" fontId="4" fillId="0" borderId="0" xfId="21" applyNumberFormat="1" applyFont="1" applyFill="1" applyBorder="1" applyAlignment="1">
      <alignment horizontal="center"/>
    </xf>
    <xf numFmtId="164" fontId="4" fillId="0" borderId="0" xfId="21" applyFont="1" applyFill="1" applyBorder="1" applyAlignment="1">
      <alignment horizontal="center"/>
    </xf>
    <xf numFmtId="0" fontId="4" fillId="0" borderId="0" xfId="21" applyNumberFormat="1" applyFont="1" applyFill="1" applyBorder="1" applyAlignment="1">
      <alignment horizontal="left"/>
    </xf>
    <xf numFmtId="169" fontId="4" fillId="0" borderId="0" xfId="20" applyNumberFormat="1" applyFont="1" applyFill="1" applyBorder="1" applyAlignment="1">
      <alignment/>
      <protection/>
    </xf>
    <xf numFmtId="169" fontId="4" fillId="0" borderId="0" xfId="21" applyNumberFormat="1" applyFont="1" applyFill="1" applyBorder="1" applyProtection="1">
      <alignment/>
      <protection locked="0"/>
    </xf>
    <xf numFmtId="169" fontId="4" fillId="0" borderId="0" xfId="21" applyNumberFormat="1" applyFont="1" applyFill="1" applyProtection="1">
      <alignment/>
      <protection locked="0"/>
    </xf>
    <xf numFmtId="169" fontId="4" fillId="0" borderId="0" xfId="21" applyNumberFormat="1" applyFont="1" applyProtection="1">
      <alignment/>
      <protection locked="0"/>
    </xf>
    <xf numFmtId="170" fontId="4" fillId="0" borderId="0" xfId="21" applyNumberFormat="1" applyFont="1">
      <alignment/>
    </xf>
    <xf numFmtId="0" fontId="4" fillId="0" borderId="0" xfId="21" applyNumberFormat="1" applyFont="1" applyAlignment="1">
      <alignment horizontal="right"/>
    </xf>
    <xf numFmtId="0" fontId="9" fillId="0" borderId="0" xfId="21" applyNumberFormat="1" applyFont="1" applyAlignment="1">
      <alignment/>
    </xf>
    <xf numFmtId="164" fontId="4" fillId="0" borderId="0" xfId="0" applyFont="1" applyAlignment="1">
      <alignment horizontal="center" vertical="center"/>
    </xf>
    <xf numFmtId="3" fontId="10" fillId="0" borderId="0" xfId="21" applyNumberFormat="1" applyFont="1" applyAlignment="1">
      <alignment horizontal="center"/>
    </xf>
    <xf numFmtId="0" fontId="10" fillId="0" borderId="0" xfId="21" applyNumberFormat="1" applyFont="1" applyAlignment="1" applyProtection="1">
      <alignment horizontal="center"/>
      <protection locked="0"/>
    </xf>
    <xf numFmtId="164" fontId="10" fillId="0" borderId="0" xfId="21" applyFont="1" applyAlignment="1">
      <alignment horizontal="center"/>
    </xf>
    <xf numFmtId="3" fontId="10" fillId="0" borderId="0" xfId="21" applyNumberFormat="1" applyFont="1" applyAlignment="1">
      <alignment/>
    </xf>
    <xf numFmtId="0" fontId="10" fillId="0" borderId="0" xfId="21" applyNumberFormat="1" applyFont="1" applyAlignment="1">
      <alignment/>
    </xf>
    <xf numFmtId="165" fontId="4" fillId="2" borderId="0" xfId="18" applyNumberFormat="1" applyFont="1" applyFill="1" applyAlignment="1">
      <alignment/>
    </xf>
    <xf numFmtId="171" fontId="4" fillId="0" borderId="0" xfId="21" applyNumberFormat="1" applyFont="1" applyAlignment="1">
      <alignment/>
    </xf>
    <xf numFmtId="165" fontId="4" fillId="2" borderId="1" xfId="18" applyNumberFormat="1" applyFont="1" applyFill="1" applyBorder="1" applyAlignment="1">
      <alignment/>
    </xf>
    <xf numFmtId="165" fontId="4" fillId="0" borderId="1" xfId="18" applyNumberFormat="1" applyFont="1" applyBorder="1" applyAlignment="1">
      <alignment/>
    </xf>
    <xf numFmtId="43" fontId="4" fillId="0" borderId="0" xfId="18" applyFont="1" applyAlignment="1">
      <alignment horizontal="center"/>
    </xf>
    <xf numFmtId="172" fontId="4" fillId="0" borderId="0" xfId="21" applyNumberFormat="1" applyFont="1" applyAlignment="1">
      <alignment horizontal="center"/>
    </xf>
    <xf numFmtId="171" fontId="4" fillId="0" borderId="0" xfId="20" applyNumberFormat="1" applyFont="1" applyFill="1" applyAlignment="1">
      <alignment horizontal="right"/>
      <protection/>
    </xf>
    <xf numFmtId="165" fontId="4" fillId="0" borderId="0" xfId="18" applyNumberFormat="1" applyFont="1" applyFill="1" applyBorder="1" applyAlignment="1">
      <alignment/>
    </xf>
    <xf numFmtId="173" fontId="4" fillId="0" borderId="0" xfId="18" applyNumberFormat="1" applyFont="1" applyAlignment="1">
      <alignment/>
    </xf>
    <xf numFmtId="165" fontId="4" fillId="0" borderId="0" xfId="18" applyNumberFormat="1" applyFont="1" applyBorder="1" applyAlignment="1">
      <alignment/>
    </xf>
    <xf numFmtId="0" fontId="4" fillId="0" borderId="0" xfId="21" applyNumberFormat="1" applyFont="1" applyFill="1" applyAlignment="1" applyProtection="1">
      <alignment horizontal="center"/>
      <protection locked="0"/>
    </xf>
    <xf numFmtId="164" fontId="4" fillId="0" borderId="0" xfId="21" applyFont="1" applyFill="1" applyAlignment="1">
      <alignment/>
    </xf>
    <xf numFmtId="173" fontId="4" fillId="0" borderId="0" xfId="18" applyNumberFormat="1" applyFont="1" applyFill="1" applyAlignment="1">
      <alignment/>
    </xf>
    <xf numFmtId="3" fontId="4" fillId="0" borderId="0" xfId="20" applyNumberFormat="1" applyFont="1" applyFill="1" applyAlignment="1">
      <alignment/>
      <protection/>
    </xf>
    <xf numFmtId="172" fontId="4" fillId="0" borderId="0" xfId="21" applyNumberFormat="1" applyFont="1" applyFill="1" applyAlignment="1">
      <alignment horizontal="center"/>
    </xf>
    <xf numFmtId="164" fontId="4" fillId="0" borderId="0" xfId="0" applyFont="1" applyFill="1" applyAlignment="1">
      <alignment/>
    </xf>
    <xf numFmtId="3" fontId="4" fillId="0" borderId="0" xfId="23" applyNumberFormat="1" applyFont="1" applyFill="1" applyAlignment="1">
      <alignment/>
    </xf>
    <xf numFmtId="3" fontId="4" fillId="0" borderId="0" xfId="23" applyNumberFormat="1" applyFont="1" applyBorder="1" applyAlignment="1">
      <alignment/>
    </xf>
    <xf numFmtId="3" fontId="4" fillId="0" borderId="0" xfId="23" applyNumberFormat="1" applyFont="1" applyFill="1" applyBorder="1" applyAlignment="1">
      <alignment/>
    </xf>
    <xf numFmtId="173" fontId="4" fillId="0" borderId="0" xfId="18" applyNumberFormat="1" applyFont="1" applyFill="1" applyBorder="1" applyAlignment="1">
      <alignment/>
    </xf>
    <xf numFmtId="0" fontId="4" fillId="0" borderId="0" xfId="23" applyFont="1" applyFill="1" applyBorder="1" applyAlignment="1">
      <alignment/>
    </xf>
    <xf numFmtId="165" fontId="4" fillId="0" borderId="1" xfId="18" applyNumberFormat="1" applyFont="1" applyFill="1" applyBorder="1" applyAlignment="1">
      <alignment/>
    </xf>
    <xf numFmtId="173" fontId="4" fillId="0" borderId="0" xfId="18" applyNumberFormat="1" applyFont="1" applyBorder="1" applyAlignment="1">
      <alignment/>
    </xf>
    <xf numFmtId="3" fontId="4" fillId="0" borderId="0" xfId="21" applyNumberFormat="1" applyFont="1" applyAlignment="1" quotePrefix="1">
      <alignment horizontal="left"/>
    </xf>
    <xf numFmtId="0" fontId="4" fillId="0" borderId="0" xfId="20" applyNumberFormat="1" applyFont="1">
      <alignment/>
      <protection/>
    </xf>
    <xf numFmtId="165" fontId="4" fillId="0" borderId="2" xfId="18" applyNumberFormat="1" applyFont="1" applyBorder="1" applyAlignment="1">
      <alignment/>
    </xf>
    <xf numFmtId="172" fontId="4" fillId="0" borderId="0" xfId="20" applyNumberFormat="1" applyFont="1" applyAlignment="1">
      <alignment horizontal="center"/>
      <protection/>
    </xf>
    <xf numFmtId="3" fontId="4" fillId="0" borderId="0" xfId="20" applyNumberFormat="1" applyFont="1" applyBorder="1" applyAlignment="1">
      <alignment/>
      <protection/>
    </xf>
    <xf numFmtId="3" fontId="4" fillId="0" borderId="0" xfId="21" applyNumberFormat="1" applyFont="1" applyAlignment="1">
      <alignment horizontal="right"/>
    </xf>
    <xf numFmtId="0" fontId="4" fillId="0" borderId="0" xfId="23" applyNumberFormat="1" applyFont="1" applyFill="1" applyAlignment="1">
      <alignment/>
    </xf>
    <xf numFmtId="0" fontId="4" fillId="0" borderId="0" xfId="21" applyNumberFormat="1" applyFont="1" applyFill="1" applyAlignment="1">
      <alignment/>
    </xf>
    <xf numFmtId="165" fontId="4" fillId="0" borderId="0" xfId="18" applyNumberFormat="1" applyFont="1" applyFill="1" applyAlignment="1">
      <alignment horizontal="right"/>
    </xf>
    <xf numFmtId="3" fontId="11" fillId="0" borderId="0" xfId="21" applyNumberFormat="1" applyFont="1" applyAlignment="1">
      <alignment/>
    </xf>
    <xf numFmtId="164" fontId="11" fillId="0" borderId="0" xfId="0" applyFont="1" applyAlignment="1">
      <alignment/>
    </xf>
    <xf numFmtId="174" fontId="4" fillId="0" borderId="0" xfId="21" applyNumberFormat="1" applyFont="1" applyFill="1" applyAlignment="1">
      <alignment horizontal="left"/>
    </xf>
    <xf numFmtId="165" fontId="4" fillId="3" borderId="0" xfId="18" applyNumberFormat="1" applyFont="1" applyFill="1" applyAlignment="1">
      <alignment/>
    </xf>
    <xf numFmtId="175" fontId="4" fillId="0" borderId="0" xfId="18" applyNumberFormat="1" applyFont="1" applyAlignment="1">
      <alignment/>
    </xf>
    <xf numFmtId="175" fontId="4" fillId="0" borderId="0" xfId="18" applyNumberFormat="1" applyFont="1" applyFill="1" applyAlignment="1">
      <alignment/>
    </xf>
    <xf numFmtId="175" fontId="4" fillId="0" borderId="0" xfId="18" applyNumberFormat="1" applyFont="1" applyFill="1" applyBorder="1" applyAlignment="1">
      <alignment/>
    </xf>
    <xf numFmtId="0" fontId="4" fillId="0" borderId="0" xfId="21" applyNumberFormat="1" applyFont="1" applyAlignment="1">
      <alignment wrapText="1"/>
    </xf>
    <xf numFmtId="3" fontId="4" fillId="0" borderId="0" xfId="21" applyNumberFormat="1" applyFont="1" applyAlignment="1">
      <alignment wrapText="1"/>
    </xf>
    <xf numFmtId="0" fontId="4" fillId="0" borderId="0" xfId="21" applyNumberFormat="1" applyFont="1" applyAlignment="1" quotePrefix="1">
      <alignment horizontal="left"/>
    </xf>
    <xf numFmtId="165" fontId="4" fillId="2" borderId="0" xfId="18" applyNumberFormat="1" applyFont="1" applyFill="1" applyBorder="1" applyAlignment="1">
      <alignment/>
    </xf>
    <xf numFmtId="166" fontId="4" fillId="0" borderId="0" xfId="21" applyNumberFormat="1" applyFont="1" applyAlignment="1">
      <alignment horizontal="center"/>
    </xf>
    <xf numFmtId="172" fontId="4" fillId="0" borderId="0" xfId="21" applyNumberFormat="1" applyFont="1" applyAlignment="1">
      <alignment horizontal="left"/>
    </xf>
    <xf numFmtId="43" fontId="4" fillId="0" borderId="0" xfId="18" applyNumberFormat="1" applyFont="1" applyFill="1" applyAlignment="1">
      <alignment horizontal="right"/>
    </xf>
    <xf numFmtId="172" fontId="4" fillId="0" borderId="0" xfId="21" applyNumberFormat="1" applyFont="1" applyFill="1" applyAlignment="1">
      <alignment horizontal="left"/>
    </xf>
    <xf numFmtId="10" fontId="4" fillId="0" borderId="0" xfId="21" applyNumberFormat="1" applyFont="1" applyFill="1" applyAlignment="1">
      <alignment horizontal="left"/>
    </xf>
    <xf numFmtId="165" fontId="4" fillId="0" borderId="0" xfId="18" applyNumberFormat="1" applyFont="1" applyAlignment="1">
      <alignment horizontal="right"/>
    </xf>
    <xf numFmtId="0" fontId="4" fillId="0" borderId="0" xfId="20" applyFont="1" applyAlignment="1">
      <alignment/>
      <protection/>
    </xf>
    <xf numFmtId="165" fontId="4" fillId="0" borderId="1" xfId="18" applyNumberFormat="1" applyFont="1" applyBorder="1" applyAlignment="1">
      <alignment horizontal="right"/>
    </xf>
    <xf numFmtId="172" fontId="4" fillId="0" borderId="0" xfId="21" applyNumberFormat="1" applyFont="1" applyFill="1" applyAlignment="1" applyProtection="1">
      <alignment horizontal="left"/>
      <protection locked="0"/>
    </xf>
    <xf numFmtId="176" fontId="4" fillId="0" borderId="0" xfId="21" applyNumberFormat="1" applyFont="1" applyAlignment="1">
      <alignment/>
    </xf>
    <xf numFmtId="172" fontId="4" fillId="0" borderId="0" xfId="21" applyNumberFormat="1" applyFont="1" applyAlignment="1" applyProtection="1">
      <alignment horizontal="left"/>
      <protection locked="0"/>
    </xf>
    <xf numFmtId="166" fontId="4" fillId="0" borderId="0" xfId="20" applyNumberFormat="1" applyFont="1" applyAlignment="1">
      <alignment horizontal="center"/>
      <protection/>
    </xf>
    <xf numFmtId="165" fontId="4" fillId="0" borderId="3" xfId="18" applyNumberFormat="1" applyFont="1" applyBorder="1" applyAlignment="1">
      <alignment/>
    </xf>
    <xf numFmtId="0" fontId="4" fillId="0" borderId="0" xfId="20" applyNumberFormat="1" applyFont="1" applyAlignment="1">
      <alignment/>
      <protection/>
    </xf>
    <xf numFmtId="3" fontId="4" fillId="0" borderId="0" xfId="20" applyNumberFormat="1" applyFont="1" applyFill="1" applyBorder="1" applyAlignment="1">
      <alignment/>
      <protection/>
    </xf>
    <xf numFmtId="164" fontId="4" fillId="0" borderId="0" xfId="21" applyFont="1" applyAlignment="1">
      <alignment horizontal="center"/>
    </xf>
    <xf numFmtId="164" fontId="4" fillId="0" borderId="0" xfId="21" applyFont="1" applyAlignment="1">
      <alignment horizontal="right"/>
    </xf>
    <xf numFmtId="0" fontId="11" fillId="0" borderId="0" xfId="21" applyNumberFormat="1" applyFont="1" applyAlignment="1" applyProtection="1">
      <alignment horizontal="center"/>
      <protection locked="0"/>
    </xf>
    <xf numFmtId="0" fontId="4" fillId="0" borderId="1" xfId="21" applyNumberFormat="1" applyFont="1" applyFill="1" applyBorder="1" applyProtection="1">
      <alignment/>
      <protection locked="0"/>
    </xf>
    <xf numFmtId="0" fontId="4" fillId="0" borderId="1" xfId="21" applyNumberFormat="1" applyFont="1" applyFill="1" applyBorder="1">
      <alignment/>
    </xf>
    <xf numFmtId="3" fontId="4" fillId="0" borderId="0" xfId="21" applyNumberFormat="1" applyFont="1" applyFill="1" applyAlignment="1">
      <alignment horizontal="center"/>
    </xf>
    <xf numFmtId="49" fontId="4" fillId="0" borderId="0" xfId="21" applyNumberFormat="1" applyFont="1" applyFill="1">
      <alignment/>
    </xf>
    <xf numFmtId="49" fontId="4" fillId="0" borderId="0" xfId="21" applyNumberFormat="1" applyFont="1" applyFill="1" applyAlignment="1">
      <alignment/>
    </xf>
    <xf numFmtId="49" fontId="4" fillId="0" borderId="0" xfId="21" applyNumberFormat="1" applyFont="1" applyFill="1" applyAlignment="1">
      <alignment horizontal="center"/>
    </xf>
    <xf numFmtId="175" fontId="4" fillId="0" borderId="0" xfId="18" applyNumberFormat="1" applyFont="1" applyFill="1" applyAlignment="1">
      <alignment horizontal="right"/>
    </xf>
    <xf numFmtId="3" fontId="4" fillId="0" borderId="1" xfId="21" applyNumberFormat="1" applyFont="1" applyBorder="1" applyAlignment="1">
      <alignment/>
    </xf>
    <xf numFmtId="3" fontId="4" fillId="0" borderId="1" xfId="21" applyNumberFormat="1" applyFont="1" applyBorder="1" applyAlignment="1">
      <alignment horizontal="center"/>
    </xf>
    <xf numFmtId="43" fontId="4" fillId="0" borderId="0" xfId="18" applyNumberFormat="1" applyFont="1" applyAlignment="1">
      <alignment/>
    </xf>
    <xf numFmtId="4" fontId="4" fillId="0" borderId="0" xfId="21" applyNumberFormat="1" applyFont="1" applyAlignment="1">
      <alignment/>
    </xf>
    <xf numFmtId="3" fontId="4" fillId="0" borderId="0" xfId="20" applyNumberFormat="1" applyFont="1" applyBorder="1" applyAlignment="1">
      <alignment horizontal="center"/>
      <protection/>
    </xf>
    <xf numFmtId="0" fontId="4" fillId="0" borderId="1" xfId="20" applyNumberFormat="1" applyFont="1" applyBorder="1" applyAlignment="1">
      <alignment horizontal="center"/>
      <protection/>
    </xf>
    <xf numFmtId="0" fontId="4" fillId="0" borderId="0" xfId="20" applyNumberFormat="1" applyFont="1" applyAlignment="1">
      <alignment horizontal="center"/>
      <protection/>
    </xf>
    <xf numFmtId="166" fontId="4" fillId="0" borderId="0" xfId="21" applyNumberFormat="1" applyFont="1" applyAlignment="1" applyProtection="1">
      <alignment horizontal="center"/>
      <protection locked="0"/>
    </xf>
    <xf numFmtId="173" fontId="4" fillId="0" borderId="0" xfId="18" applyNumberFormat="1" applyFont="1" applyAlignment="1">
      <alignment horizontal="center"/>
    </xf>
    <xf numFmtId="0" fontId="4" fillId="0" borderId="1" xfId="21" applyNumberFormat="1" applyFont="1" applyBorder="1" applyAlignment="1">
      <alignment/>
    </xf>
    <xf numFmtId="164" fontId="4" fillId="0" borderId="0" xfId="21" applyFont="1" applyFill="1" applyAlignment="1">
      <alignment horizontal="center"/>
    </xf>
    <xf numFmtId="165" fontId="4" fillId="0" borderId="0" xfId="18" applyNumberFormat="1" applyFont="1" applyFill="1" applyAlignment="1">
      <alignment horizontal="center"/>
    </xf>
    <xf numFmtId="43" fontId="4" fillId="0" borderId="0" xfId="18" applyFont="1" applyFill="1" applyAlignment="1">
      <alignment horizontal="center"/>
    </xf>
    <xf numFmtId="43" fontId="4" fillId="0" borderId="0" xfId="18" applyFont="1" applyFill="1" applyAlignment="1">
      <alignment horizontal="right"/>
    </xf>
    <xf numFmtId="10" fontId="4" fillId="0" borderId="0" xfId="15" applyNumberFormat="1" applyFont="1" applyAlignment="1">
      <alignment/>
    </xf>
    <xf numFmtId="3" fontId="4" fillId="0" borderId="0" xfId="21" applyNumberFormat="1" applyFont="1" applyAlignment="1" quotePrefix="1">
      <alignment/>
    </xf>
    <xf numFmtId="165" fontId="4" fillId="0" borderId="1" xfId="18" applyNumberFormat="1" applyFont="1" applyFill="1" applyBorder="1" applyAlignment="1">
      <alignment horizontal="center"/>
    </xf>
    <xf numFmtId="43" fontId="4" fillId="0" borderId="1" xfId="18" applyFont="1" applyFill="1" applyBorder="1" applyAlignment="1">
      <alignment horizontal="center"/>
    </xf>
    <xf numFmtId="170" fontId="4" fillId="0" borderId="0" xfId="21" applyNumberFormat="1" applyFont="1" applyFill="1" applyAlignment="1">
      <alignment/>
    </xf>
    <xf numFmtId="10" fontId="4" fillId="0" borderId="0" xfId="15" applyNumberFormat="1" applyFont="1" applyFill="1" applyAlignment="1">
      <alignment horizontal="right"/>
    </xf>
    <xf numFmtId="0" fontId="4" fillId="0" borderId="0" xfId="21" applyNumberFormat="1" applyFont="1" applyBorder="1" applyAlignment="1" applyProtection="1">
      <alignment horizontal="center"/>
      <protection locked="0"/>
    </xf>
    <xf numFmtId="0" fontId="8" fillId="0" borderId="0" xfId="21" applyNumberFormat="1" applyFont="1" applyProtection="1">
      <alignment/>
      <protection locked="0"/>
    </xf>
    <xf numFmtId="164" fontId="8" fillId="0" borderId="0" xfId="21" applyFont="1" applyAlignment="1">
      <alignment/>
    </xf>
    <xf numFmtId="164" fontId="4" fillId="0" borderId="0" xfId="21" applyFont="1" applyFill="1" applyAlignment="1" applyProtection="1">
      <alignment/>
      <protection/>
    </xf>
    <xf numFmtId="177" fontId="4" fillId="2" borderId="0" xfId="18" applyNumberFormat="1" applyFont="1" applyFill="1" applyBorder="1" applyProtection="1">
      <protection locked="0"/>
    </xf>
    <xf numFmtId="38" fontId="4" fillId="0" borderId="0" xfId="21" applyNumberFormat="1" applyFont="1" applyAlignment="1" applyProtection="1">
      <alignment/>
      <protection/>
    </xf>
    <xf numFmtId="164" fontId="4" fillId="0" borderId="1" xfId="21" applyFont="1" applyBorder="1" applyAlignment="1">
      <alignment/>
    </xf>
    <xf numFmtId="164" fontId="4" fillId="0" borderId="0" xfId="21" applyFont="1" applyBorder="1" applyAlignment="1">
      <alignment/>
    </xf>
    <xf numFmtId="0" fontId="4" fillId="0" borderId="0" xfId="21" applyNumberFormat="1" applyFont="1" applyBorder="1" applyProtection="1">
      <alignment/>
      <protection locked="0"/>
    </xf>
    <xf numFmtId="177" fontId="4" fillId="0" borderId="1" xfId="18" applyNumberFormat="1" applyFont="1" applyFill="1" applyBorder="1" applyProtection="1">
      <protection locked="0"/>
    </xf>
    <xf numFmtId="38" fontId="4" fillId="0" borderId="0" xfId="21" applyNumberFormat="1" applyFont="1" applyAlignment="1">
      <alignment/>
    </xf>
    <xf numFmtId="177" fontId="4" fillId="0" borderId="0" xfId="18" applyNumberFormat="1" applyFont="1" applyFill="1" applyBorder="1" applyProtection="1">
      <protection/>
    </xf>
    <xf numFmtId="167" fontId="4" fillId="0" borderId="0" xfId="21" applyNumberFormat="1" applyFont="1" applyFill="1" applyBorder="1" applyProtection="1">
      <alignment/>
      <protection/>
    </xf>
    <xf numFmtId="168" fontId="4" fillId="0" borderId="0" xfId="21" applyNumberFormat="1" applyFont="1" applyProtection="1">
      <alignment/>
      <protection locked="0"/>
    </xf>
    <xf numFmtId="165" fontId="4" fillId="2" borderId="0" xfId="18" applyNumberFormat="1" applyFont="1" applyFill="1" applyBorder="1" applyProtection="1">
      <protection/>
    </xf>
    <xf numFmtId="1" fontId="4" fillId="0" borderId="0" xfId="21" applyNumberFormat="1" applyFont="1" applyFill="1" applyProtection="1">
      <alignment/>
      <protection/>
    </xf>
    <xf numFmtId="1" fontId="4" fillId="0" borderId="0" xfId="21" applyNumberFormat="1" applyFont="1" applyFill="1" applyAlignment="1" applyProtection="1">
      <alignment/>
      <protection/>
    </xf>
    <xf numFmtId="0" fontId="4" fillId="0" borderId="0" xfId="21" applyNumberFormat="1" applyFont="1" applyAlignment="1" applyProtection="1">
      <alignment horizontal="left"/>
      <protection locked="0"/>
    </xf>
    <xf numFmtId="165" fontId="4" fillId="2" borderId="0" xfId="18" applyNumberFormat="1" applyFont="1" applyFill="1" applyBorder="1" applyAlignment="1" applyProtection="1">
      <alignment/>
      <protection locked="0"/>
    </xf>
    <xf numFmtId="3" fontId="4" fillId="0" borderId="0" xfId="21" applyNumberFormat="1" applyFont="1" applyAlignment="1" applyProtection="1">
      <alignment/>
      <protection/>
    </xf>
    <xf numFmtId="0" fontId="4" fillId="0" borderId="1" xfId="20" applyNumberFormat="1" applyFont="1" applyBorder="1" applyAlignment="1">
      <alignment horizontal="left" vertical="center" wrapText="1"/>
      <protection/>
    </xf>
    <xf numFmtId="165" fontId="4" fillId="0" borderId="1" xfId="18" applyNumberFormat="1" applyFont="1" applyFill="1" applyBorder="1" applyAlignment="1" applyProtection="1">
      <alignment/>
      <protection locked="0"/>
    </xf>
    <xf numFmtId="3" fontId="4" fillId="0" borderId="0" xfId="21" applyNumberFormat="1" applyFont="1" applyFill="1" applyAlignment="1" applyProtection="1">
      <alignment horizontal="right"/>
      <protection locked="0"/>
    </xf>
    <xf numFmtId="165" fontId="4" fillId="0" borderId="0" xfId="18" applyNumberFormat="1" applyFont="1" applyFill="1" applyBorder="1" applyAlignment="1" applyProtection="1">
      <alignment/>
      <protection/>
    </xf>
    <xf numFmtId="3" fontId="4" fillId="0" borderId="0" xfId="21" applyNumberFormat="1" applyFont="1" applyFill="1" applyAlignment="1" applyProtection="1">
      <alignment/>
      <protection/>
    </xf>
    <xf numFmtId="164" fontId="4" fillId="0" borderId="0" xfId="21" applyNumberFormat="1" applyFont="1" applyAlignment="1" applyProtection="1">
      <alignment/>
      <protection locked="0"/>
    </xf>
    <xf numFmtId="167" fontId="4" fillId="0" borderId="0" xfId="21" applyNumberFormat="1" applyFont="1" applyFill="1" applyBorder="1" applyAlignment="1" applyProtection="1">
      <alignment/>
      <protection/>
    </xf>
    <xf numFmtId="167" fontId="4" fillId="0" borderId="0" xfId="21" applyNumberFormat="1" applyFont="1" applyAlignment="1" applyProtection="1">
      <alignment horizontal="right"/>
      <protection locked="0"/>
    </xf>
    <xf numFmtId="167" fontId="4" fillId="0" borderId="0" xfId="21" applyNumberFormat="1" applyFont="1" applyProtection="1">
      <alignment/>
      <protection locked="0"/>
    </xf>
    <xf numFmtId="0" fontId="4" fillId="0" borderId="0" xfId="21" applyNumberFormat="1" applyFont="1" applyAlignment="1" applyProtection="1">
      <alignment horizontal="left" indent="8"/>
      <protection locked="0"/>
    </xf>
    <xf numFmtId="3" fontId="4" fillId="0" borderId="0" xfId="21" applyNumberFormat="1" applyFont="1" applyAlignment="1">
      <alignment vertical="top" wrapText="1"/>
    </xf>
    <xf numFmtId="0" fontId="4" fillId="0" borderId="0" xfId="21" applyNumberFormat="1" applyFont="1" applyAlignment="1" applyProtection="1">
      <alignment vertical="top" wrapText="1"/>
      <protection locked="0"/>
    </xf>
    <xf numFmtId="0" fontId="4" fillId="0" borderId="0" xfId="21" applyNumberFormat="1" applyFont="1" applyFill="1" applyAlignment="1" applyProtection="1">
      <alignment vertical="top" wrapText="1"/>
      <protection locked="0"/>
    </xf>
    <xf numFmtId="0" fontId="4" fillId="0" borderId="0" xfId="21" applyNumberFormat="1" applyFont="1" applyFill="1" applyAlignment="1" applyProtection="1">
      <alignment vertical="top"/>
      <protection locked="0"/>
    </xf>
    <xf numFmtId="9" fontId="4" fillId="2" borderId="0" xfId="18" applyNumberFormat="1" applyFont="1" applyFill="1" applyAlignment="1">
      <alignment horizontal="right"/>
    </xf>
    <xf numFmtId="172" fontId="4" fillId="2" borderId="0" xfId="18" applyNumberFormat="1" applyFont="1" applyFill="1" applyAlignment="1" applyProtection="1">
      <alignment vertical="top"/>
      <protection locked="0"/>
    </xf>
    <xf numFmtId="9" fontId="4" fillId="2" borderId="0" xfId="18" applyNumberFormat="1" applyFont="1" applyFill="1" applyAlignment="1" applyProtection="1">
      <alignment vertical="top"/>
      <protection locked="0"/>
    </xf>
    <xf numFmtId="43" fontId="4" fillId="0" borderId="0" xfId="18" applyFont="1" applyFill="1" applyAlignment="1" applyProtection="1">
      <alignment vertical="top"/>
      <protection locked="0"/>
    </xf>
    <xf numFmtId="164" fontId="4" fillId="0" borderId="0" xfId="21" applyFont="1" applyFill="1" applyAlignment="1">
      <alignment vertical="top" wrapText="1"/>
    </xf>
    <xf numFmtId="0" fontId="4" fillId="0" borderId="0" xfId="20" applyFont="1" applyFill="1" applyAlignment="1">
      <alignment vertical="top" wrapText="1"/>
      <protection/>
    </xf>
    <xf numFmtId="0" fontId="4" fillId="0" borderId="0" xfId="20" applyNumberFormat="1" applyFont="1" applyFill="1" applyAlignment="1">
      <alignment vertical="top"/>
      <protection/>
    </xf>
    <xf numFmtId="0" fontId="4" fillId="0" borderId="0" xfId="20" applyNumberFormat="1" applyFont="1" applyAlignment="1">
      <alignment vertical="top"/>
      <protection/>
    </xf>
    <xf numFmtId="0" fontId="4" fillId="0" borderId="0" xfId="21" applyNumberFormat="1" applyFont="1" applyAlignment="1" applyProtection="1">
      <alignment vertical="top"/>
      <protection locked="0"/>
    </xf>
    <xf numFmtId="167" fontId="4" fillId="0" borderId="0" xfId="21" applyNumberFormat="1" applyFont="1" applyFill="1" applyBorder="1" applyAlignment="1" applyProtection="1">
      <alignment vertical="top"/>
      <protection/>
    </xf>
    <xf numFmtId="3" fontId="4" fillId="0" borderId="0" xfId="21" applyNumberFormat="1" applyFont="1" applyAlignment="1" applyProtection="1">
      <alignment vertical="top"/>
      <protection/>
    </xf>
    <xf numFmtId="3" fontId="4" fillId="0" borderId="0" xfId="21" applyNumberFormat="1" applyFont="1" applyFill="1" applyAlignment="1" applyProtection="1">
      <alignment vertical="top"/>
      <protection/>
    </xf>
    <xf numFmtId="164" fontId="4" fillId="0" borderId="0" xfId="0" applyFont="1" applyAlignment="1">
      <alignment vertical="top"/>
    </xf>
    <xf numFmtId="164" fontId="13" fillId="0" borderId="0" xfId="0" applyFont="1" applyFill="1" applyAlignment="1">
      <alignment/>
    </xf>
    <xf numFmtId="0" fontId="4" fillId="0" borderId="0" xfId="24" applyFont="1" applyAlignment="1">
      <alignment vertical="center"/>
      <protection/>
    </xf>
    <xf numFmtId="164" fontId="4" fillId="0" borderId="0" xfId="22" applyFont="1" applyFill="1" applyBorder="1" applyAlignment="1">
      <alignment/>
    </xf>
    <xf numFmtId="164" fontId="4" fillId="0" borderId="0" xfId="22" applyFont="1" applyFill="1" applyBorder="1" applyAlignment="1">
      <alignment horizontal="right"/>
    </xf>
    <xf numFmtId="0" fontId="4" fillId="0" borderId="0" xfId="22" applyNumberFormat="1" applyFont="1" applyFill="1" applyBorder="1" applyAlignment="1" applyProtection="1">
      <alignment/>
      <protection locked="0"/>
    </xf>
    <xf numFmtId="0" fontId="4" fillId="0" borderId="0" xfId="22" applyNumberFormat="1" applyFont="1" applyFill="1" applyBorder="1" applyAlignment="1" applyProtection="1">
      <alignment horizontal="center"/>
      <protection locked="0"/>
    </xf>
    <xf numFmtId="0" fontId="4" fillId="0" borderId="0" xfId="22" applyNumberFormat="1" applyFont="1" applyFill="1" applyBorder="1" applyProtection="1">
      <alignment/>
      <protection locked="0"/>
    </xf>
    <xf numFmtId="0" fontId="4" fillId="0" borderId="0" xfId="20" applyFont="1" applyFill="1">
      <alignment/>
      <protection/>
    </xf>
    <xf numFmtId="0" fontId="4" fillId="0" borderId="0" xfId="22" applyNumberFormat="1" applyFont="1" applyFill="1" applyAlignment="1">
      <alignment horizontal="right"/>
    </xf>
    <xf numFmtId="0" fontId="4" fillId="0" borderId="0" xfId="22" applyNumberFormat="1" applyFont="1" applyFill="1" applyBorder="1">
      <alignment/>
    </xf>
    <xf numFmtId="165" fontId="14" fillId="0" borderId="0" xfId="18" applyNumberFormat="1" applyFont="1" applyFill="1" applyBorder="1"/>
    <xf numFmtId="3" fontId="4" fillId="0" borderId="0" xfId="22" applyNumberFormat="1" applyFont="1" applyFill="1" applyBorder="1" applyAlignment="1">
      <alignment/>
    </xf>
    <xf numFmtId="0" fontId="14" fillId="0" borderId="0" xfId="22" applyNumberFormat="1" applyFont="1" applyFill="1" applyBorder="1" applyAlignment="1">
      <alignment horizontal="center"/>
    </xf>
    <xf numFmtId="0" fontId="14" fillId="0" borderId="0" xfId="22" applyNumberFormat="1" applyFont="1" applyFill="1" applyBorder="1">
      <alignment/>
    </xf>
    <xf numFmtId="49" fontId="4" fillId="0" borderId="0" xfId="22" applyNumberFormat="1" applyFont="1" applyFill="1" applyBorder="1">
      <alignment/>
    </xf>
    <xf numFmtId="165" fontId="4" fillId="0" borderId="0" xfId="18" applyNumberFormat="1" applyFont="1" applyFill="1" applyBorder="1"/>
    <xf numFmtId="3" fontId="4" fillId="0" borderId="0" xfId="22" applyNumberFormat="1" applyFont="1" applyFill="1" applyBorder="1">
      <alignment/>
    </xf>
    <xf numFmtId="0" fontId="4" fillId="0" borderId="0" xfId="22" applyNumberFormat="1" applyFont="1" applyFill="1" applyBorder="1" applyAlignment="1">
      <alignment horizontal="center"/>
    </xf>
    <xf numFmtId="49" fontId="4" fillId="0" borderId="0" xfId="22" applyNumberFormat="1" applyFont="1" applyFill="1" applyBorder="1" applyAlignment="1">
      <alignment horizontal="center"/>
    </xf>
    <xf numFmtId="0" fontId="4" fillId="0" borderId="0" xfId="22" applyNumberFormat="1" applyFont="1" applyFill="1" applyBorder="1" applyAlignment="1">
      <alignment/>
    </xf>
    <xf numFmtId="3" fontId="10" fillId="0" borderId="0" xfId="22" applyNumberFormat="1" applyFont="1" applyFill="1" applyBorder="1" applyAlignment="1">
      <alignment horizontal="center"/>
    </xf>
    <xf numFmtId="165" fontId="4" fillId="0" borderId="0" xfId="18" applyNumberFormat="1" applyFont="1" applyFill="1" applyBorder="1" applyAlignment="1">
      <alignment horizontal="center"/>
    </xf>
    <xf numFmtId="164" fontId="10" fillId="0" borderId="0" xfId="22" applyFont="1" applyFill="1" applyBorder="1" applyAlignment="1">
      <alignment horizontal="center"/>
    </xf>
    <xf numFmtId="0" fontId="10" fillId="0" borderId="0" xfId="22" applyNumberFormat="1" applyFont="1" applyFill="1" applyBorder="1" applyAlignment="1" applyProtection="1">
      <alignment horizontal="center"/>
      <protection locked="0"/>
    </xf>
    <xf numFmtId="0" fontId="10" fillId="0" borderId="0" xfId="22" applyNumberFormat="1" applyFont="1" applyFill="1" applyBorder="1" applyAlignment="1">
      <alignment horizontal="center"/>
    </xf>
    <xf numFmtId="0" fontId="10" fillId="0" borderId="0" xfId="22" applyNumberFormat="1" applyFont="1" applyFill="1" applyBorder="1" applyAlignment="1">
      <alignment/>
    </xf>
    <xf numFmtId="0" fontId="15" fillId="0" borderId="0" xfId="22" applyNumberFormat="1" applyFont="1" applyFill="1" applyBorder="1" applyAlignment="1" applyProtection="1">
      <alignment horizontal="center"/>
      <protection locked="0"/>
    </xf>
    <xf numFmtId="3" fontId="4" fillId="0" borderId="0" xfId="22" applyNumberFormat="1" applyFont="1" applyFill="1" applyBorder="1" applyAlignment="1">
      <alignment horizontal="center"/>
    </xf>
    <xf numFmtId="3" fontId="4" fillId="0" borderId="0" xfId="22" applyNumberFormat="1" applyFont="1" applyFill="1" applyBorder="1" applyAlignment="1">
      <alignment horizontal="left"/>
    </xf>
    <xf numFmtId="177" fontId="4" fillId="0" borderId="0" xfId="18" applyNumberFormat="1" applyFont="1" applyFill="1" applyBorder="1" applyAlignment="1">
      <alignment/>
    </xf>
    <xf numFmtId="43" fontId="4" fillId="0" borderId="0" xfId="18" applyNumberFormat="1" applyFont="1" applyFill="1" applyBorder="1" applyAlignment="1">
      <alignment/>
    </xf>
    <xf numFmtId="178" fontId="16" fillId="0" borderId="0" xfId="18" applyNumberFormat="1" applyFont="1" applyFill="1" applyBorder="1" applyAlignment="1">
      <alignment/>
    </xf>
    <xf numFmtId="10" fontId="16" fillId="0" borderId="0" xfId="15" applyNumberFormat="1" applyFont="1" applyFill="1" applyBorder="1" applyAlignment="1">
      <alignment/>
    </xf>
    <xf numFmtId="10" fontId="10" fillId="0" borderId="0" xfId="22" applyNumberFormat="1" applyFont="1" applyFill="1" applyBorder="1" applyAlignment="1">
      <alignment/>
    </xf>
    <xf numFmtId="3" fontId="10" fillId="0" borderId="0" xfId="22" applyNumberFormat="1" applyFont="1" applyFill="1" applyBorder="1" applyAlignment="1">
      <alignment/>
    </xf>
    <xf numFmtId="171" fontId="10" fillId="0" borderId="0" xfId="22" applyNumberFormat="1" applyFont="1" applyFill="1" applyBorder="1" applyAlignment="1">
      <alignment/>
    </xf>
    <xf numFmtId="10" fontId="4" fillId="0" borderId="0" xfId="22" applyNumberFormat="1" applyFont="1" applyFill="1" applyBorder="1" applyAlignment="1">
      <alignment/>
    </xf>
    <xf numFmtId="164" fontId="4" fillId="0" borderId="0" xfId="22" applyFont="1" applyFill="1" applyBorder="1" applyAlignment="1">
      <alignment horizontal="left"/>
    </xf>
    <xf numFmtId="164" fontId="4" fillId="0" borderId="0" xfId="22" applyFont="1" applyFill="1" applyBorder="1" applyAlignment="1">
      <alignment horizontal="center"/>
    </xf>
    <xf numFmtId="43" fontId="4" fillId="0" borderId="0" xfId="18" applyFont="1" applyFill="1" applyBorder="1" applyAlignment="1">
      <alignment/>
    </xf>
    <xf numFmtId="43" fontId="16" fillId="0" borderId="0" xfId="18" applyFont="1" applyFill="1" applyBorder="1" applyAlignment="1">
      <alignment/>
    </xf>
    <xf numFmtId="43" fontId="4" fillId="0" borderId="0" xfId="18" applyFont="1" applyFill="1" applyBorder="1" applyAlignment="1">
      <alignment horizontal="center"/>
    </xf>
    <xf numFmtId="49" fontId="10" fillId="0" borderId="0" xfId="22" applyNumberFormat="1" applyFont="1" applyFill="1" applyBorder="1" applyAlignment="1">
      <alignment horizontal="center"/>
    </xf>
    <xf numFmtId="164" fontId="10" fillId="0" borderId="0" xfId="22" applyFont="1" applyFill="1" applyBorder="1" applyAlignment="1">
      <alignment/>
    </xf>
    <xf numFmtId="3" fontId="10" fillId="0" borderId="0" xfId="22" applyNumberFormat="1" applyFont="1" applyFill="1" applyBorder="1" applyAlignment="1">
      <alignment horizontal="left"/>
    </xf>
    <xf numFmtId="179" fontId="10" fillId="0" borderId="0" xfId="18" applyNumberFormat="1" applyFont="1" applyFill="1" applyBorder="1" applyAlignment="1">
      <alignment/>
    </xf>
    <xf numFmtId="10" fontId="10" fillId="0" borderId="0" xfId="15" applyNumberFormat="1" applyFont="1" applyFill="1" applyBorder="1" applyAlignment="1">
      <alignment/>
    </xf>
    <xf numFmtId="0" fontId="4" fillId="0" borderId="0" xfId="22" applyNumberFormat="1" applyFont="1" applyFill="1" applyBorder="1" applyAlignment="1">
      <alignment horizontal="fill"/>
    </xf>
    <xf numFmtId="164" fontId="8" fillId="0" borderId="0" xfId="22" applyFont="1" applyFill="1" applyBorder="1" applyAlignment="1">
      <alignment/>
    </xf>
    <xf numFmtId="3" fontId="8" fillId="0" borderId="0" xfId="22" applyNumberFormat="1" applyFont="1" applyFill="1" applyBorder="1" applyAlignment="1">
      <alignment/>
    </xf>
    <xf numFmtId="172" fontId="4" fillId="0" borderId="0" xfId="22" applyNumberFormat="1" applyFont="1" applyFill="1" applyBorder="1" applyAlignment="1">
      <alignment horizontal="left"/>
    </xf>
    <xf numFmtId="172" fontId="4" fillId="0" borderId="0" xfId="22" applyNumberFormat="1" applyFont="1" applyFill="1" applyBorder="1" applyAlignment="1">
      <alignment horizontal="center"/>
    </xf>
    <xf numFmtId="167" fontId="4" fillId="0" borderId="0" xfId="22" applyNumberFormat="1" applyFont="1" applyFill="1" applyBorder="1" applyAlignment="1">
      <alignment/>
    </xf>
    <xf numFmtId="43" fontId="10" fillId="0" borderId="0" xfId="18" applyFont="1" applyFill="1" applyBorder="1" applyAlignment="1">
      <alignment/>
    </xf>
    <xf numFmtId="0" fontId="8" fillId="0" borderId="0" xfId="22" applyNumberFormat="1" applyFont="1" applyFill="1" applyBorder="1">
      <alignment/>
    </xf>
    <xf numFmtId="49" fontId="4" fillId="0" borderId="0" xfId="22" applyNumberFormat="1" applyFont="1" applyFill="1" applyBorder="1" applyAlignment="1">
      <alignment horizontal="left"/>
    </xf>
    <xf numFmtId="0" fontId="4" fillId="0" borderId="0" xfId="22" applyNumberFormat="1" applyFont="1" applyFill="1" applyBorder="1" applyAlignment="1">
      <alignment horizontal="right"/>
    </xf>
    <xf numFmtId="180" fontId="10" fillId="0" borderId="0" xfId="22" applyNumberFormat="1" applyFont="1" applyFill="1" applyBorder="1" applyAlignment="1">
      <alignment horizontal="center"/>
    </xf>
    <xf numFmtId="180" fontId="10" fillId="0" borderId="0" xfId="22" applyNumberFormat="1" applyFont="1" applyFill="1" applyBorder="1" applyAlignment="1" quotePrefix="1">
      <alignment horizontal="center"/>
    </xf>
    <xf numFmtId="164" fontId="10" fillId="0" borderId="4" xfId="22" applyFont="1" applyFill="1" applyBorder="1" applyAlignment="1">
      <alignment horizontal="center" wrapText="1"/>
    </xf>
    <xf numFmtId="164" fontId="10" fillId="0" borderId="5" xfId="22" applyFont="1" applyFill="1" applyBorder="1" applyAlignment="1">
      <alignment/>
    </xf>
    <xf numFmtId="164" fontId="10" fillId="0" borderId="6" xfId="22" applyFont="1" applyFill="1" applyBorder="1" applyAlignment="1">
      <alignment/>
    </xf>
    <xf numFmtId="164" fontId="10" fillId="0" borderId="5" xfId="22" applyFont="1" applyFill="1" applyBorder="1" applyAlignment="1">
      <alignment horizontal="center" wrapText="1"/>
    </xf>
    <xf numFmtId="0" fontId="10" fillId="0" borderId="5" xfId="22" applyNumberFormat="1" applyFont="1" applyFill="1" applyBorder="1" applyAlignment="1">
      <alignment horizontal="center" wrapText="1"/>
    </xf>
    <xf numFmtId="164" fontId="10" fillId="0" borderId="7" xfId="22" applyFont="1" applyFill="1" applyBorder="1" applyAlignment="1">
      <alignment horizontal="center" wrapText="1"/>
    </xf>
    <xf numFmtId="3" fontId="10" fillId="0" borderId="7" xfId="22" applyNumberFormat="1" applyFont="1" applyFill="1" applyBorder="1" applyAlignment="1">
      <alignment horizontal="center" wrapText="1"/>
    </xf>
    <xf numFmtId="0" fontId="4" fillId="0" borderId="4" xfId="22" applyNumberFormat="1" applyFont="1" applyFill="1" applyBorder="1">
      <alignment/>
    </xf>
    <xf numFmtId="0" fontId="4" fillId="0" borderId="5" xfId="22" applyNumberFormat="1" applyFont="1" applyFill="1" applyBorder="1">
      <alignment/>
    </xf>
    <xf numFmtId="0" fontId="4" fillId="0" borderId="5" xfId="22" applyNumberFormat="1" applyFont="1" applyFill="1" applyBorder="1" applyAlignment="1">
      <alignment horizontal="center"/>
    </xf>
    <xf numFmtId="0" fontId="4" fillId="0" borderId="7" xfId="22" applyNumberFormat="1" applyFont="1" applyFill="1" applyBorder="1" applyAlignment="1">
      <alignment horizontal="center"/>
    </xf>
    <xf numFmtId="0" fontId="4" fillId="0" borderId="7" xfId="22" applyNumberFormat="1" applyFont="1" applyFill="1" applyBorder="1" applyAlignment="1">
      <alignment horizontal="center" wrapText="1"/>
    </xf>
    <xf numFmtId="3" fontId="4" fillId="0" borderId="7" xfId="22" applyNumberFormat="1" applyFont="1" applyFill="1" applyBorder="1" applyAlignment="1">
      <alignment horizontal="center" wrapText="1"/>
    </xf>
    <xf numFmtId="0" fontId="4" fillId="0" borderId="5" xfId="22" applyNumberFormat="1" applyFont="1" applyFill="1" applyBorder="1" applyAlignment="1">
      <alignment horizontal="center" wrapText="1"/>
    </xf>
    <xf numFmtId="3" fontId="4" fillId="0" borderId="5" xfId="22" applyNumberFormat="1" applyFont="1" applyFill="1" applyBorder="1" applyAlignment="1">
      <alignment horizontal="center"/>
    </xf>
    <xf numFmtId="0" fontId="4" fillId="0" borderId="8" xfId="22" applyNumberFormat="1" applyFont="1" applyFill="1" applyBorder="1">
      <alignment/>
    </xf>
    <xf numFmtId="0" fontId="4" fillId="0" borderId="9" xfId="22" applyNumberFormat="1" applyFont="1" applyFill="1" applyBorder="1">
      <alignment/>
    </xf>
    <xf numFmtId="0" fontId="4" fillId="0" borderId="10" xfId="22" applyNumberFormat="1" applyFont="1" applyFill="1" applyBorder="1">
      <alignment/>
    </xf>
    <xf numFmtId="0" fontId="4" fillId="0" borderId="11" xfId="22" applyNumberFormat="1" applyFont="1" applyFill="1" applyBorder="1">
      <alignment/>
    </xf>
    <xf numFmtId="3" fontId="4" fillId="0" borderId="9" xfId="22" applyNumberFormat="1" applyFont="1" applyFill="1" applyBorder="1" applyAlignment="1">
      <alignment/>
    </xf>
    <xf numFmtId="164" fontId="4" fillId="0" borderId="8" xfId="25" applyFont="1" applyFill="1" applyBorder="1" applyAlignment="1">
      <alignment/>
    </xf>
    <xf numFmtId="164" fontId="4" fillId="0" borderId="0" xfId="25" applyFont="1" applyFill="1" applyBorder="1" applyAlignment="1">
      <alignment/>
    </xf>
    <xf numFmtId="164" fontId="4" fillId="2" borderId="0" xfId="25" applyFont="1" applyFill="1" applyBorder="1" applyAlignment="1">
      <alignment/>
    </xf>
    <xf numFmtId="0" fontId="4" fillId="2" borderId="0" xfId="18" applyNumberFormat="1" applyFont="1" applyFill="1" applyBorder="1" applyAlignment="1">
      <alignment/>
    </xf>
    <xf numFmtId="181" fontId="4" fillId="2" borderId="0" xfId="16" applyNumberFormat="1" applyFont="1" applyFill="1" applyBorder="1" applyAlignment="1">
      <alignment/>
    </xf>
    <xf numFmtId="43" fontId="4" fillId="0" borderId="9" xfId="18" applyFont="1" applyFill="1" applyBorder="1" applyAlignment="1">
      <alignment/>
    </xf>
    <xf numFmtId="165" fontId="4" fillId="0" borderId="9" xfId="18" applyNumberFormat="1" applyFont="1" applyFill="1" applyBorder="1" applyAlignment="1">
      <alignment/>
    </xf>
    <xf numFmtId="165" fontId="4" fillId="2" borderId="8" xfId="18" applyNumberFormat="1" applyFont="1" applyFill="1" applyBorder="1" applyAlignment="1">
      <alignment/>
    </xf>
    <xf numFmtId="0" fontId="4" fillId="2" borderId="0" xfId="18" applyNumberFormat="1" applyFont="1" applyFill="1" applyBorder="1" applyAlignment="1">
      <alignment horizontal="right"/>
    </xf>
    <xf numFmtId="164" fontId="4" fillId="0" borderId="8" xfId="22" applyFont="1" applyFill="1" applyBorder="1" applyAlignment="1">
      <alignment/>
    </xf>
    <xf numFmtId="164" fontId="4" fillId="2" borderId="0" xfId="22" applyFont="1" applyFill="1" applyBorder="1" applyAlignment="1">
      <alignment/>
    </xf>
    <xf numFmtId="164" fontId="4" fillId="0" borderId="12" xfId="22" applyFont="1" applyFill="1" applyBorder="1" applyAlignment="1">
      <alignment/>
    </xf>
    <xf numFmtId="164" fontId="4" fillId="0" borderId="13" xfId="22" applyFont="1" applyFill="1" applyBorder="1" applyAlignment="1">
      <alignment/>
    </xf>
    <xf numFmtId="164" fontId="4" fillId="0" borderId="14" xfId="22" applyFont="1" applyFill="1" applyBorder="1" applyAlignment="1">
      <alignment/>
    </xf>
    <xf numFmtId="165" fontId="4" fillId="0" borderId="14" xfId="18" applyNumberFormat="1" applyFont="1" applyFill="1" applyBorder="1" applyAlignment="1">
      <alignment/>
    </xf>
    <xf numFmtId="165" fontId="4" fillId="0" borderId="13" xfId="18" applyNumberFormat="1" applyFont="1" applyFill="1" applyBorder="1" applyAlignment="1">
      <alignment/>
    </xf>
    <xf numFmtId="165" fontId="9" fillId="0" borderId="12" xfId="18" applyNumberFormat="1" applyFont="1" applyFill="1" applyBorder="1" applyAlignment="1">
      <alignment/>
    </xf>
    <xf numFmtId="165" fontId="9" fillId="0" borderId="14" xfId="18" applyNumberFormat="1" applyFont="1" applyFill="1" applyBorder="1" applyAlignment="1">
      <alignment/>
    </xf>
    <xf numFmtId="165" fontId="9" fillId="0" borderId="13" xfId="18" applyNumberFormat="1" applyFont="1" applyFill="1" applyBorder="1" applyAlignment="1">
      <alignment/>
    </xf>
    <xf numFmtId="1" fontId="4" fillId="0" borderId="0" xfId="18" applyNumberFormat="1" applyFont="1" applyFill="1" applyBorder="1" applyAlignment="1">
      <alignment horizontal="center"/>
    </xf>
    <xf numFmtId="165" fontId="4" fillId="4" borderId="0" xfId="18" applyNumberFormat="1" applyFont="1" applyFill="1" applyBorder="1" applyAlignment="1">
      <alignment/>
    </xf>
    <xf numFmtId="164" fontId="4" fillId="0" borderId="1" xfId="22" applyFont="1" applyFill="1" applyBorder="1" applyAlignment="1">
      <alignment/>
    </xf>
    <xf numFmtId="164" fontId="4" fillId="0" borderId="0" xfId="22" applyFont="1" applyFill="1" applyBorder="1" applyAlignment="1">
      <alignment horizontal="center" vertical="top"/>
    </xf>
    <xf numFmtId="164" fontId="4" fillId="0" borderId="0" xfId="25" applyFont="1" applyFill="1" applyBorder="1" applyAlignment="1">
      <alignment vertical="top"/>
    </xf>
    <xf numFmtId="165" fontId="0" fillId="0" borderId="0" xfId="18" applyNumberFormat="1" applyFont="1" applyAlignment="1">
      <alignment/>
    </xf>
    <xf numFmtId="164" fontId="17" fillId="0" borderId="0" xfId="0" applyFont="1" applyAlignment="1">
      <alignment/>
    </xf>
    <xf numFmtId="0" fontId="18" fillId="0" borderId="0" xfId="22" applyNumberFormat="1" applyFont="1" applyFill="1" applyBorder="1" applyAlignment="1" applyProtection="1">
      <alignment/>
      <protection locked="0"/>
    </xf>
    <xf numFmtId="0" fontId="18" fillId="0" borderId="0" xfId="22" applyNumberFormat="1" applyFont="1" applyFill="1" applyBorder="1" applyAlignment="1" applyProtection="1">
      <alignment horizontal="center"/>
      <protection locked="0"/>
    </xf>
    <xf numFmtId="0" fontId="17" fillId="0" borderId="0" xfId="22" applyNumberFormat="1" applyFont="1" applyFill="1" applyAlignment="1">
      <alignment horizontal="right"/>
    </xf>
    <xf numFmtId="164" fontId="0" fillId="0" borderId="0" xfId="0" applyAlignment="1">
      <alignment/>
    </xf>
    <xf numFmtId="3" fontId="18" fillId="0" borderId="0" xfId="22" applyNumberFormat="1" applyFont="1" applyFill="1" applyBorder="1" applyAlignment="1">
      <alignment/>
    </xf>
    <xf numFmtId="0" fontId="18" fillId="0" borderId="0" xfId="22" applyNumberFormat="1" applyFont="1" applyFill="1" applyBorder="1" applyProtection="1">
      <alignment/>
      <protection locked="0"/>
    </xf>
    <xf numFmtId="164" fontId="0" fillId="0" borderId="0" xfId="22" applyFont="1" applyFill="1" applyBorder="1" applyAlignment="1">
      <alignment/>
    </xf>
    <xf numFmtId="0" fontId="18" fillId="0" borderId="0" xfId="22" applyNumberFormat="1" applyFont="1" applyFill="1" applyBorder="1">
      <alignment/>
    </xf>
    <xf numFmtId="0" fontId="18" fillId="0" borderId="0" xfId="22" applyNumberFormat="1" applyFont="1" applyFill="1" applyBorder="1" applyAlignment="1">
      <alignment horizontal="center"/>
    </xf>
    <xf numFmtId="164" fontId="0" fillId="0" borderId="0" xfId="22" applyFill="1" applyBorder="1" applyAlignment="1">
      <alignment/>
    </xf>
    <xf numFmtId="164" fontId="18" fillId="0" borderId="0" xfId="0" applyFont="1" applyAlignment="1">
      <alignment horizontal="center" vertical="center"/>
    </xf>
    <xf numFmtId="165" fontId="17" fillId="0" borderId="0" xfId="18" applyNumberFormat="1" applyFont="1" applyAlignment="1">
      <alignment/>
    </xf>
    <xf numFmtId="167" fontId="17" fillId="0" borderId="0" xfId="0" applyNumberFormat="1" applyFont="1" applyAlignment="1">
      <alignment/>
    </xf>
    <xf numFmtId="165" fontId="17" fillId="0" borderId="0" xfId="18" applyNumberFormat="1" applyFont="1" applyAlignment="1" applyProtection="1">
      <alignment horizontal="center"/>
      <protection locked="0"/>
    </xf>
    <xf numFmtId="0" fontId="17" fillId="0" borderId="0" xfId="21" applyNumberFormat="1" applyFont="1" applyAlignment="1" applyProtection="1">
      <alignment/>
      <protection locked="0"/>
    </xf>
    <xf numFmtId="3" fontId="17" fillId="0" borderId="0" xfId="21" applyNumberFormat="1" applyFont="1" applyAlignment="1">
      <alignment/>
    </xf>
    <xf numFmtId="3" fontId="17" fillId="0" borderId="1" xfId="21" applyNumberFormat="1" applyFont="1" applyBorder="1" applyAlignment="1">
      <alignment horizontal="center"/>
    </xf>
    <xf numFmtId="0" fontId="17" fillId="0" borderId="0" xfId="21" applyNumberFormat="1" applyFont="1" applyAlignment="1">
      <alignment/>
    </xf>
    <xf numFmtId="3" fontId="17" fillId="0" borderId="0" xfId="21" applyNumberFormat="1" applyFont="1" applyAlignment="1">
      <alignment horizontal="center"/>
    </xf>
    <xf numFmtId="0" fontId="17" fillId="0" borderId="1" xfId="21" applyNumberFormat="1" applyFont="1" applyBorder="1" applyAlignment="1" applyProtection="1">
      <alignment horizontal="center"/>
      <protection locked="0"/>
    </xf>
    <xf numFmtId="164" fontId="17" fillId="0" borderId="0" xfId="21" applyFont="1" applyFill="1" applyAlignment="1">
      <alignment/>
    </xf>
    <xf numFmtId="43" fontId="17" fillId="2" borderId="0" xfId="18" applyFont="1" applyFill="1" applyAlignment="1">
      <alignment horizontal="center"/>
    </xf>
    <xf numFmtId="43" fontId="17" fillId="2" borderId="0" xfId="18" applyFont="1" applyFill="1" applyAlignment="1">
      <alignment/>
    </xf>
    <xf numFmtId="43" fontId="17" fillId="0" borderId="0" xfId="18" applyFont="1" applyAlignment="1">
      <alignment/>
    </xf>
    <xf numFmtId="164" fontId="17" fillId="0" borderId="0" xfId="21" applyFont="1" applyFill="1" applyAlignment="1">
      <alignment wrapText="1"/>
    </xf>
    <xf numFmtId="43" fontId="17" fillId="0" borderId="1" xfId="18" applyFont="1" applyBorder="1" applyAlignment="1">
      <alignment horizontal="center"/>
    </xf>
    <xf numFmtId="170" fontId="17" fillId="5" borderId="0" xfId="18" applyNumberFormat="1" applyFont="1" applyFill="1" applyAlignment="1">
      <alignment/>
    </xf>
    <xf numFmtId="43" fontId="17" fillId="0" borderId="1" xfId="18" applyFont="1" applyBorder="1" applyAlignment="1">
      <alignment/>
    </xf>
    <xf numFmtId="164" fontId="17" fillId="0" borderId="0" xfId="21" applyFont="1" applyAlignment="1">
      <alignment/>
    </xf>
    <xf numFmtId="43" fontId="17" fillId="0" borderId="0" xfId="18" applyFont="1" applyFill="1" applyAlignment="1">
      <alignment horizontal="center"/>
    </xf>
    <xf numFmtId="3" fontId="17" fillId="0" borderId="0" xfId="21" applyNumberFormat="1" applyFont="1" applyFill="1" applyAlignment="1">
      <alignment/>
    </xf>
    <xf numFmtId="166" fontId="17" fillId="0" borderId="0" xfId="21" applyNumberFormat="1" applyFont="1" applyAlignment="1">
      <alignment horizontal="center"/>
    </xf>
    <xf numFmtId="172" fontId="17" fillId="0" borderId="0" xfId="21" applyNumberFormat="1" applyFont="1" applyAlignment="1">
      <alignment horizontal="left"/>
    </xf>
    <xf numFmtId="175" fontId="18" fillId="0" borderId="0" xfId="18" applyNumberFormat="1" applyFont="1" applyFill="1" applyAlignment="1">
      <alignment horizontal="right"/>
    </xf>
    <xf numFmtId="0" fontId="17" fillId="0" borderId="0" xfId="21" applyNumberFormat="1" applyFont="1" applyFill="1" applyAlignment="1">
      <alignment/>
    </xf>
    <xf numFmtId="172" fontId="17" fillId="0" borderId="0" xfId="21" applyNumberFormat="1" applyFont="1" applyFill="1" applyAlignment="1">
      <alignment horizontal="left"/>
    </xf>
    <xf numFmtId="43" fontId="17" fillId="0" borderId="0" xfId="18" applyFont="1" applyFill="1" applyAlignment="1">
      <alignment horizontal="right"/>
    </xf>
    <xf numFmtId="165" fontId="17" fillId="0" borderId="0" xfId="18" applyNumberFormat="1" applyFont="1" applyBorder="1" applyAlignment="1">
      <alignment/>
    </xf>
    <xf numFmtId="10" fontId="17" fillId="0" borderId="0" xfId="21" applyNumberFormat="1" applyFont="1" applyFill="1" applyAlignment="1">
      <alignment horizontal="left"/>
    </xf>
    <xf numFmtId="43" fontId="17" fillId="0" borderId="0" xfId="18" applyFont="1" applyAlignment="1">
      <alignment horizontal="right"/>
    </xf>
    <xf numFmtId="3" fontId="17" fillId="0" borderId="0" xfId="20" applyNumberFormat="1" applyFont="1" applyAlignment="1">
      <alignment/>
      <protection/>
    </xf>
    <xf numFmtId="166" fontId="17" fillId="0" borderId="0" xfId="20" applyNumberFormat="1" applyFont="1" applyAlignment="1">
      <alignment/>
      <protection/>
    </xf>
    <xf numFmtId="0" fontId="17" fillId="0" borderId="0" xfId="20" applyFont="1" applyAlignment="1">
      <alignment/>
      <protection/>
    </xf>
    <xf numFmtId="43" fontId="17" fillId="0" borderId="13" xfId="18" applyFont="1" applyBorder="1" applyAlignment="1">
      <alignment horizontal="right"/>
    </xf>
    <xf numFmtId="172" fontId="17" fillId="0" borderId="0" xfId="21" applyNumberFormat="1" applyFont="1" applyFill="1" applyAlignment="1" applyProtection="1">
      <alignment horizontal="left"/>
      <protection locked="0"/>
    </xf>
    <xf numFmtId="43" fontId="17" fillId="0" borderId="13" xfId="18" applyFont="1" applyBorder="1" applyAlignment="1">
      <alignment/>
    </xf>
    <xf numFmtId="165" fontId="17" fillId="0" borderId="0" xfId="18" applyNumberFormat="1" applyFont="1" applyAlignment="1">
      <alignment horizontal="left" indent="2"/>
    </xf>
    <xf numFmtId="175" fontId="17" fillId="0" borderId="0" xfId="18" applyNumberFormat="1" applyFont="1" applyAlignment="1">
      <alignment/>
    </xf>
    <xf numFmtId="165" fontId="0" fillId="0" borderId="0" xfId="18" applyNumberFormat="1" applyFont="1" applyAlignment="1">
      <alignment horizontal="center"/>
    </xf>
    <xf numFmtId="0" fontId="4" fillId="0" borderId="0" xfId="18" applyNumberFormat="1" applyFont="1" applyFill="1" applyBorder="1" applyAlignment="1">
      <alignment horizontal="center"/>
    </xf>
    <xf numFmtId="0" fontId="4" fillId="0" borderId="0" xfId="26" applyNumberFormat="1" applyFont="1" applyFill="1" applyBorder="1" applyAlignment="1" applyProtection="1">
      <alignment horizontal="center"/>
      <protection locked="0"/>
    </xf>
    <xf numFmtId="0" fontId="4" fillId="0" borderId="0" xfId="18" applyNumberFormat="1" applyFont="1" applyFill="1" applyBorder="1" applyAlignment="1" applyProtection="1">
      <alignment horizontal="center"/>
      <protection locked="0"/>
    </xf>
    <xf numFmtId="164" fontId="19" fillId="0" borderId="0" xfId="22" applyFont="1" applyFill="1" applyBorder="1" applyAlignment="1">
      <alignment/>
    </xf>
    <xf numFmtId="0" fontId="4" fillId="0" borderId="0" xfId="18" applyNumberFormat="1" applyFont="1" applyAlignment="1">
      <alignment horizontal="center"/>
    </xf>
    <xf numFmtId="164" fontId="4" fillId="0" borderId="0" xfId="0" applyFont="1"/>
    <xf numFmtId="164" fontId="4" fillId="0" borderId="0" xfId="0" applyFont="1" applyAlignment="1">
      <alignment horizontal="center"/>
    </xf>
    <xf numFmtId="164" fontId="4" fillId="0" borderId="10" xfId="0" applyFont="1" applyBorder="1"/>
    <xf numFmtId="164" fontId="4" fillId="0" borderId="11" xfId="0" applyFont="1" applyBorder="1" applyAlignment="1">
      <alignment horizontal="center"/>
    </xf>
    <xf numFmtId="164" fontId="4" fillId="0" borderId="6" xfId="0" applyFont="1" applyBorder="1"/>
    <xf numFmtId="164" fontId="4" fillId="0" borderId="15" xfId="0" applyFont="1" applyBorder="1"/>
    <xf numFmtId="164" fontId="4" fillId="0" borderId="12" xfId="0" applyFont="1" applyBorder="1" applyAlignment="1">
      <alignment/>
    </xf>
    <xf numFmtId="164" fontId="4" fillId="0" borderId="14" xfId="0" applyFont="1" applyBorder="1" applyAlignment="1">
      <alignment horizontal="center"/>
    </xf>
    <xf numFmtId="164" fontId="4" fillId="0" borderId="13" xfId="0" applyFont="1" applyBorder="1" applyAlignment="1">
      <alignment/>
    </xf>
    <xf numFmtId="164" fontId="4" fillId="0" borderId="16" xfId="0" applyFont="1" applyBorder="1" applyAlignment="1">
      <alignment/>
    </xf>
    <xf numFmtId="164" fontId="4" fillId="3" borderId="0" xfId="0" applyFont="1" applyFill="1"/>
    <xf numFmtId="164" fontId="4" fillId="0" borderId="11" xfId="0" applyFont="1" applyBorder="1"/>
    <xf numFmtId="181" fontId="4" fillId="3" borderId="8" xfId="16" applyNumberFormat="1" applyFont="1" applyFill="1" applyBorder="1"/>
    <xf numFmtId="164" fontId="4" fillId="0" borderId="9" xfId="0" applyFont="1" applyBorder="1"/>
    <xf numFmtId="164" fontId="4" fillId="0" borderId="7" xfId="0" applyFont="1" applyBorder="1" applyAlignment="1">
      <alignment horizontal="center"/>
    </xf>
    <xf numFmtId="164" fontId="4" fillId="0" borderId="9" xfId="0" applyFont="1" applyBorder="1" applyAlignment="1">
      <alignment horizontal="center"/>
    </xf>
    <xf numFmtId="164" fontId="4" fillId="0" borderId="8" xfId="0" applyFont="1" applyBorder="1" applyAlignment="1">
      <alignment horizontal="center"/>
    </xf>
    <xf numFmtId="164" fontId="4" fillId="0" borderId="0" xfId="0" applyFont="1" applyBorder="1" applyAlignment="1">
      <alignment horizontal="center"/>
    </xf>
    <xf numFmtId="164" fontId="4" fillId="0" borderId="10" xfId="0" applyFont="1" applyBorder="1" applyAlignment="1">
      <alignment horizontal="center"/>
    </xf>
    <xf numFmtId="164" fontId="19" fillId="0" borderId="14" xfId="22" applyFont="1" applyFill="1" applyBorder="1" applyAlignment="1">
      <alignment horizontal="center"/>
    </xf>
    <xf numFmtId="43" fontId="4" fillId="3" borderId="10" xfId="18" applyFont="1" applyFill="1" applyBorder="1"/>
    <xf numFmtId="43" fontId="4" fillId="0" borderId="11" xfId="18" applyFont="1" applyBorder="1"/>
    <xf numFmtId="43" fontId="4" fillId="0" borderId="17" xfId="18" applyFont="1" applyBorder="1"/>
    <xf numFmtId="43" fontId="4" fillId="3" borderId="15" xfId="18" applyFont="1" applyFill="1" applyBorder="1"/>
    <xf numFmtId="43" fontId="4" fillId="0" borderId="9" xfId="18" applyFont="1" applyBorder="1" applyAlignment="1">
      <alignment horizontal="center"/>
    </xf>
    <xf numFmtId="43" fontId="4" fillId="3" borderId="11" xfId="18" applyFont="1" applyFill="1" applyBorder="1" applyAlignment="1">
      <alignment horizontal="center"/>
    </xf>
    <xf numFmtId="164" fontId="4" fillId="3" borderId="9" xfId="0" applyFont="1" applyFill="1" applyBorder="1"/>
    <xf numFmtId="43" fontId="4" fillId="3" borderId="8" xfId="18" applyFont="1" applyFill="1" applyBorder="1"/>
    <xf numFmtId="43" fontId="4" fillId="0" borderId="9" xfId="18" applyFont="1" applyBorder="1"/>
    <xf numFmtId="43" fontId="4" fillId="3" borderId="17" xfId="18" applyFont="1" applyFill="1" applyBorder="1"/>
    <xf numFmtId="43" fontId="4" fillId="3" borderId="9" xfId="18" applyFont="1" applyFill="1" applyBorder="1"/>
    <xf numFmtId="164" fontId="4" fillId="0" borderId="14" xfId="0" applyFont="1" applyBorder="1"/>
    <xf numFmtId="181" fontId="4" fillId="0" borderId="12" xfId="16" applyNumberFormat="1" applyFont="1" applyFill="1" applyBorder="1"/>
    <xf numFmtId="10" fontId="4" fillId="0" borderId="14" xfId="15" applyNumberFormat="1" applyFont="1" applyBorder="1"/>
    <xf numFmtId="164" fontId="4" fillId="0" borderId="13" xfId="0" applyFont="1" applyBorder="1"/>
    <xf numFmtId="181" fontId="4" fillId="0" borderId="16" xfId="16" applyNumberFormat="1" applyFont="1" applyFill="1" applyBorder="1"/>
    <xf numFmtId="43" fontId="4" fillId="0" borderId="0" xfId="18" applyFont="1"/>
    <xf numFmtId="43" fontId="4" fillId="3" borderId="0" xfId="18" applyFont="1" applyFill="1"/>
    <xf numFmtId="164" fontId="4" fillId="0" borderId="0" xfId="0" applyFont="1" applyFill="1"/>
    <xf numFmtId="164" fontId="4" fillId="0" borderId="0" xfId="0" applyNumberFormat="1" applyFont="1" applyFill="1" applyBorder="1" applyAlignment="1" applyProtection="1">
      <alignment/>
      <protection/>
    </xf>
    <xf numFmtId="164" fontId="4" fillId="0" borderId="0" xfId="22" applyFont="1" applyAlignment="1">
      <alignment/>
    </xf>
    <xf numFmtId="0" fontId="10" fillId="0" borderId="0" xfId="18" applyNumberFormat="1" applyFont="1" applyFill="1" applyBorder="1" applyAlignment="1">
      <alignment horizontal="left"/>
    </xf>
    <xf numFmtId="0" fontId="4" fillId="0" borderId="0" xfId="18" applyNumberFormat="1" applyFont="1" applyFill="1" applyAlignment="1">
      <alignment horizontal="center"/>
    </xf>
    <xf numFmtId="164" fontId="4" fillId="0" borderId="13" xfId="22" applyFont="1" applyFill="1" applyBorder="1" applyAlignment="1">
      <alignment horizontal="center"/>
    </xf>
    <xf numFmtId="164" fontId="4" fillId="0" borderId="0" xfId="22" applyFont="1" applyAlignment="1">
      <alignment horizontal="center"/>
    </xf>
    <xf numFmtId="164" fontId="4" fillId="0" borderId="10" xfId="22" applyFont="1" applyFill="1" applyBorder="1" applyAlignment="1">
      <alignment horizontal="center"/>
    </xf>
    <xf numFmtId="164" fontId="4" fillId="0" borderId="11" xfId="22" applyFont="1" applyFill="1" applyBorder="1" applyAlignment="1">
      <alignment horizontal="center"/>
    </xf>
    <xf numFmtId="164" fontId="4" fillId="0" borderId="11" xfId="22" applyFont="1" applyBorder="1" applyAlignment="1">
      <alignment horizontal="center"/>
    </xf>
    <xf numFmtId="164" fontId="4" fillId="0" borderId="8" xfId="22" applyFont="1" applyBorder="1" applyAlignment="1">
      <alignment horizontal="center"/>
    </xf>
    <xf numFmtId="164" fontId="4" fillId="0" borderId="9" xfId="22" applyFont="1" applyBorder="1" applyAlignment="1">
      <alignment horizontal="center"/>
    </xf>
    <xf numFmtId="43" fontId="4" fillId="3" borderId="8" xfId="18" applyFont="1" applyFill="1" applyBorder="1" applyAlignment="1">
      <alignment horizontal="center"/>
    </xf>
    <xf numFmtId="43" fontId="4" fillId="3" borderId="9" xfId="18" applyFont="1" applyFill="1" applyBorder="1" applyAlignment="1">
      <alignment/>
    </xf>
    <xf numFmtId="165" fontId="4" fillId="0" borderId="9" xfId="18" applyNumberFormat="1" applyFont="1" applyBorder="1" applyAlignment="1">
      <alignment/>
    </xf>
    <xf numFmtId="164" fontId="4" fillId="0" borderId="12" xfId="22" applyFont="1" applyFill="1" applyBorder="1" applyAlignment="1">
      <alignment horizontal="center"/>
    </xf>
    <xf numFmtId="0" fontId="4" fillId="0" borderId="0" xfId="27" applyFont="1">
      <alignment/>
      <protection/>
    </xf>
    <xf numFmtId="0" fontId="4" fillId="0" borderId="0" xfId="18" applyNumberFormat="1" applyFont="1" applyFill="1" applyAlignment="1">
      <alignment horizontal="center" vertical="top"/>
    </xf>
    <xf numFmtId="0" fontId="4" fillId="0" borderId="0" xfId="0" applyNumberFormat="1" applyFont="1" applyAlignment="1">
      <alignment horizontal="center" vertical="top"/>
    </xf>
    <xf numFmtId="0" fontId="11" fillId="0" borderId="0" xfId="0" applyNumberFormat="1" applyFont="1" applyAlignment="1">
      <alignment horizontal="center"/>
    </xf>
    <xf numFmtId="0" fontId="4" fillId="0" borderId="0" xfId="28" applyFont="1">
      <alignment/>
      <protection/>
    </xf>
    <xf numFmtId="0" fontId="4" fillId="0" borderId="0" xfId="28" applyFont="1" applyAlignment="1">
      <alignment horizontal="right"/>
      <protection/>
    </xf>
    <xf numFmtId="0" fontId="4" fillId="0" borderId="0" xfId="0" applyNumberFormat="1" applyFont="1" applyAlignment="1">
      <alignment horizontal="center"/>
    </xf>
    <xf numFmtId="0" fontId="4" fillId="0" borderId="0" xfId="28" applyFont="1" applyFill="1">
      <alignment/>
      <protection/>
    </xf>
    <xf numFmtId="0" fontId="4" fillId="0" borderId="0" xfId="28" applyFont="1" applyAlignment="1">
      <alignment horizontal="center"/>
      <protection/>
    </xf>
    <xf numFmtId="164" fontId="4" fillId="0" borderId="0" xfId="0" applyFont="1" applyAlignment="1">
      <alignment horizontal="right"/>
    </xf>
    <xf numFmtId="0" fontId="10" fillId="0" borderId="0" xfId="28" applyFont="1" applyAlignment="1">
      <alignment horizontal="centerContinuous"/>
      <protection/>
    </xf>
    <xf numFmtId="0" fontId="10" fillId="0" borderId="0" xfId="28" applyFont="1" applyAlignment="1">
      <alignment horizontal="center"/>
      <protection/>
    </xf>
    <xf numFmtId="0" fontId="4" fillId="0" borderId="0" xfId="0" applyNumberFormat="1" applyFont="1" applyAlignment="1">
      <alignment horizontal="center" wrapText="1"/>
    </xf>
    <xf numFmtId="0" fontId="10" fillId="0" borderId="0" xfId="28" applyFont="1" applyAlignment="1">
      <alignment horizontal="center" wrapText="1"/>
      <protection/>
    </xf>
    <xf numFmtId="164" fontId="4" fillId="0" borderId="0" xfId="0" applyFont="1" applyAlignment="1">
      <alignment wrapText="1"/>
    </xf>
    <xf numFmtId="0" fontId="10" fillId="0" borderId="0" xfId="23" applyFont="1" applyFill="1" applyBorder="1" applyAlignment="1">
      <alignment horizontal="center" wrapText="1"/>
    </xf>
    <xf numFmtId="0" fontId="4" fillId="0" borderId="0" xfId="29" applyFont="1" applyFill="1" applyAlignment="1">
      <alignment horizontal="left" wrapText="1"/>
      <protection/>
    </xf>
    <xf numFmtId="0" fontId="4" fillId="0" borderId="0" xfId="28" applyFont="1" applyAlignment="1">
      <alignment horizontal="center" wrapText="1"/>
      <protection/>
    </xf>
    <xf numFmtId="0" fontId="4" fillId="0" borderId="0" xfId="23" applyFont="1" applyFill="1" applyBorder="1" applyAlignment="1">
      <alignment horizontal="center" wrapText="1"/>
    </xf>
    <xf numFmtId="3" fontId="4" fillId="0" borderId="0" xfId="20" applyNumberFormat="1" applyFont="1" applyAlignment="1">
      <alignment wrapText="1"/>
      <protection/>
    </xf>
    <xf numFmtId="3" fontId="4" fillId="0" borderId="0" xfId="20" applyNumberFormat="1" applyFont="1" applyFill="1" applyAlignment="1">
      <alignment wrapText="1"/>
      <protection/>
    </xf>
    <xf numFmtId="3" fontId="4" fillId="0" borderId="0" xfId="20" applyNumberFormat="1" applyFont="1" applyAlignment="1">
      <alignment horizontal="center" wrapText="1"/>
      <protection/>
    </xf>
    <xf numFmtId="0" fontId="4" fillId="0" borderId="0" xfId="28" applyFont="1" applyAlignment="1" quotePrefix="1">
      <alignment horizontal="left"/>
      <protection/>
    </xf>
    <xf numFmtId="41" fontId="4" fillId="2" borderId="0" xfId="28" applyNumberFormat="1" applyFont="1" applyFill="1">
      <alignment/>
      <protection/>
    </xf>
    <xf numFmtId="165" fontId="4" fillId="2" borderId="0" xfId="18" applyNumberFormat="1" applyFont="1" applyFill="1"/>
    <xf numFmtId="165" fontId="4" fillId="0" borderId="3" xfId="18" applyNumberFormat="1" applyFont="1" applyBorder="1"/>
    <xf numFmtId="37" fontId="4" fillId="0" borderId="0" xfId="28" applyNumberFormat="1" applyFont="1">
      <alignment/>
      <protection/>
    </xf>
    <xf numFmtId="164" fontId="4" fillId="0" borderId="0" xfId="30" applyFont="1" applyAlignment="1">
      <alignment/>
    </xf>
    <xf numFmtId="0" fontId="10" fillId="0" borderId="0" xfId="28" applyFont="1" applyAlignment="1">
      <alignment horizontal="centerContinuous" wrapText="1"/>
      <protection/>
    </xf>
    <xf numFmtId="0" fontId="10" fillId="0" borderId="0" xfId="28" applyFont="1" applyFill="1" applyAlignment="1">
      <alignment horizontal="center" wrapText="1"/>
      <protection/>
    </xf>
    <xf numFmtId="41" fontId="4" fillId="6" borderId="0" xfId="28" applyNumberFormat="1" applyFont="1" applyFill="1">
      <alignment/>
      <protection/>
    </xf>
    <xf numFmtId="43" fontId="4" fillId="0" borderId="3" xfId="18" applyFont="1" applyBorder="1"/>
    <xf numFmtId="44" fontId="4" fillId="0" borderId="0" xfId="0" applyNumberFormat="1" applyFont="1" applyBorder="1" applyAlignment="1">
      <alignment/>
    </xf>
    <xf numFmtId="44" fontId="4" fillId="0" borderId="0" xfId="0" applyNumberFormat="1" applyFont="1" applyFill="1" applyBorder="1" applyAlignment="1">
      <alignment/>
    </xf>
    <xf numFmtId="164" fontId="4" fillId="0" borderId="0" xfId="0" applyFont="1" applyFill="1" applyAlignment="1">
      <alignment horizontal="center"/>
    </xf>
    <xf numFmtId="0" fontId="4" fillId="0" borderId="0" xfId="21" applyNumberFormat="1" applyFont="1" applyFill="1" applyAlignment="1">
      <alignment horizontal="center"/>
    </xf>
    <xf numFmtId="0" fontId="4" fillId="0" borderId="0" xfId="31" applyFont="1" applyFill="1" applyBorder="1" applyAlignment="1">
      <alignment/>
      <protection/>
    </xf>
    <xf numFmtId="0" fontId="4" fillId="0" borderId="0" xfId="31" applyFont="1" applyFill="1" applyBorder="1" applyAlignment="1">
      <alignment horizontal="center"/>
      <protection/>
    </xf>
    <xf numFmtId="3" fontId="4" fillId="0" borderId="0" xfId="31" applyNumberFormat="1" applyFont="1" applyFill="1" applyBorder="1" applyAlignment="1">
      <alignment horizontal="center" wrapText="1"/>
      <protection/>
    </xf>
    <xf numFmtId="0" fontId="4" fillId="0" borderId="0" xfId="31" applyFont="1" applyFill="1" applyBorder="1" applyAlignment="1">
      <alignment horizontal="center" wrapText="1"/>
      <protection/>
    </xf>
    <xf numFmtId="164" fontId="11" fillId="0" borderId="0" xfId="0" applyFont="1" applyBorder="1" applyAlignment="1">
      <alignment/>
    </xf>
    <xf numFmtId="164" fontId="4" fillId="0" borderId="0" xfId="0" applyFont="1" applyFill="1" applyBorder="1" applyAlignment="1">
      <alignment/>
    </xf>
    <xf numFmtId="0" fontId="4" fillId="3" borderId="0" xfId="31" applyFont="1" applyFill="1" applyBorder="1" applyAlignment="1">
      <alignment/>
      <protection/>
    </xf>
    <xf numFmtId="165" fontId="4" fillId="3" borderId="0" xfId="18" applyNumberFormat="1" applyFont="1" applyFill="1" applyBorder="1" applyAlignment="1">
      <alignment horizontal="center"/>
    </xf>
    <xf numFmtId="164" fontId="11" fillId="3" borderId="0" xfId="0" applyFont="1" applyFill="1" applyAlignment="1">
      <alignment/>
    </xf>
    <xf numFmtId="165" fontId="4" fillId="0" borderId="0" xfId="18" applyNumberFormat="1" applyFont="1" applyFill="1" applyBorder="1" applyAlignment="1">
      <alignment horizontal="center" wrapText="1"/>
    </xf>
    <xf numFmtId="165" fontId="4" fillId="3" borderId="0" xfId="18" applyNumberFormat="1" applyFont="1" applyFill="1" applyBorder="1"/>
    <xf numFmtId="0" fontId="4" fillId="3" borderId="13" xfId="31" applyFont="1" applyFill="1" applyBorder="1" applyAlignment="1">
      <alignment/>
      <protection/>
    </xf>
    <xf numFmtId="165" fontId="4" fillId="3" borderId="13" xfId="18" applyNumberFormat="1" applyFont="1" applyFill="1" applyBorder="1"/>
    <xf numFmtId="165" fontId="4" fillId="3" borderId="13" xfId="18" applyNumberFormat="1" applyFont="1" applyFill="1" applyBorder="1" applyAlignment="1">
      <alignment horizontal="center"/>
    </xf>
    <xf numFmtId="164" fontId="11" fillId="3" borderId="13" xfId="0" applyFont="1" applyFill="1" applyBorder="1" applyAlignment="1">
      <alignment/>
    </xf>
    <xf numFmtId="165" fontId="4" fillId="0" borderId="13" xfId="18" applyNumberFormat="1" applyFont="1" applyFill="1" applyBorder="1" applyAlignment="1">
      <alignment horizontal="center" wrapText="1"/>
    </xf>
    <xf numFmtId="0" fontId="9" fillId="0" borderId="0" xfId="0" applyNumberFormat="1" applyFont="1" applyAlignment="1">
      <alignment horizontal="center"/>
    </xf>
    <xf numFmtId="164" fontId="9" fillId="0" borderId="0" xfId="0" applyFont="1" applyAlignment="1">
      <alignment horizontal="center"/>
    </xf>
    <xf numFmtId="44" fontId="9" fillId="0" borderId="0" xfId="0" applyNumberFormat="1" applyFont="1" applyBorder="1" applyAlignment="1">
      <alignment/>
    </xf>
    <xf numFmtId="164" fontId="4" fillId="0" borderId="0" xfId="0" applyFont="1" applyBorder="1" applyAlignment="1">
      <alignment/>
    </xf>
    <xf numFmtId="0" fontId="4" fillId="0" borderId="0" xfId="0" applyNumberFormat="1" applyFont="1" applyFill="1" applyAlignment="1">
      <alignment horizontal="center"/>
    </xf>
    <xf numFmtId="0" fontId="4" fillId="0" borderId="0" xfId="0" applyNumberFormat="1" applyFont="1" applyFill="1" applyBorder="1" applyAlignment="1" applyProtection="1">
      <alignment/>
      <protection/>
    </xf>
    <xf numFmtId="164" fontId="4" fillId="0" borderId="0" xfId="0" applyFont="1" applyFill="1" applyAlignment="1">
      <alignment vertical="center" wrapText="1"/>
    </xf>
    <xf numFmtId="164" fontId="4" fillId="0" borderId="0" xfId="0" applyFont="1" applyFill="1" applyAlignment="1">
      <alignment horizontal="left" vertical="center"/>
    </xf>
    <xf numFmtId="164" fontId="4" fillId="0" borderId="0" xfId="0" applyFont="1" applyFill="1" applyAlignment="1">
      <alignment horizontal="left" vertical="center" wrapText="1"/>
    </xf>
    <xf numFmtId="0" fontId="4" fillId="0" borderId="0" xfId="20" applyNumberFormat="1" applyFont="1" applyFill="1" applyAlignment="1">
      <alignment vertical="top" wrapText="1"/>
      <protection/>
    </xf>
    <xf numFmtId="0" fontId="4" fillId="0" borderId="0" xfId="0" applyNumberFormat="1" applyFont="1" applyFill="1" applyAlignment="1">
      <alignment horizontal="center" vertical="top"/>
    </xf>
    <xf numFmtId="0" fontId="4" fillId="0" borderId="0" xfId="0" applyNumberFormat="1" applyFont="1" applyFill="1" applyBorder="1" applyAlignment="1">
      <alignment vertical="top"/>
    </xf>
    <xf numFmtId="0" fontId="4" fillId="0" borderId="0" xfId="21" applyNumberFormat="1" applyFont="1" applyFill="1" applyProtection="1" quotePrefix="1">
      <alignment/>
      <protection locked="0"/>
    </xf>
    <xf numFmtId="0" fontId="7" fillId="0" borderId="0" xfId="32" applyFont="1">
      <alignment/>
      <protection/>
    </xf>
    <xf numFmtId="0" fontId="22" fillId="0" borderId="0" xfId="32" applyFont="1">
      <alignment/>
      <protection/>
    </xf>
    <xf numFmtId="0" fontId="22" fillId="0" borderId="0" xfId="32" applyFont="1" applyAlignment="1">
      <alignment horizontal="right"/>
      <protection/>
    </xf>
    <xf numFmtId="0" fontId="23" fillId="3" borderId="0" xfId="32" applyFont="1" applyFill="1">
      <alignment/>
      <protection/>
    </xf>
    <xf numFmtId="0" fontId="24" fillId="0" borderId="0" xfId="32" applyFont="1">
      <alignment/>
      <protection/>
    </xf>
    <xf numFmtId="0" fontId="24" fillId="0" borderId="0" xfId="32" applyFont="1" applyBorder="1" applyAlignment="1">
      <alignment vertical="center"/>
      <protection/>
    </xf>
    <xf numFmtId="0" fontId="24" fillId="0" borderId="0" xfId="32" applyFont="1" applyBorder="1" applyAlignment="1">
      <alignment horizontal="center" vertical="center" wrapText="1"/>
      <protection/>
    </xf>
    <xf numFmtId="0" fontId="24" fillId="0" borderId="11" xfId="32" applyFont="1" applyBorder="1" applyAlignment="1">
      <alignment horizontal="center" vertical="center"/>
      <protection/>
    </xf>
    <xf numFmtId="0" fontId="24" fillId="0" borderId="0" xfId="32" applyFont="1" applyBorder="1" applyAlignment="1">
      <alignment horizontal="center" vertical="center"/>
      <protection/>
    </xf>
    <xf numFmtId="0" fontId="22" fillId="0" borderId="14" xfId="32" applyFont="1" applyBorder="1" applyAlignment="1">
      <alignment horizontal="center" vertical="center" wrapText="1"/>
      <protection/>
    </xf>
    <xf numFmtId="0" fontId="22" fillId="0" borderId="0" xfId="32" applyFont="1" applyBorder="1" applyAlignment="1">
      <alignment horizontal="center" vertical="center" wrapText="1"/>
      <protection/>
    </xf>
    <xf numFmtId="0" fontId="22" fillId="0" borderId="0" xfId="32" applyFont="1" applyBorder="1" applyAlignment="1">
      <alignment horizontal="left" vertical="center"/>
      <protection/>
    </xf>
    <xf numFmtId="15" fontId="22" fillId="0" borderId="0" xfId="32" applyNumberFormat="1" applyFont="1" applyBorder="1" applyAlignment="1">
      <alignment vertical="center" wrapText="1"/>
      <protection/>
    </xf>
    <xf numFmtId="165" fontId="22" fillId="0" borderId="0" xfId="33" applyNumberFormat="1" applyFont="1" applyBorder="1" applyAlignment="1">
      <alignment horizontal="right" vertical="center" wrapText="1"/>
    </xf>
    <xf numFmtId="165" fontId="22" fillId="0" borderId="0" xfId="33" applyNumberFormat="1" applyFont="1" applyBorder="1" applyAlignment="1">
      <alignment vertical="center" wrapText="1"/>
    </xf>
    <xf numFmtId="165" fontId="22" fillId="3" borderId="0" xfId="33" applyNumberFormat="1" applyFont="1" applyFill="1" applyBorder="1" applyAlignment="1">
      <alignment vertical="center" wrapText="1"/>
    </xf>
    <xf numFmtId="165" fontId="22" fillId="0" borderId="0" xfId="33" applyNumberFormat="1" applyFont="1" applyFill="1" applyBorder="1" applyAlignment="1">
      <alignment horizontal="right" vertical="center" wrapText="1"/>
    </xf>
    <xf numFmtId="165" fontId="22" fillId="3" borderId="0" xfId="33" applyNumberFormat="1" applyFont="1" applyFill="1" applyBorder="1" applyAlignment="1">
      <alignment horizontal="right" vertical="center" wrapText="1"/>
    </xf>
    <xf numFmtId="165" fontId="22" fillId="0" borderId="0" xfId="34" applyNumberFormat="1" applyFont="1" applyBorder="1" applyAlignment="1">
      <alignment/>
    </xf>
    <xf numFmtId="43" fontId="22" fillId="0" borderId="0" xfId="18" applyFont="1"/>
    <xf numFmtId="0" fontId="22" fillId="0" borderId="6" xfId="32" applyFont="1" applyBorder="1" applyAlignment="1">
      <alignment vertical="center" wrapText="1"/>
      <protection/>
    </xf>
    <xf numFmtId="165" fontId="22" fillId="0" borderId="6" xfId="32" applyNumberFormat="1" applyFont="1" applyBorder="1" applyAlignment="1">
      <alignment vertical="center" wrapText="1"/>
      <protection/>
    </xf>
    <xf numFmtId="0" fontId="22" fillId="0" borderId="6" xfId="32" applyFont="1" applyBorder="1" applyAlignment="1">
      <alignment horizontal="right" vertical="center" wrapText="1"/>
      <protection/>
    </xf>
    <xf numFmtId="165" fontId="22" fillId="0" borderId="6" xfId="33" applyNumberFormat="1" applyFont="1" applyBorder="1" applyAlignment="1">
      <alignment vertical="center" wrapText="1"/>
    </xf>
    <xf numFmtId="0" fontId="22" fillId="0" borderId="0" xfId="32" applyFont="1" applyBorder="1" applyAlignment="1">
      <alignment horizontal="right" vertical="center" wrapText="1"/>
      <protection/>
    </xf>
    <xf numFmtId="0" fontId="22" fillId="0" borderId="0" xfId="32" applyFont="1" applyBorder="1" applyAlignment="1">
      <alignment vertical="center" wrapText="1"/>
      <protection/>
    </xf>
    <xf numFmtId="0" fontId="22" fillId="0" borderId="0" xfId="32" applyFont="1" applyBorder="1">
      <alignment/>
      <protection/>
    </xf>
    <xf numFmtId="0" fontId="22" fillId="0" borderId="0" xfId="32" applyFont="1" applyBorder="1" applyAlignment="1">
      <alignment horizontal="justify" vertical="center" wrapText="1"/>
      <protection/>
    </xf>
    <xf numFmtId="0" fontId="22" fillId="0" borderId="0" xfId="32" applyFont="1" applyFill="1">
      <alignment/>
      <protection/>
    </xf>
    <xf numFmtId="165" fontId="22" fillId="0" borderId="0" xfId="33" applyNumberFormat="1" applyFont="1" applyFill="1" applyBorder="1" applyAlignment="1">
      <alignment vertical="center" wrapText="1"/>
    </xf>
    <xf numFmtId="165" fontId="22" fillId="0" borderId="6" xfId="33" applyNumberFormat="1" applyFont="1" applyFill="1" applyBorder="1" applyAlignment="1">
      <alignment vertical="center" wrapText="1"/>
    </xf>
    <xf numFmtId="165" fontId="24" fillId="0" borderId="0" xfId="32" applyNumberFormat="1" applyFont="1">
      <alignment/>
      <protection/>
    </xf>
    <xf numFmtId="0" fontId="22" fillId="0" borderId="0" xfId="32" applyFont="1" applyFill="1" applyBorder="1">
      <alignment/>
      <protection/>
    </xf>
    <xf numFmtId="0" fontId="24" fillId="0" borderId="0" xfId="32" applyFont="1" applyFill="1" applyBorder="1">
      <alignment/>
      <protection/>
    </xf>
    <xf numFmtId="165" fontId="24" fillId="0" borderId="0" xfId="33" applyNumberFormat="1" applyFont="1" applyFill="1" applyBorder="1" applyAlignment="1">
      <alignment vertical="center" wrapText="1"/>
    </xf>
    <xf numFmtId="165" fontId="22" fillId="0" borderId="0" xfId="18" applyNumberFormat="1" applyFont="1"/>
    <xf numFmtId="165" fontId="17" fillId="0" borderId="0" xfId="18" applyNumberFormat="1" applyFont="1" applyFill="1" applyAlignment="1">
      <alignment horizontal="center"/>
    </xf>
    <xf numFmtId="182" fontId="22" fillId="0" borderId="0" xfId="18" applyNumberFormat="1" applyFont="1" applyBorder="1" applyAlignment="1">
      <alignment horizontal="right" vertical="center" wrapText="1"/>
    </xf>
    <xf numFmtId="165" fontId="22" fillId="0" borderId="0" xfId="32" applyNumberFormat="1" applyFont="1">
      <alignment/>
      <protection/>
    </xf>
    <xf numFmtId="0" fontId="25" fillId="0" borderId="0" xfId="32" applyFont="1">
      <alignment/>
      <protection/>
    </xf>
    <xf numFmtId="43" fontId="22" fillId="0" borderId="0" xfId="32" applyNumberFormat="1" applyFont="1" applyBorder="1">
      <alignment/>
      <protection/>
    </xf>
    <xf numFmtId="0" fontId="26" fillId="0" borderId="0" xfId="31" applyFont="1" applyAlignment="1">
      <alignment horizontal="left" indent="1"/>
      <protection/>
    </xf>
    <xf numFmtId="165" fontId="22" fillId="0" borderId="6" xfId="35" applyNumberFormat="1" applyFont="1" applyBorder="1" applyAlignment="1">
      <alignment vertical="center" wrapText="1"/>
    </xf>
    <xf numFmtId="43" fontId="24" fillId="0" borderId="0" xfId="32" applyNumberFormat="1" applyFont="1">
      <alignment/>
      <protection/>
    </xf>
    <xf numFmtId="0" fontId="28" fillId="0" borderId="0" xfId="32" applyFont="1">
      <alignment/>
      <protection/>
    </xf>
    <xf numFmtId="49" fontId="11" fillId="0" borderId="0" xfId="0" applyNumberFormat="1" applyFont="1" applyAlignment="1">
      <alignment horizontal="center"/>
    </xf>
    <xf numFmtId="49" fontId="4" fillId="0" borderId="0" xfId="0" applyNumberFormat="1" applyFont="1" applyAlignment="1">
      <alignment horizontal="center" vertical="center" wrapText="1"/>
    </xf>
    <xf numFmtId="0" fontId="4" fillId="0" borderId="0" xfId="29" applyFont="1" applyAlignment="1">
      <alignment horizontal="center" vertical="center" wrapText="1"/>
      <protection/>
    </xf>
    <xf numFmtId="0" fontId="4" fillId="0" borderId="0" xfId="29" applyFont="1" applyFill="1" applyAlignment="1">
      <alignment horizontal="center" vertical="center" wrapText="1"/>
      <protection/>
    </xf>
    <xf numFmtId="0" fontId="4" fillId="0" borderId="0" xfId="23" applyNumberFormat="1" applyFont="1" applyFill="1" applyAlignment="1">
      <alignment horizontal="center" wrapText="1"/>
    </xf>
    <xf numFmtId="164" fontId="4" fillId="0" borderId="0" xfId="0" applyFont="1" applyAlignment="1">
      <alignment horizontal="center" vertical="center" wrapText="1"/>
    </xf>
    <xf numFmtId="0" fontId="9" fillId="0" borderId="0" xfId="29" applyFont="1" applyFill="1" applyBorder="1" applyAlignment="1">
      <alignment horizontal="center" vertical="center" wrapText="1"/>
      <protection/>
    </xf>
    <xf numFmtId="0" fontId="4" fillId="0" borderId="0" xfId="29" applyFont="1" applyAlignment="1">
      <alignment horizontal="center"/>
      <protection/>
    </xf>
    <xf numFmtId="49" fontId="4" fillId="0" borderId="0" xfId="0" applyNumberFormat="1" applyFont="1" applyAlignment="1">
      <alignment horizontal="center"/>
    </xf>
    <xf numFmtId="0" fontId="4" fillId="0" borderId="0" xfId="29" applyFont="1" applyFill="1" applyAlignment="1">
      <alignment horizontal="center"/>
      <protection/>
    </xf>
    <xf numFmtId="0" fontId="9" fillId="0" borderId="0" xfId="29" applyFont="1" applyFill="1" applyBorder="1" applyAlignment="1">
      <alignment horizontal="center"/>
      <protection/>
    </xf>
    <xf numFmtId="0" fontId="4" fillId="0" borderId="0" xfId="29" applyFont="1" applyAlignment="1">
      <alignment horizontal="center" wrapText="1"/>
      <protection/>
    </xf>
    <xf numFmtId="164" fontId="4" fillId="0" borderId="0" xfId="0" applyFont="1" applyAlignment="1">
      <alignment horizontal="center" wrapText="1"/>
    </xf>
    <xf numFmtId="164" fontId="11" fillId="0" borderId="0" xfId="0" applyFont="1" applyAlignment="1">
      <alignment horizontal="center"/>
    </xf>
    <xf numFmtId="164" fontId="11" fillId="0" borderId="0" xfId="0" applyFont="1" applyFill="1" applyBorder="1" applyAlignment="1">
      <alignment horizontal="center"/>
    </xf>
    <xf numFmtId="0" fontId="4" fillId="0" borderId="0" xfId="29" applyFont="1" applyAlignment="1">
      <alignment wrapText="1"/>
      <protection/>
    </xf>
    <xf numFmtId="0" fontId="4" fillId="0" borderId="0" xfId="29" applyFont="1">
      <alignment/>
      <protection/>
    </xf>
    <xf numFmtId="165" fontId="4" fillId="2" borderId="0" xfId="18" applyNumberFormat="1" applyFont="1" applyFill="1" applyAlignment="1">
      <alignment horizontal="right"/>
    </xf>
    <xf numFmtId="43" fontId="29" fillId="0" borderId="0" xfId="18" applyFont="1" applyFill="1" applyBorder="1"/>
    <xf numFmtId="0" fontId="4" fillId="0" borderId="6" xfId="29" applyFont="1" applyBorder="1">
      <alignment/>
      <protection/>
    </xf>
    <xf numFmtId="165" fontId="4" fillId="0" borderId="6" xfId="16" applyNumberFormat="1" applyFont="1" applyBorder="1" applyAlignment="1">
      <alignment horizontal="right"/>
    </xf>
    <xf numFmtId="181" fontId="4" fillId="0" borderId="6" xfId="16" applyNumberFormat="1" applyFont="1" applyBorder="1"/>
    <xf numFmtId="181" fontId="9" fillId="0" borderId="0" xfId="16" applyNumberFormat="1" applyFont="1" applyFill="1" applyBorder="1"/>
    <xf numFmtId="165" fontId="4" fillId="0" borderId="0" xfId="29" applyNumberFormat="1" applyFont="1">
      <alignment/>
      <protection/>
    </xf>
    <xf numFmtId="0" fontId="9" fillId="0" borderId="0" xfId="29" applyFont="1" applyFill="1" applyBorder="1">
      <alignment/>
      <protection/>
    </xf>
    <xf numFmtId="0" fontId="4" fillId="0" borderId="0" xfId="29" applyFont="1" applyAlignment="1">
      <alignment horizontal="left" wrapText="1"/>
      <protection/>
    </xf>
    <xf numFmtId="0" fontId="4" fillId="0" borderId="0" xfId="29" applyFont="1" applyFill="1" applyAlignment="1">
      <alignment horizontal="center" wrapText="1"/>
      <protection/>
    </xf>
    <xf numFmtId="43" fontId="4" fillId="2" borderId="0" xfId="18" applyFont="1" applyFill="1"/>
    <xf numFmtId="0" fontId="9" fillId="0" borderId="0" xfId="29" applyFont="1">
      <alignment/>
      <protection/>
    </xf>
    <xf numFmtId="164" fontId="10" fillId="0" borderId="0" xfId="0" applyFont="1" applyAlignment="1">
      <alignment/>
    </xf>
    <xf numFmtId="164" fontId="10" fillId="0" borderId="0" xfId="21" applyFont="1" applyBorder="1" applyAlignment="1">
      <alignment horizontal="center" wrapText="1"/>
    </xf>
    <xf numFmtId="0" fontId="10" fillId="0" borderId="0" xfId="21" applyNumberFormat="1" applyFont="1" applyBorder="1" applyAlignment="1" applyProtection="1">
      <alignment horizontal="center" wrapText="1"/>
      <protection locked="0"/>
    </xf>
    <xf numFmtId="0" fontId="10" fillId="0" borderId="0" xfId="20" applyNumberFormat="1" applyFont="1" applyBorder="1" applyAlignment="1">
      <alignment horizontal="center" vertical="center" wrapText="1"/>
      <protection/>
    </xf>
    <xf numFmtId="0" fontId="10" fillId="0" borderId="0" xfId="21" applyNumberFormat="1" applyFont="1" applyAlignment="1">
      <alignment horizontal="center" wrapText="1"/>
    </xf>
    <xf numFmtId="0" fontId="4" fillId="0" borderId="0" xfId="28" applyFont="1" applyFill="1" applyAlignment="1">
      <alignment horizontal="center"/>
      <protection/>
    </xf>
    <xf numFmtId="0" fontId="4" fillId="0" borderId="0" xfId="28" applyFont="1" applyFill="1" applyAlignment="1">
      <alignment horizontal="center" wrapText="1"/>
      <protection/>
    </xf>
    <xf numFmtId="49" fontId="4" fillId="0" borderId="0" xfId="0" applyNumberFormat="1" applyFont="1" applyFill="1" applyAlignment="1">
      <alignment horizontal="center"/>
    </xf>
    <xf numFmtId="1" fontId="4" fillId="0" borderId="0" xfId="0" applyNumberFormat="1" applyFont="1" applyFill="1" applyAlignment="1">
      <alignment horizontal="center"/>
    </xf>
    <xf numFmtId="3" fontId="4" fillId="0" borderId="0" xfId="21" applyNumberFormat="1" applyFont="1" applyFill="1" applyBorder="1" applyAlignment="1">
      <alignment horizontal="center"/>
    </xf>
    <xf numFmtId="3" fontId="4" fillId="0" borderId="0" xfId="21" applyNumberFormat="1" applyFont="1" applyBorder="1" applyAlignment="1">
      <alignment horizontal="center"/>
    </xf>
    <xf numFmtId="3" fontId="17" fillId="0" borderId="0" xfId="0" applyNumberFormat="1" applyFont="1" applyAlignment="1">
      <alignment/>
    </xf>
    <xf numFmtId="3" fontId="17" fillId="0" borderId="1" xfId="0" applyNumberFormat="1" applyFont="1" applyBorder="1" applyAlignment="1">
      <alignment horizontal="center"/>
    </xf>
    <xf numFmtId="43" fontId="4" fillId="0" borderId="0" xfId="29" applyNumberFormat="1" applyFont="1">
      <alignment/>
      <protection/>
    </xf>
    <xf numFmtId="165" fontId="17" fillId="2" borderId="0" xfId="18" applyNumberFormat="1" applyFont="1" applyFill="1" applyAlignment="1">
      <alignment/>
    </xf>
    <xf numFmtId="3" fontId="17" fillId="0" borderId="0" xfId="0" applyNumberFormat="1" applyFont="1" applyFill="1" applyAlignment="1">
      <alignment/>
    </xf>
    <xf numFmtId="0" fontId="17" fillId="0" borderId="0" xfId="0" applyNumberFormat="1" applyFont="1" applyProtection="1">
      <protection locked="0"/>
    </xf>
    <xf numFmtId="165" fontId="17" fillId="0" borderId="0" xfId="18" applyNumberFormat="1" applyFont="1" applyFill="1" applyAlignment="1" applyProtection="1">
      <alignment/>
      <protection locked="0"/>
    </xf>
    <xf numFmtId="165" fontId="17" fillId="2" borderId="1" xfId="18" applyNumberFormat="1" applyFont="1" applyFill="1" applyBorder="1" applyAlignment="1">
      <alignment/>
    </xf>
    <xf numFmtId="3" fontId="17" fillId="0" borderId="0" xfId="0" applyNumberFormat="1" applyFont="1" applyAlignment="1">
      <alignment horizontal="center"/>
    </xf>
    <xf numFmtId="9" fontId="4" fillId="3" borderId="0" xfId="18" applyNumberFormat="1" applyFont="1" applyFill="1" applyAlignment="1">
      <alignment/>
    </xf>
    <xf numFmtId="165" fontId="4" fillId="3" borderId="1" xfId="18" applyNumberFormat="1" applyFont="1" applyFill="1" applyBorder="1" applyAlignment="1">
      <alignment horizontal="center"/>
    </xf>
    <xf numFmtId="170" fontId="4" fillId="0" borderId="0" xfId="21" applyNumberFormat="1" applyFont="1" applyAlignment="1">
      <alignment/>
    </xf>
    <xf numFmtId="10" fontId="4" fillId="0" borderId="0" xfId="15" applyNumberFormat="1" applyFont="1" applyFill="1" applyAlignment="1">
      <alignment/>
    </xf>
    <xf numFmtId="164" fontId="4" fillId="5" borderId="0" xfId="0" applyNumberFormat="1" applyFont="1" applyFill="1" applyBorder="1" applyAlignment="1" applyProtection="1">
      <alignment/>
      <protection/>
    </xf>
    <xf numFmtId="0" fontId="18" fillId="0" borderId="0" xfId="36" applyNumberFormat="1" applyFont="1" applyFill="1" applyAlignment="1">
      <alignment horizontal="center"/>
      <protection/>
    </xf>
    <xf numFmtId="0" fontId="18" fillId="0" borderId="0" xfId="36" applyFont="1" applyFill="1" applyAlignment="1">
      <alignment horizontal="center"/>
      <protection/>
    </xf>
    <xf numFmtId="183" fontId="18" fillId="0" borderId="0" xfId="15" applyNumberFormat="1" applyFont="1" applyFill="1" applyAlignment="1">
      <alignment horizontal="center"/>
    </xf>
    <xf numFmtId="1" fontId="18" fillId="0" borderId="0" xfId="22" applyNumberFormat="1" applyFont="1" applyAlignment="1">
      <alignment horizontal="left"/>
    </xf>
    <xf numFmtId="164" fontId="31" fillId="0" borderId="0" xfId="22" applyFont="1" applyAlignment="1" quotePrefix="1">
      <alignment horizontal="left"/>
    </xf>
    <xf numFmtId="164" fontId="32" fillId="0" borderId="0" xfId="22" applyFont="1" applyAlignment="1">
      <alignment/>
    </xf>
    <xf numFmtId="0" fontId="33" fillId="0" borderId="0" xfId="36" applyFont="1" applyAlignment="1">
      <alignment horizontal="center" wrapText="1"/>
      <protection/>
    </xf>
    <xf numFmtId="164" fontId="18" fillId="0" borderId="0" xfId="22" applyFont="1" applyAlignment="1">
      <alignment/>
    </xf>
    <xf numFmtId="164" fontId="18" fillId="0" borderId="0" xfId="22" applyFont="1" applyAlignment="1" quotePrefix="1">
      <alignment horizontal="left"/>
    </xf>
    <xf numFmtId="43" fontId="18" fillId="0" borderId="0" xfId="18" applyFont="1" applyFill="1" applyAlignment="1">
      <alignment/>
    </xf>
    <xf numFmtId="10" fontId="34" fillId="2" borderId="0" xfId="36" applyNumberFormat="1" applyFont="1" applyFill="1">
      <alignment/>
      <protection/>
    </xf>
    <xf numFmtId="43" fontId="33" fillId="0" borderId="0" xfId="18" applyFont="1"/>
    <xf numFmtId="0" fontId="33" fillId="0" borderId="0" xfId="36" applyFont="1" applyFill="1" applyBorder="1" applyAlignment="1">
      <alignment horizontal="center"/>
      <protection/>
    </xf>
    <xf numFmtId="0" fontId="33" fillId="0" borderId="0" xfId="36" applyFont="1" applyFill="1" applyBorder="1">
      <alignment/>
      <protection/>
    </xf>
    <xf numFmtId="0" fontId="18" fillId="0" borderId="0" xfId="36" applyNumberFormat="1" applyFont="1" applyFill="1" applyBorder="1" applyAlignment="1">
      <alignment horizontal="center"/>
      <protection/>
    </xf>
    <xf numFmtId="0" fontId="18" fillId="0" borderId="0" xfId="36" applyFont="1" applyFill="1" applyBorder="1" applyAlignment="1">
      <alignment horizontal="center"/>
      <protection/>
    </xf>
    <xf numFmtId="183" fontId="18" fillId="0" borderId="0" xfId="15" applyNumberFormat="1" applyFont="1" applyFill="1" applyBorder="1" applyAlignment="1">
      <alignment horizontal="center"/>
    </xf>
    <xf numFmtId="0" fontId="33" fillId="0" borderId="0" xfId="36" applyFont="1" applyFill="1" applyBorder="1" applyAlignment="1">
      <alignment horizontal="center" wrapText="1"/>
      <protection/>
    </xf>
    <xf numFmtId="10" fontId="34" fillId="0" borderId="0" xfId="36" applyNumberFormat="1" applyFont="1" applyFill="1" applyBorder="1">
      <alignment/>
      <protection/>
    </xf>
    <xf numFmtId="10" fontId="33" fillId="0" borderId="0" xfId="36" applyNumberFormat="1" applyFont="1" applyFill="1" applyBorder="1">
      <alignment/>
      <protection/>
    </xf>
    <xf numFmtId="43" fontId="18" fillId="0" borderId="0" xfId="18" applyFont="1" applyAlignment="1">
      <alignment/>
    </xf>
    <xf numFmtId="43" fontId="33" fillId="0" borderId="13" xfId="18" applyFont="1" applyBorder="1"/>
    <xf numFmtId="164" fontId="18" fillId="0" borderId="0" xfId="22" applyFont="1" applyBorder="1" applyAlignment="1" quotePrefix="1">
      <alignment horizontal="left"/>
    </xf>
    <xf numFmtId="43" fontId="18" fillId="0" borderId="0" xfId="18" applyFont="1" applyBorder="1" applyAlignment="1">
      <alignment/>
    </xf>
    <xf numFmtId="0" fontId="35" fillId="0" borderId="0" xfId="36" applyFont="1" applyFill="1" applyBorder="1">
      <alignment/>
      <protection/>
    </xf>
    <xf numFmtId="164" fontId="18" fillId="0" borderId="0" xfId="22" applyFont="1" applyAlignment="1">
      <alignment horizontal="left"/>
    </xf>
    <xf numFmtId="164" fontId="18" fillId="0" borderId="0" xfId="22" applyFont="1" applyBorder="1" applyAlignment="1">
      <alignment/>
    </xf>
    <xf numFmtId="43" fontId="18" fillId="0" borderId="13" xfId="18" applyFont="1" applyBorder="1" applyAlignment="1">
      <alignment/>
    </xf>
    <xf numFmtId="0" fontId="33" fillId="0" borderId="0" xfId="36" applyFont="1">
      <alignment/>
      <protection/>
    </xf>
    <xf numFmtId="0" fontId="33" fillId="0" borderId="0" xfId="36" applyFont="1" applyAlignment="1">
      <alignment horizontal="center"/>
      <protection/>
    </xf>
    <xf numFmtId="164" fontId="4" fillId="0" borderId="0" xfId="0" applyFont="1" applyFill="1" applyBorder="1"/>
    <xf numFmtId="164" fontId="4" fillId="0" borderId="0" xfId="0" applyFont="1" applyFill="1" applyBorder="1" applyAlignment="1">
      <alignment horizontal="center"/>
    </xf>
    <xf numFmtId="181" fontId="4" fillId="0" borderId="0" xfId="16" applyNumberFormat="1" applyFont="1" applyFill="1" applyBorder="1"/>
    <xf numFmtId="164" fontId="4" fillId="0" borderId="4" xfId="0" applyFont="1" applyFill="1" applyBorder="1" applyAlignment="1">
      <alignment horizontal="center"/>
    </xf>
    <xf numFmtId="164" fontId="4" fillId="0" borderId="5" xfId="0" applyFont="1" applyFill="1" applyBorder="1" applyAlignment="1">
      <alignment horizontal="center"/>
    </xf>
    <xf numFmtId="164" fontId="4" fillId="0" borderId="5" xfId="0" applyFont="1" applyBorder="1" applyAlignment="1">
      <alignment horizontal="center"/>
    </xf>
    <xf numFmtId="164" fontId="4" fillId="0" borderId="18" xfId="0" applyFont="1" applyBorder="1" applyAlignment="1">
      <alignment horizontal="center"/>
    </xf>
    <xf numFmtId="164" fontId="4" fillId="0" borderId="15" xfId="0" applyFont="1" applyBorder="1" applyAlignment="1">
      <alignment horizontal="center"/>
    </xf>
    <xf numFmtId="164" fontId="4" fillId="0" borderId="8" xfId="0" applyFont="1" applyFill="1" applyBorder="1" applyAlignment="1">
      <alignment horizontal="center"/>
    </xf>
    <xf numFmtId="164" fontId="4" fillId="0" borderId="17" xfId="0" applyFont="1" applyBorder="1" applyAlignment="1">
      <alignment/>
    </xf>
    <xf numFmtId="164" fontId="4" fillId="0" borderId="10" xfId="0" applyFont="1" applyBorder="1" applyAlignment="1">
      <alignment/>
    </xf>
    <xf numFmtId="164" fontId="4" fillId="0" borderId="11" xfId="0" applyFont="1" applyBorder="1" applyAlignment="1">
      <alignment/>
    </xf>
    <xf numFmtId="164" fontId="4" fillId="0" borderId="17" xfId="0" applyFont="1" applyBorder="1" applyAlignment="1">
      <alignment horizontal="center"/>
    </xf>
    <xf numFmtId="164" fontId="4" fillId="0" borderId="12" xfId="0" applyFont="1" applyFill="1" applyBorder="1" applyAlignment="1">
      <alignment horizontal="center"/>
    </xf>
    <xf numFmtId="164" fontId="4" fillId="0" borderId="13" xfId="0" applyFont="1" applyFill="1" applyBorder="1" applyAlignment="1">
      <alignment horizontal="center"/>
    </xf>
    <xf numFmtId="164" fontId="19" fillId="0" borderId="13" xfId="22" applyFont="1" applyFill="1" applyBorder="1" applyAlignment="1">
      <alignment horizontal="center"/>
    </xf>
    <xf numFmtId="164" fontId="4" fillId="0" borderId="13" xfId="0" applyFont="1" applyBorder="1" applyAlignment="1">
      <alignment horizontal="center"/>
    </xf>
    <xf numFmtId="164" fontId="4" fillId="0" borderId="16" xfId="0" applyFont="1" applyBorder="1" applyAlignment="1">
      <alignment horizontal="center"/>
    </xf>
    <xf numFmtId="164" fontId="4" fillId="0" borderId="12" xfId="0" applyFont="1" applyBorder="1" applyAlignment="1">
      <alignment horizontal="center"/>
    </xf>
    <xf numFmtId="43" fontId="4" fillId="3" borderId="0" xfId="18" applyFont="1" applyFill="1" applyBorder="1"/>
    <xf numFmtId="43" fontId="4" fillId="3" borderId="0" xfId="18" applyFont="1" applyFill="1" applyBorder="1" applyAlignment="1">
      <alignment horizontal="center"/>
    </xf>
    <xf numFmtId="164" fontId="4" fillId="3" borderId="0" xfId="0" applyFont="1" applyFill="1" applyBorder="1" applyAlignment="1">
      <alignment/>
    </xf>
    <xf numFmtId="164" fontId="4" fillId="3" borderId="17" xfId="0" applyFont="1" applyFill="1" applyBorder="1" applyAlignment="1">
      <alignment/>
    </xf>
    <xf numFmtId="164" fontId="4" fillId="0" borderId="8" xfId="0" applyFont="1" applyBorder="1" applyAlignment="1">
      <alignment/>
    </xf>
    <xf numFmtId="164" fontId="4" fillId="0" borderId="9" xfId="0" applyFont="1" applyBorder="1" applyAlignment="1">
      <alignment/>
    </xf>
    <xf numFmtId="43" fontId="4" fillId="0" borderId="8" xfId="18" applyFont="1" applyBorder="1" applyAlignment="1">
      <alignment/>
    </xf>
    <xf numFmtId="184" fontId="4" fillId="0" borderId="9" xfId="18" applyNumberFormat="1" applyFont="1" applyBorder="1" applyAlignment="1">
      <alignment/>
    </xf>
    <xf numFmtId="10" fontId="4" fillId="0" borderId="13" xfId="15" applyNumberFormat="1" applyFont="1" applyFill="1" applyBorder="1"/>
    <xf numFmtId="164" fontId="4" fillId="0" borderId="13" xfId="0" applyFont="1" applyFill="1" applyBorder="1"/>
    <xf numFmtId="181" fontId="4" fillId="0" borderId="13" xfId="16" applyNumberFormat="1" applyFont="1" applyFill="1" applyBorder="1"/>
    <xf numFmtId="43" fontId="4" fillId="0" borderId="12" xfId="18" applyFont="1" applyBorder="1" applyAlignment="1">
      <alignment/>
    </xf>
    <xf numFmtId="164" fontId="4" fillId="0" borderId="14" xfId="0" applyFont="1" applyBorder="1" applyAlignment="1">
      <alignment/>
    </xf>
    <xf numFmtId="43" fontId="4" fillId="0" borderId="0" xfId="18" applyFont="1" applyFill="1" applyBorder="1"/>
    <xf numFmtId="43" fontId="4" fillId="0" borderId="0" xfId="18" applyFont="1" applyFill="1"/>
    <xf numFmtId="164" fontId="0" fillId="0" borderId="0" xfId="0" applyFont="1" applyAlignment="1">
      <alignment horizontal="center"/>
    </xf>
    <xf numFmtId="164" fontId="0" fillId="0" borderId="0" xfId="0" applyAlignment="1">
      <alignment horizontal="right"/>
    </xf>
    <xf numFmtId="164" fontId="18" fillId="0" borderId="0" xfId="22" applyFont="1" applyAlignment="1">
      <alignment horizontal="center"/>
    </xf>
    <xf numFmtId="164" fontId="36" fillId="0" borderId="0" xfId="0" applyFont="1" applyAlignment="1">
      <alignment/>
    </xf>
    <xf numFmtId="0" fontId="2" fillId="0" borderId="19" xfId="31" applyFont="1" applyBorder="1" applyAlignment="1">
      <alignment horizontal="center"/>
      <protection/>
    </xf>
    <xf numFmtId="0" fontId="37" fillId="0" borderId="0" xfId="31" applyFont="1" applyBorder="1" applyAlignment="1">
      <alignment horizontal="left"/>
      <protection/>
    </xf>
    <xf numFmtId="0" fontId="2" fillId="0" borderId="0" xfId="31" applyFont="1" applyBorder="1" applyAlignment="1">
      <alignment/>
      <protection/>
    </xf>
    <xf numFmtId="0" fontId="2" fillId="0" borderId="0" xfId="31" applyFont="1" applyBorder="1" applyAlignment="1">
      <alignment horizontal="center"/>
      <protection/>
    </xf>
    <xf numFmtId="0" fontId="2" fillId="0" borderId="19" xfId="31" applyFont="1" applyFill="1" applyBorder="1" applyAlignment="1">
      <alignment horizontal="center"/>
      <protection/>
    </xf>
    <xf numFmtId="49" fontId="2" fillId="0" borderId="0" xfId="31" applyNumberFormat="1" applyFont="1" applyFill="1" applyBorder="1" applyAlignment="1">
      <alignment horizontal="center"/>
      <protection/>
    </xf>
    <xf numFmtId="0" fontId="2" fillId="0" borderId="0" xfId="31" applyFont="1" applyFill="1" applyBorder="1" applyAlignment="1">
      <alignment/>
      <protection/>
    </xf>
    <xf numFmtId="164" fontId="0" fillId="0" borderId="0" xfId="0" applyFill="1" applyAlignment="1">
      <alignment/>
    </xf>
    <xf numFmtId="0" fontId="2" fillId="0" borderId="0" xfId="31" applyFont="1" applyBorder="1">
      <alignment/>
      <protection/>
    </xf>
    <xf numFmtId="0" fontId="39" fillId="0" borderId="0" xfId="37" applyFont="1" applyAlignment="1">
      <alignment horizontal="center"/>
      <protection/>
    </xf>
    <xf numFmtId="0" fontId="4" fillId="0" borderId="0" xfId="31" applyFont="1" applyBorder="1" applyAlignment="1">
      <alignment horizontal="center"/>
      <protection/>
    </xf>
    <xf numFmtId="3" fontId="4" fillId="0" borderId="0" xfId="31" applyNumberFormat="1" applyFont="1" applyFill="1" applyBorder="1" applyAlignment="1">
      <alignment/>
      <protection/>
    </xf>
    <xf numFmtId="164" fontId="10" fillId="0" borderId="13" xfId="22" applyFont="1" applyBorder="1" applyAlignment="1">
      <alignment horizontal="center" wrapText="1"/>
    </xf>
    <xf numFmtId="164" fontId="10" fillId="0" borderId="0" xfId="22" applyFont="1" applyFill="1" applyAlignment="1">
      <alignment horizontal="center" wrapText="1"/>
    </xf>
    <xf numFmtId="0" fontId="4" fillId="0" borderId="0" xfId="38" applyFont="1" applyBorder="1" applyAlignment="1">
      <alignment/>
      <protection/>
    </xf>
    <xf numFmtId="164" fontId="4" fillId="0" borderId="0" xfId="18" applyNumberFormat="1" applyFont="1" applyFill="1" applyBorder="1" applyAlignment="1">
      <alignment/>
    </xf>
    <xf numFmtId="43" fontId="4" fillId="2" borderId="0" xfId="18" applyFont="1" applyFill="1" applyBorder="1" applyAlignment="1">
      <alignment horizontal="right"/>
    </xf>
    <xf numFmtId="43" fontId="4" fillId="0" borderId="0" xfId="18" applyFont="1" applyBorder="1" applyAlignment="1">
      <alignment/>
    </xf>
    <xf numFmtId="0" fontId="4" fillId="0" borderId="0" xfId="38" applyFont="1" applyFill="1" applyBorder="1" applyAlignment="1">
      <alignment wrapText="1"/>
      <protection/>
    </xf>
    <xf numFmtId="164" fontId="4" fillId="2" borderId="0" xfId="0" applyFont="1" applyFill="1" applyAlignment="1">
      <alignment/>
    </xf>
    <xf numFmtId="164" fontId="2" fillId="0" borderId="0" xfId="22" applyFont="1" applyFill="1" applyBorder="1" applyAlignment="1">
      <alignment/>
    </xf>
    <xf numFmtId="164" fontId="2" fillId="0" borderId="1" xfId="22" applyFont="1" applyFill="1" applyBorder="1" applyAlignment="1">
      <alignment/>
    </xf>
    <xf numFmtId="164" fontId="2" fillId="0" borderId="0" xfId="22" applyFont="1" applyFill="1" applyBorder="1" applyAlignment="1">
      <alignment horizontal="center" vertical="top"/>
    </xf>
    <xf numFmtId="164" fontId="2" fillId="0" borderId="0" xfId="22" applyFont="1" applyFill="1" applyBorder="1" applyAlignment="1">
      <alignment horizontal="left"/>
    </xf>
    <xf numFmtId="164" fontId="2" fillId="0" borderId="0" xfId="22" applyFont="1" applyFill="1" applyBorder="1" applyAlignment="1">
      <alignment vertical="top"/>
    </xf>
    <xf numFmtId="164" fontId="4" fillId="0" borderId="0" xfId="22" applyFont="1" applyFill="1" applyBorder="1" applyAlignment="1">
      <alignment vertical="top"/>
    </xf>
    <xf numFmtId="0" fontId="2" fillId="0" borderId="0" xfId="0" applyNumberFormat="1" applyFont="1" applyFill="1" applyAlignment="1">
      <alignment horizontal="center" vertical="center"/>
    </xf>
    <xf numFmtId="164" fontId="2" fillId="0" borderId="0" xfId="0" applyFont="1" applyFill="1" applyAlignment="1">
      <alignment/>
    </xf>
    <xf numFmtId="164" fontId="2" fillId="0" borderId="0" xfId="0" applyFont="1" applyAlignment="1">
      <alignment/>
    </xf>
    <xf numFmtId="0" fontId="4" fillId="0" borderId="0" xfId="0" applyNumberFormat="1" applyFont="1" applyAlignment="1">
      <alignment/>
    </xf>
    <xf numFmtId="0" fontId="4" fillId="0" borderId="0" xfId="22" applyNumberFormat="1" applyFont="1" applyFill="1" applyBorder="1" applyAlignment="1" applyProtection="1">
      <alignment horizontal="right"/>
      <protection locked="0"/>
    </xf>
    <xf numFmtId="165" fontId="40" fillId="0" borderId="0" xfId="18" applyNumberFormat="1" applyFont="1" applyAlignment="1">
      <alignment horizontal="center"/>
    </xf>
    <xf numFmtId="164" fontId="40" fillId="0" borderId="0" xfId="0" applyFont="1" applyFill="1"/>
    <xf numFmtId="43" fontId="42" fillId="0" borderId="0" xfId="18" applyFont="1" applyFill="1"/>
    <xf numFmtId="0" fontId="40" fillId="0" borderId="0" xfId="18" applyNumberFormat="1" applyFont="1" applyAlignment="1">
      <alignment horizontal="center"/>
    </xf>
    <xf numFmtId="49" fontId="40" fillId="0" borderId="0" xfId="18" applyNumberFormat="1" applyFont="1" applyFill="1"/>
    <xf numFmtId="164" fontId="40" fillId="0" borderId="0" xfId="0" applyFont="1" applyAlignment="1">
      <alignment/>
    </xf>
    <xf numFmtId="39" fontId="40" fillId="0" borderId="0" xfId="18" applyNumberFormat="1" applyFont="1" applyFill="1" applyAlignment="1">
      <alignment horizontal="right"/>
    </xf>
    <xf numFmtId="49" fontId="40" fillId="0" borderId="0" xfId="18" applyNumberFormat="1" applyFont="1" applyAlignment="1">
      <alignment/>
    </xf>
    <xf numFmtId="49" fontId="40" fillId="0" borderId="0" xfId="0" applyNumberFormat="1" applyFont="1" applyAlignment="1">
      <alignment/>
    </xf>
    <xf numFmtId="43" fontId="40" fillId="0" borderId="0" xfId="18" applyNumberFormat="1" applyFont="1" applyAlignment="1">
      <alignment/>
    </xf>
    <xf numFmtId="49" fontId="40" fillId="0" borderId="0" xfId="0" applyNumberFormat="1" applyFont="1" applyFill="1"/>
    <xf numFmtId="2" fontId="40" fillId="0" borderId="0" xfId="0" applyNumberFormat="1" applyFont="1" applyFill="1"/>
    <xf numFmtId="164" fontId="40" fillId="0" borderId="0" xfId="0" applyFont="1" applyAlignment="1">
      <alignment vertical="center" wrapText="1"/>
    </xf>
    <xf numFmtId="165" fontId="40" fillId="0" borderId="0" xfId="18" applyNumberFormat="1" applyFont="1" applyFill="1" applyAlignment="1">
      <alignment horizontal="center"/>
    </xf>
    <xf numFmtId="164" fontId="44" fillId="5" borderId="0" xfId="0" applyFont="1" applyFill="1"/>
    <xf numFmtId="164" fontId="46" fillId="5" borderId="0" xfId="0" applyFont="1" applyFill="1"/>
    <xf numFmtId="164" fontId="2" fillId="5" borderId="0" xfId="0" applyFont="1" applyFill="1"/>
    <xf numFmtId="164" fontId="46" fillId="5" borderId="0" xfId="0" applyFont="1" applyFill="1" applyAlignment="1">
      <alignment/>
    </xf>
    <xf numFmtId="2" fontId="44" fillId="0" borderId="0" xfId="0" applyNumberFormat="1" applyFont="1" applyAlignment="1">
      <alignment horizontal="center"/>
    </xf>
    <xf numFmtId="10" fontId="44" fillId="0" borderId="0" xfId="15" applyNumberFormat="1" applyFont="1" applyAlignment="1">
      <alignment horizontal="center"/>
    </xf>
    <xf numFmtId="164" fontId="47" fillId="0" borderId="0" xfId="0" applyFont="1" applyAlignment="1">
      <alignment/>
    </xf>
    <xf numFmtId="164" fontId="44" fillId="0" borderId="0" xfId="0" applyFont="1" applyFill="1"/>
    <xf numFmtId="10" fontId="40" fillId="0" borderId="0" xfId="15" applyNumberFormat="1" applyFont="1" applyAlignment="1">
      <alignment horizontal="center"/>
    </xf>
    <xf numFmtId="2" fontId="4" fillId="0" borderId="0" xfId="0" applyNumberFormat="1" applyFont="1" applyAlignment="1">
      <alignment horizontal="center"/>
    </xf>
    <xf numFmtId="164" fontId="40" fillId="0" borderId="0" xfId="0" applyFont="1" applyAlignment="1">
      <alignment horizontal="left"/>
    </xf>
    <xf numFmtId="164" fontId="4" fillId="0" borderId="0" xfId="0" applyFont="1" applyAlignment="1">
      <alignment horizontal="left"/>
    </xf>
    <xf numFmtId="10" fontId="4" fillId="0" borderId="0" xfId="15" applyNumberFormat="1" applyFont="1" applyAlignment="1">
      <alignment horizontal="center"/>
    </xf>
    <xf numFmtId="2" fontId="4" fillId="0" borderId="0" xfId="0" applyNumberFormat="1" applyFont="1" applyAlignment="1">
      <alignment/>
    </xf>
    <xf numFmtId="164" fontId="4" fillId="0" borderId="0" xfId="0" applyFont="1" applyFill="1" applyAlignment="1">
      <alignment horizontal="left" wrapText="1"/>
    </xf>
    <xf numFmtId="0" fontId="4" fillId="0" borderId="0" xfId="21" applyNumberFormat="1" applyFont="1" applyFill="1" applyAlignment="1" applyProtection="1">
      <alignment vertical="top" wrapText="1"/>
      <protection locked="0"/>
    </xf>
    <xf numFmtId="0" fontId="4" fillId="0" borderId="0" xfId="21" applyNumberFormat="1" applyFont="1" applyFill="1" applyAlignment="1" quotePrefix="1">
      <alignment vertical="top" wrapText="1"/>
    </xf>
    <xf numFmtId="0" fontId="4" fillId="0" borderId="0" xfId="21" applyNumberFormat="1" applyFont="1" applyFill="1" applyAlignment="1">
      <alignment vertical="top" wrapText="1"/>
    </xf>
    <xf numFmtId="0" fontId="4" fillId="0" borderId="0" xfId="20" applyNumberFormat="1" applyFont="1" applyFill="1" applyAlignment="1" quotePrefix="1">
      <alignment vertical="top" wrapText="1"/>
      <protection/>
    </xf>
    <xf numFmtId="0" fontId="4" fillId="0" borderId="0" xfId="20" applyNumberFormat="1" applyFont="1" applyFill="1" applyAlignment="1">
      <alignment vertical="top" wrapText="1"/>
      <protection/>
    </xf>
    <xf numFmtId="0" fontId="4" fillId="5" borderId="0" xfId="0" applyNumberFormat="1" applyFont="1" applyFill="1" applyBorder="1" applyAlignment="1" applyProtection="1">
      <alignment vertical="top" wrapText="1"/>
      <protection/>
    </xf>
    <xf numFmtId="0" fontId="4" fillId="0" borderId="0" xfId="0" applyNumberFormat="1" applyFont="1" applyFill="1" applyBorder="1" applyAlignment="1">
      <alignment horizontal="left" vertical="top" wrapText="1"/>
    </xf>
    <xf numFmtId="0" fontId="4" fillId="0" borderId="0" xfId="23" applyFont="1" applyFill="1" applyAlignment="1">
      <alignment vertical="top" wrapText="1"/>
    </xf>
    <xf numFmtId="164" fontId="4" fillId="0" borderId="0" xfId="21" applyFont="1" applyAlignment="1">
      <alignment horizontal="center"/>
    </xf>
    <xf numFmtId="49" fontId="4" fillId="0" borderId="0" xfId="21" applyNumberFormat="1" applyFont="1" applyAlignment="1" applyProtection="1">
      <alignment horizontal="center"/>
      <protection locked="0"/>
    </xf>
    <xf numFmtId="0" fontId="12" fillId="0" borderId="0" xfId="21" applyNumberFormat="1" applyFont="1" applyFill="1" applyAlignment="1" applyProtection="1">
      <alignment vertical="top" wrapText="1"/>
      <protection locked="0"/>
    </xf>
    <xf numFmtId="164" fontId="4" fillId="0" borderId="0" xfId="22" applyFont="1" applyFill="1" applyBorder="1" applyAlignment="1">
      <alignment horizontal="left"/>
    </xf>
    <xf numFmtId="164" fontId="17" fillId="0" borderId="0" xfId="0" applyFont="1" applyAlignment="1">
      <alignment horizontal="left" vertical="center" wrapText="1"/>
    </xf>
    <xf numFmtId="164" fontId="4" fillId="0" borderId="0" xfId="22" applyFont="1" applyFill="1" applyBorder="1" applyAlignment="1">
      <alignment horizontal="left" vertical="top" wrapText="1"/>
    </xf>
    <xf numFmtId="164" fontId="4" fillId="0" borderId="0" xfId="22" applyFont="1" applyFill="1" applyBorder="1" applyAlignment="1">
      <alignment horizontal="left" wrapText="1"/>
    </xf>
    <xf numFmtId="164" fontId="4" fillId="0" borderId="10" xfId="0" applyFont="1" applyBorder="1" applyAlignment="1">
      <alignment horizontal="center"/>
    </xf>
    <xf numFmtId="164" fontId="4" fillId="0" borderId="15" xfId="0" applyFont="1" applyBorder="1" applyAlignment="1">
      <alignment horizontal="center"/>
    </xf>
    <xf numFmtId="164" fontId="4" fillId="0" borderId="12" xfId="0" applyFont="1" applyBorder="1" applyAlignment="1">
      <alignment horizontal="center"/>
    </xf>
    <xf numFmtId="164" fontId="4" fillId="0" borderId="16" xfId="0" applyFont="1" applyBorder="1" applyAlignment="1">
      <alignment horizontal="center"/>
    </xf>
    <xf numFmtId="164" fontId="4" fillId="0" borderId="0" xfId="0" applyFont="1" applyFill="1" applyAlignment="1">
      <alignment horizontal="left" vertical="top" wrapText="1"/>
    </xf>
    <xf numFmtId="164" fontId="4" fillId="0" borderId="0" xfId="22" applyFont="1" applyAlignment="1">
      <alignment horizontal="left" vertical="top" wrapText="1"/>
    </xf>
    <xf numFmtId="0" fontId="4" fillId="0" borderId="0" xfId="20" applyNumberFormat="1" applyFont="1" applyFill="1" applyAlignment="1">
      <alignment horizontal="left" vertical="top" wrapText="1"/>
      <protection/>
    </xf>
    <xf numFmtId="0" fontId="9" fillId="0" borderId="0" xfId="20" applyNumberFormat="1" applyFont="1" applyFill="1" applyAlignment="1">
      <alignment horizontal="left" vertical="top" wrapText="1"/>
      <protection/>
    </xf>
    <xf numFmtId="0" fontId="10" fillId="0" borderId="0" xfId="28" applyFont="1" applyAlignment="1">
      <alignment horizontal="center"/>
      <protection/>
    </xf>
    <xf numFmtId="164" fontId="10" fillId="0" borderId="0" xfId="0" applyFont="1" applyAlignment="1">
      <alignment horizontal="center"/>
    </xf>
    <xf numFmtId="164" fontId="4" fillId="0" borderId="0" xfId="0" applyFont="1" applyFill="1" applyAlignment="1">
      <alignment horizontal="left" vertical="center" wrapText="1"/>
    </xf>
    <xf numFmtId="0" fontId="24" fillId="0" borderId="10" xfId="32" applyFont="1" applyBorder="1" applyAlignment="1">
      <alignment horizontal="center" vertical="center"/>
      <protection/>
    </xf>
    <xf numFmtId="0" fontId="24" fillId="0" borderId="6" xfId="32" applyFont="1" applyBorder="1" applyAlignment="1">
      <alignment horizontal="center" vertical="center"/>
      <protection/>
    </xf>
    <xf numFmtId="0" fontId="24" fillId="0" borderId="15" xfId="32" applyFont="1" applyBorder="1" applyAlignment="1">
      <alignment horizontal="center" vertical="center"/>
      <protection/>
    </xf>
    <xf numFmtId="0" fontId="24" fillId="0" borderId="4" xfId="32" applyFont="1" applyBorder="1" applyAlignment="1">
      <alignment horizontal="center" vertical="center"/>
      <protection/>
    </xf>
    <xf numFmtId="0" fontId="24" fillId="0" borderId="5" xfId="32" applyFont="1" applyBorder="1" applyAlignment="1">
      <alignment horizontal="center" vertical="center"/>
      <protection/>
    </xf>
    <xf numFmtId="0" fontId="24" fillId="0" borderId="18" xfId="32" applyFont="1" applyBorder="1" applyAlignment="1">
      <alignment horizontal="center" vertical="center"/>
      <protection/>
    </xf>
    <xf numFmtId="0" fontId="7" fillId="0" borderId="0" xfId="32" applyFont="1" applyFill="1" applyAlignment="1">
      <alignment horizontal="center"/>
      <protection/>
    </xf>
    <xf numFmtId="0" fontId="7" fillId="0" borderId="0" xfId="32" applyFont="1" applyAlignment="1">
      <alignment horizontal="center"/>
      <protection/>
    </xf>
    <xf numFmtId="0" fontId="7" fillId="3" borderId="0" xfId="32" applyFont="1" applyFill="1" applyAlignment="1">
      <alignment horizontal="center"/>
      <protection/>
    </xf>
    <xf numFmtId="164" fontId="4" fillId="0" borderId="0" xfId="0" applyFont="1" applyFill="1" applyBorder="1" applyAlignment="1">
      <alignment horizontal="center"/>
    </xf>
    <xf numFmtId="164" fontId="4" fillId="0" borderId="8" xfId="0" applyFont="1" applyFill="1" applyBorder="1" applyAlignment="1">
      <alignment horizontal="center"/>
    </xf>
    <xf numFmtId="164" fontId="4" fillId="0" borderId="17" xfId="0" applyFont="1" applyFill="1" applyBorder="1" applyAlignment="1">
      <alignment horizontal="center"/>
    </xf>
    <xf numFmtId="0" fontId="4" fillId="0" borderId="0" xfId="22" applyNumberFormat="1" applyFont="1" applyFill="1" applyBorder="1" applyAlignment="1" applyProtection="1">
      <alignment horizontal="center"/>
      <protection locked="0"/>
    </xf>
    <xf numFmtId="0" fontId="4" fillId="0" borderId="0" xfId="0" applyNumberFormat="1" applyFont="1" applyAlignment="1">
      <alignment horizontal="center"/>
    </xf>
    <xf numFmtId="10" fontId="4" fillId="0" borderId="0" xfId="15" applyNumberFormat="1" applyFont="1" applyFill="1" applyAlignment="1">
      <alignment horizontal="center"/>
    </xf>
  </cellXfs>
  <cellStyles count="25">
    <cellStyle name="Normal" xfId="0" builtinId="0"/>
    <cellStyle name="Percent" xfId="15"/>
    <cellStyle name="Currency" xfId="16"/>
    <cellStyle name="Currency [0]" xfId="17"/>
    <cellStyle name="Comma" xfId="18"/>
    <cellStyle name="Comma [0]" xfId="19"/>
    <cellStyle name="Normal 3_Attach O, GG, Support -New Method 2-14-11" xfId="20"/>
    <cellStyle name="Normal_Attachment Os for 2002 True-up" xfId="21"/>
    <cellStyle name="Normal 7" xfId="22"/>
    <cellStyle name="Normal_21 Exh B" xfId="23"/>
    <cellStyle name="Normal 13" xfId="24"/>
    <cellStyle name="Normal_Attachment GG Template ER11-28 11-18-10" xfId="25"/>
    <cellStyle name="Normal_Attachment GG Example 8 26 09" xfId="26"/>
    <cellStyle name="Normal_Attachment O Support - 2004 True-up" xfId="27"/>
    <cellStyle name="Normal_Schedule O Info for Mike" xfId="28"/>
    <cellStyle name="Normal 5" xfId="29"/>
    <cellStyle name="Normal_ATC Projected 2008 Monthly Plant Balances for Attachment O 2 (2)" xfId="30"/>
    <cellStyle name="Normal 3 2" xfId="31"/>
    <cellStyle name="Normal 12" xfId="32"/>
    <cellStyle name="Comma 12" xfId="33"/>
    <cellStyle name="Comma 5 2" xfId="34"/>
    <cellStyle name="Comma 8" xfId="35"/>
    <cellStyle name="Normal_interest calc Book1" xfId="36"/>
    <cellStyle name="Normal 2 2" xfId="37"/>
    <cellStyle name="Normal 9" xfId="3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calcChain" Target="calcChain.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styles" Target="styles.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customProperty" Target="../customProperty10.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customProperty" Target="../customProperty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customProperty" Target="../customProperty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customProperty" Target="../customProperty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customProperty" Target="../customProperty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customProperty" Target="../customProperty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customProperty" Target="../customProperty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274"/>
  <sheetViews>
    <sheetView tabSelected="1" zoomScaleSheetLayoutView="70" workbookViewId="0" topLeftCell="A142"/>
  </sheetViews>
  <sheetFormatPr defaultColWidth="8.76555555555556" defaultRowHeight="13.5"/>
  <cols>
    <col min="1" max="1" width="5.77777777777778" style="3" customWidth="1"/>
    <col min="2" max="2" width="56" style="3" customWidth="1"/>
    <col min="3" max="3" width="47.4444444444444" style="3" bestFit="1" customWidth="1"/>
    <col min="4" max="4" width="16.2222222222222" style="3" customWidth="1"/>
    <col min="5" max="5" width="5.77777777777778" style="3" customWidth="1"/>
    <col min="6" max="6" width="7.22222222222222" style="3" customWidth="1"/>
    <col min="7" max="7" width="16.7777777777778" style="3" customWidth="1"/>
    <col min="8" max="8" width="4.77777777777778" style="3" customWidth="1"/>
    <col min="9" max="9" width="16.2222222222222" style="3" customWidth="1"/>
    <col min="10" max="10" width="2.77777777777778" style="3" customWidth="1"/>
    <col min="11" max="11" width="11.4444444444444" style="3" customWidth="1"/>
    <col min="12" max="12" width="14.4444444444444" style="3" bestFit="1" customWidth="1"/>
    <col min="13" max="13" width="14.7777777777778" style="3" bestFit="1" customWidth="1"/>
    <col min="14" max="16384" width="8.77777777777778" style="3"/>
  </cols>
  <sheetData>
    <row r="1" spans="1:11" ht="13">
      <c r="A1" s="1"/>
      <c r="B1" s="1"/>
      <c r="C1" s="1"/>
      <c r="D1" s="1"/>
      <c r="E1" s="1"/>
      <c r="F1" s="1"/>
      <c r="G1" s="1"/>
      <c r="H1" s="1"/>
      <c r="I1" s="1"/>
      <c r="J1" s="1"/>
      <c r="K1" s="2" t="s">
        <v>0</v>
      </c>
    </row>
    <row r="2" spans="1:11" ht="13">
      <c r="A2" s="1"/>
      <c r="B2" s="1" t="s">
        <v>1</v>
      </c>
      <c r="C2" s="1"/>
      <c r="D2" s="1"/>
      <c r="E2" s="1"/>
      <c r="F2" s="1"/>
      <c r="G2" s="1"/>
      <c r="H2" s="1"/>
      <c r="I2" s="1"/>
      <c r="J2" s="1"/>
      <c r="K2" s="1"/>
    </row>
    <row r="3" spans="1:11" ht="13">
      <c r="A3" s="4"/>
      <c r="B3" s="5" t="s">
        <v>2</v>
      </c>
      <c r="C3" s="6" t="s">
        <v>3</v>
      </c>
      <c r="D3" s="7" t="s">
        <v>4</v>
      </c>
      <c r="E3" s="5"/>
      <c r="F3" s="5"/>
      <c r="G3" s="8"/>
      <c r="H3" s="9"/>
      <c r="I3" s="10"/>
      <c r="J3" s="11"/>
      <c r="K3" s="12" t="s">
        <v>5</v>
      </c>
    </row>
    <row r="4" spans="1:11" ht="13">
      <c r="A4" s="4"/>
      <c r="C4" s="13"/>
      <c r="D4" s="14" t="s">
        <v>6</v>
      </c>
      <c r="E4" s="13"/>
      <c r="F4" s="13"/>
      <c r="G4" s="13"/>
      <c r="H4" s="15"/>
      <c r="I4" s="15"/>
      <c r="J4" s="16"/>
      <c r="K4" s="16"/>
    </row>
    <row r="5" spans="1:11" ht="15">
      <c r="A5" s="4"/>
      <c r="B5" s="17"/>
      <c r="C5" s="16"/>
      <c r="D5" s="18" t="s">
        <v>7</v>
      </c>
      <c r="E5" s="16"/>
      <c r="F5" s="16"/>
      <c r="G5" s="16"/>
      <c r="H5" s="16"/>
      <c r="I5" s="16"/>
      <c r="J5" s="16"/>
      <c r="K5" s="16"/>
    </row>
    <row r="6" spans="2:11" ht="13.5">
      <c r="B6" s="17"/>
      <c r="J6" s="19"/>
      <c r="K6" s="19"/>
    </row>
    <row r="7" spans="1:11" ht="13">
      <c r="A7" s="7"/>
      <c r="C7" s="16"/>
      <c r="D7" s="20"/>
      <c r="E7" s="16"/>
      <c r="F7" s="16"/>
      <c r="G7" s="16"/>
      <c r="H7" s="16"/>
      <c r="I7" s="16"/>
      <c r="J7" s="16"/>
      <c r="K7" s="16"/>
    </row>
    <row r="8" spans="1:11" ht="13">
      <c r="A8" s="7"/>
      <c r="B8" s="21" t="s">
        <v>8</v>
      </c>
      <c r="C8" s="21" t="s">
        <v>9</v>
      </c>
      <c r="D8" s="21" t="s">
        <v>10</v>
      </c>
      <c r="E8" s="13" t="s">
        <v>11</v>
      </c>
      <c r="F8" s="13"/>
      <c r="G8" s="20" t="s">
        <v>12</v>
      </c>
      <c r="H8" s="13"/>
      <c r="I8" s="20" t="s">
        <v>13</v>
      </c>
      <c r="J8" s="16"/>
      <c r="K8" s="16"/>
    </row>
    <row r="9" spans="1:11" ht="13">
      <c r="A9" s="7" t="s">
        <v>14</v>
      </c>
      <c r="B9" s="16"/>
      <c r="C9" s="16"/>
      <c r="D9" s="22"/>
      <c r="E9" s="16"/>
      <c r="F9" s="16"/>
      <c r="G9" s="16"/>
      <c r="H9" s="16"/>
      <c r="I9" s="7" t="s">
        <v>15</v>
      </c>
      <c r="J9" s="16"/>
      <c r="K9" s="16"/>
    </row>
    <row r="10" spans="1:11" ht="13.5" thickBot="1">
      <c r="A10" s="23" t="s">
        <v>16</v>
      </c>
      <c r="B10" s="16"/>
      <c r="C10" s="16"/>
      <c r="D10" s="16"/>
      <c r="E10" s="16"/>
      <c r="F10" s="16"/>
      <c r="G10" s="16"/>
      <c r="H10" s="16"/>
      <c r="I10" s="23" t="s">
        <v>17</v>
      </c>
      <c r="J10" s="16"/>
      <c r="K10" s="16"/>
    </row>
    <row r="11" spans="1:11" ht="13">
      <c r="A11" s="7">
        <v>1</v>
      </c>
      <c r="B11" s="16" t="s">
        <v>18</v>
      </c>
      <c r="C11" s="16" t="s">
        <v>19</v>
      </c>
      <c r="D11" s="24"/>
      <c r="E11" s="16"/>
      <c r="F11" s="16"/>
      <c r="G11" s="16"/>
      <c r="H11" s="16"/>
      <c r="I11" s="25">
        <f>+I172</f>
        <v>121755.97793664002</v>
      </c>
      <c r="J11" s="16"/>
      <c r="K11" s="26"/>
    </row>
    <row r="12" spans="1:11" ht="13">
      <c r="A12" s="7"/>
      <c r="B12" s="16"/>
      <c r="C12" s="16"/>
      <c r="D12" s="16"/>
      <c r="E12" s="16"/>
      <c r="F12" s="16"/>
      <c r="G12" s="16"/>
      <c r="H12" s="16"/>
      <c r="I12" s="24"/>
      <c r="J12" s="16"/>
      <c r="K12" s="16"/>
    </row>
    <row r="13" spans="1:11" ht="13.5" thickBot="1">
      <c r="A13" s="7" t="s">
        <v>11</v>
      </c>
      <c r="B13" s="27" t="s">
        <v>20</v>
      </c>
      <c r="C13" s="28" t="s">
        <v>21</v>
      </c>
      <c r="D13" s="23" t="s">
        <v>22</v>
      </c>
      <c r="E13" s="13"/>
      <c r="F13" s="29" t="s">
        <v>23</v>
      </c>
      <c r="G13" s="29"/>
      <c r="H13" s="16"/>
      <c r="I13" s="24"/>
      <c r="J13" s="16"/>
      <c r="K13" s="16"/>
    </row>
    <row r="14" spans="1:11" ht="13">
      <c r="A14" s="7">
        <f>+A11+1</f>
        <v>2</v>
      </c>
      <c r="B14" s="27" t="s">
        <v>24</v>
      </c>
      <c r="C14" s="28" t="str">
        <f>"(page 4, line "&amp;A222&amp;")"</f>
        <v>(page 4, line 29)</v>
      </c>
      <c r="D14" s="30">
        <f>I222</f>
        <v>0</v>
      </c>
      <c r="E14" s="13"/>
      <c r="F14" s="13" t="s">
        <v>25</v>
      </c>
      <c r="G14" s="31">
        <f>I191</f>
        <v>1</v>
      </c>
      <c r="H14" s="32"/>
      <c r="I14" s="31">
        <f>+G14*D14</f>
        <v>0</v>
      </c>
      <c r="J14" s="16"/>
      <c r="K14" s="16"/>
    </row>
    <row r="15" spans="1:11" ht="13">
      <c r="A15" s="7">
        <f>+A14+1</f>
        <v>3</v>
      </c>
      <c r="B15" s="27" t="s">
        <v>26</v>
      </c>
      <c r="C15" s="28" t="str">
        <f>"(page 4, line "&amp;A227&amp;")"</f>
        <v>(page 4, line 33)</v>
      </c>
      <c r="D15" s="30">
        <f>I227</f>
        <v>0</v>
      </c>
      <c r="E15" s="13"/>
      <c r="F15" s="13" t="s">
        <v>25</v>
      </c>
      <c r="G15" s="31">
        <f>+G14</f>
        <v>1</v>
      </c>
      <c r="H15" s="32"/>
      <c r="I15" s="31">
        <f>+G15*D15</f>
        <v>0</v>
      </c>
      <c r="J15" s="16"/>
      <c r="K15" s="16"/>
    </row>
    <row r="16" spans="1:11" ht="13">
      <c r="A16" s="7">
        <f>+A15+1</f>
        <v>4</v>
      </c>
      <c r="B16" s="27" t="s">
        <v>27</v>
      </c>
      <c r="C16" s="28" t="s">
        <v>28</v>
      </c>
      <c r="D16" s="30">
        <f>+'5-P3 Support'!G67</f>
        <v>0</v>
      </c>
      <c r="E16" s="13"/>
      <c r="F16" s="13" t="s">
        <v>25</v>
      </c>
      <c r="G16" s="31">
        <f>+G15</f>
        <v>1</v>
      </c>
      <c r="H16" s="32"/>
      <c r="I16" s="31">
        <f>+D16*G16</f>
        <v>0</v>
      </c>
      <c r="J16" s="16"/>
      <c r="K16" s="16"/>
    </row>
    <row r="17" spans="1:11" ht="13">
      <c r="A17" s="7">
        <f>+A16+1</f>
        <v>5</v>
      </c>
      <c r="B17" s="33" t="s">
        <v>29</v>
      </c>
      <c r="C17" s="34" t="s">
        <v>30</v>
      </c>
      <c r="D17" s="35">
        <v>0</v>
      </c>
      <c r="E17" s="13"/>
      <c r="F17" s="13" t="s">
        <v>25</v>
      </c>
      <c r="G17" s="31">
        <f>+G15</f>
        <v>1</v>
      </c>
      <c r="H17" s="32"/>
      <c r="I17" s="31">
        <f>+G17*D17</f>
        <v>0</v>
      </c>
      <c r="J17" s="16"/>
      <c r="K17" s="16"/>
    </row>
    <row r="18" spans="1:11" ht="13.5" thickBot="1">
      <c r="A18" s="7">
        <f>+A17+1</f>
        <v>6</v>
      </c>
      <c r="B18" s="33" t="s">
        <v>31</v>
      </c>
      <c r="C18" s="34"/>
      <c r="D18" s="35">
        <v>0</v>
      </c>
      <c r="E18" s="13"/>
      <c r="F18" s="13" t="s">
        <v>25</v>
      </c>
      <c r="G18" s="31">
        <f>+G17</f>
        <v>1</v>
      </c>
      <c r="H18" s="32"/>
      <c r="I18" s="36">
        <f>+G18*D18</f>
        <v>0</v>
      </c>
      <c r="J18" s="16"/>
      <c r="K18" s="16"/>
    </row>
    <row r="19" spans="1:11" ht="13">
      <c r="A19" s="7">
        <f>+A18+1</f>
        <v>7</v>
      </c>
      <c r="B19" s="27" t="s">
        <v>32</v>
      </c>
      <c r="C19" s="16" t="s">
        <v>33</v>
      </c>
      <c r="D19" s="37">
        <f>SUM(D14:D18)</f>
        <v>0</v>
      </c>
      <c r="E19" s="13"/>
      <c r="F19" s="13"/>
      <c r="G19" s="38"/>
      <c r="H19" s="32"/>
      <c r="I19" s="31">
        <f>SUM(I14:I18)</f>
        <v>0</v>
      </c>
      <c r="J19" s="16"/>
      <c r="K19" s="16"/>
    </row>
    <row r="20" spans="1:11" ht="13">
      <c r="A20" s="7"/>
      <c r="B20" s="4"/>
      <c r="C20" s="16"/>
      <c r="D20" s="13" t="s">
        <v>11</v>
      </c>
      <c r="E20" s="16"/>
      <c r="F20" s="16"/>
      <c r="G20" s="39"/>
      <c r="H20" s="16"/>
      <c r="I20" s="4"/>
      <c r="J20" s="16"/>
      <c r="K20" s="16"/>
    </row>
    <row r="21" spans="1:13" ht="13.5" thickBot="1">
      <c r="A21" s="7">
        <f>+A19+1</f>
        <v>8</v>
      </c>
      <c r="B21" s="27" t="s">
        <v>34</v>
      </c>
      <c r="C21" s="16" t="s">
        <v>35</v>
      </c>
      <c r="D21" s="40" t="s">
        <v>11</v>
      </c>
      <c r="E21" s="13"/>
      <c r="F21" s="13"/>
      <c r="G21" s="13"/>
      <c r="H21" s="13"/>
      <c r="I21" s="41">
        <f>I11-I19</f>
        <v>121755.97793664002</v>
      </c>
      <c r="J21" s="16"/>
      <c r="K21" s="16"/>
      <c r="M21" s="42"/>
    </row>
    <row r="22" spans="1:13" ht="13.5" thickTop="1">
      <c r="A22" s="7"/>
      <c r="B22" s="4"/>
      <c r="C22" s="16"/>
      <c r="D22" s="40"/>
      <c r="E22" s="13"/>
      <c r="F22" s="13"/>
      <c r="G22" s="13"/>
      <c r="H22" s="13"/>
      <c r="I22" s="4"/>
      <c r="J22" s="16"/>
      <c r="K22" s="16"/>
      <c r="M22" s="43"/>
    </row>
    <row r="23" spans="1:11" ht="13">
      <c r="A23" s="44">
        <f>+A21+1</f>
        <v>9</v>
      </c>
      <c r="B23" s="45" t="s">
        <v>36</v>
      </c>
      <c r="C23" s="46" t="s">
        <v>37</v>
      </c>
      <c r="D23" s="30">
        <f>+'3-Project True-up'!H39</f>
        <v>0</v>
      </c>
      <c r="E23" s="47"/>
      <c r="F23" s="48" t="s">
        <v>38</v>
      </c>
      <c r="G23" s="49">
        <v>1</v>
      </c>
      <c r="H23" s="47"/>
      <c r="I23" s="50">
        <f>+G23*D23</f>
        <v>0</v>
      </c>
      <c r="K23" s="51"/>
    </row>
    <row r="24" spans="1:11" ht="13">
      <c r="A24" s="44"/>
      <c r="B24" s="45"/>
      <c r="C24" s="47"/>
      <c r="D24" s="52"/>
      <c r="E24" s="52"/>
      <c r="F24" s="52"/>
      <c r="G24" s="52"/>
      <c r="H24" s="52"/>
      <c r="I24" s="53"/>
      <c r="K24" s="51"/>
    </row>
    <row r="25" spans="1:11" ht="13.5" thickBot="1">
      <c r="A25" s="44">
        <f>+A23+1</f>
        <v>10</v>
      </c>
      <c r="B25" s="45" t="s">
        <v>34</v>
      </c>
      <c r="C25" s="47" t="s">
        <v>39</v>
      </c>
      <c r="D25" s="52"/>
      <c r="E25" s="53"/>
      <c r="F25" s="53"/>
      <c r="G25" s="53"/>
      <c r="H25" s="53"/>
      <c r="I25" s="54">
        <f>+I21+I23</f>
        <v>121755.97793664002</v>
      </c>
      <c r="K25" s="51"/>
    </row>
    <row r="26" spans="1:11" ht="13.5" thickTop="1">
      <c r="A26" s="55"/>
      <c r="B26" s="33"/>
      <c r="C26" s="51"/>
      <c r="D26" s="51"/>
      <c r="E26" s="51"/>
      <c r="F26" s="56"/>
      <c r="G26" s="57"/>
      <c r="H26" s="51"/>
      <c r="I26" s="33"/>
      <c r="J26" s="51"/>
      <c r="K26" s="51"/>
    </row>
    <row r="27" spans="1:11" ht="13">
      <c r="A27" s="55"/>
      <c r="B27" s="58"/>
      <c r="C27" s="51"/>
      <c r="D27" s="51"/>
      <c r="E27" s="51"/>
      <c r="F27" s="56"/>
      <c r="G27" s="57"/>
      <c r="H27" s="51"/>
      <c r="I27" s="33"/>
      <c r="J27" s="51"/>
      <c r="K27" s="51"/>
    </row>
    <row r="28" spans="1:11" ht="13">
      <c r="A28" s="55"/>
      <c r="B28" s="33"/>
      <c r="C28" s="51"/>
      <c r="D28" s="51"/>
      <c r="E28" s="51"/>
      <c r="F28" s="51"/>
      <c r="G28" s="57"/>
      <c r="H28" s="51"/>
      <c r="I28" s="33"/>
      <c r="J28" s="51"/>
      <c r="K28" s="51"/>
    </row>
    <row r="29" spans="1:11" ht="13">
      <c r="A29" s="55"/>
      <c r="B29" s="33"/>
      <c r="C29" s="51"/>
      <c r="D29" s="51"/>
      <c r="E29" s="51"/>
      <c r="F29" s="51"/>
      <c r="G29" s="57"/>
      <c r="H29" s="51"/>
      <c r="I29" s="33"/>
      <c r="J29" s="51"/>
      <c r="K29" s="51"/>
    </row>
    <row r="30" spans="1:11" ht="13">
      <c r="A30" s="55"/>
      <c r="B30" s="33"/>
      <c r="C30" s="51"/>
      <c r="D30" s="51"/>
      <c r="E30" s="51"/>
      <c r="F30" s="51"/>
      <c r="G30" s="57"/>
      <c r="H30" s="51"/>
      <c r="I30" s="33"/>
      <c r="J30" s="51"/>
      <c r="K30" s="51"/>
    </row>
    <row r="31" spans="1:11" ht="13">
      <c r="A31" s="55"/>
      <c r="B31" s="59"/>
      <c r="C31" s="51"/>
      <c r="D31" s="51"/>
      <c r="E31" s="51"/>
      <c r="F31" s="51"/>
      <c r="G31" s="51"/>
      <c r="H31" s="51"/>
      <c r="I31" s="33"/>
      <c r="J31" s="51"/>
      <c r="K31" s="51"/>
    </row>
    <row r="32" spans="1:11" ht="13">
      <c r="A32" s="55"/>
      <c r="B32" s="58"/>
      <c r="C32" s="51"/>
      <c r="D32" s="51"/>
      <c r="E32" s="51"/>
      <c r="F32" s="51"/>
      <c r="G32" s="51"/>
      <c r="H32" s="51"/>
      <c r="I32" s="33"/>
      <c r="J32" s="51"/>
      <c r="K32" s="51"/>
    </row>
    <row r="33" spans="1:11" ht="13">
      <c r="A33" s="55"/>
      <c r="B33" s="58"/>
      <c r="C33" s="51"/>
      <c r="D33" s="60"/>
      <c r="E33" s="51"/>
      <c r="F33" s="51"/>
      <c r="G33" s="51"/>
      <c r="H33" s="51"/>
      <c r="I33" s="56"/>
      <c r="J33" s="51"/>
      <c r="K33" s="51"/>
    </row>
    <row r="34" spans="1:11" ht="13">
      <c r="A34" s="55"/>
      <c r="B34" s="58"/>
      <c r="C34" s="51"/>
      <c r="D34" s="60"/>
      <c r="E34" s="51"/>
      <c r="F34" s="51"/>
      <c r="G34" s="51"/>
      <c r="H34" s="51"/>
      <c r="I34" s="56"/>
      <c r="J34" s="51"/>
      <c r="K34" s="51"/>
    </row>
    <row r="35" spans="1:11" ht="13">
      <c r="A35" s="55"/>
      <c r="B35" s="58"/>
      <c r="C35" s="51"/>
      <c r="D35" s="61"/>
      <c r="E35" s="51"/>
      <c r="F35" s="51"/>
      <c r="G35" s="51"/>
      <c r="H35" s="51"/>
      <c r="I35" s="56"/>
      <c r="J35" s="51"/>
      <c r="K35" s="51"/>
    </row>
    <row r="36" spans="1:11" ht="13">
      <c r="A36" s="55"/>
      <c r="B36" s="58"/>
      <c r="C36" s="51"/>
      <c r="D36" s="62"/>
      <c r="E36" s="51"/>
      <c r="F36" s="51"/>
      <c r="G36" s="51"/>
      <c r="H36" s="51"/>
      <c r="I36" s="63"/>
      <c r="J36" s="51"/>
      <c r="K36" s="51"/>
    </row>
    <row r="37" spans="1:11" ht="13">
      <c r="A37" s="55"/>
      <c r="B37" s="58"/>
      <c r="C37" s="64"/>
      <c r="D37" s="60"/>
      <c r="E37" s="51"/>
      <c r="F37" s="51"/>
      <c r="G37" s="51"/>
      <c r="H37" s="51"/>
      <c r="I37" s="65"/>
      <c r="J37" s="51"/>
      <c r="K37" s="51"/>
    </row>
    <row r="38" spans="1:11" ht="13">
      <c r="A38" s="55"/>
      <c r="B38" s="58"/>
      <c r="C38" s="64"/>
      <c r="D38" s="60"/>
      <c r="E38" s="51"/>
      <c r="F38" s="56"/>
      <c r="G38" s="51"/>
      <c r="H38" s="51"/>
      <c r="I38" s="65"/>
      <c r="J38" s="51"/>
      <c r="K38" s="51"/>
    </row>
    <row r="39" spans="1:11" ht="13">
      <c r="A39" s="55"/>
      <c r="B39" s="58"/>
      <c r="C39" s="64"/>
      <c r="D39" s="60"/>
      <c r="E39" s="51"/>
      <c r="F39" s="56"/>
      <c r="G39" s="51"/>
      <c r="H39" s="51"/>
      <c r="I39" s="65"/>
      <c r="J39" s="51"/>
      <c r="K39" s="51"/>
    </row>
    <row r="40" spans="1:11" ht="13">
      <c r="A40" s="55"/>
      <c r="B40" s="58"/>
      <c r="C40" s="51"/>
      <c r="D40" s="51"/>
      <c r="E40" s="51"/>
      <c r="F40" s="56"/>
      <c r="G40" s="51"/>
      <c r="H40" s="51"/>
      <c r="I40" s="56"/>
      <c r="J40" s="51"/>
      <c r="K40" s="51"/>
    </row>
    <row r="41" spans="1:11" ht="13">
      <c r="A41" s="55"/>
      <c r="B41" s="58"/>
      <c r="C41" s="51"/>
      <c r="D41" s="51"/>
      <c r="E41" s="51"/>
      <c r="F41" s="56"/>
      <c r="G41" s="51"/>
      <c r="H41" s="51"/>
      <c r="I41" s="56"/>
      <c r="J41" s="51"/>
      <c r="K41" s="51"/>
    </row>
    <row r="42" spans="1:11" ht="13">
      <c r="A42" s="55"/>
      <c r="B42" s="58"/>
      <c r="C42" s="51"/>
      <c r="D42" s="66"/>
      <c r="E42" s="66"/>
      <c r="F42" s="66"/>
      <c r="G42" s="66"/>
      <c r="H42" s="66"/>
      <c r="I42" s="66"/>
      <c r="J42" s="66"/>
      <c r="K42" s="51"/>
    </row>
    <row r="43" spans="1:11" ht="13">
      <c r="A43" s="55"/>
      <c r="B43" s="58"/>
      <c r="C43" s="51"/>
      <c r="D43" s="66"/>
      <c r="E43" s="66"/>
      <c r="F43" s="66"/>
      <c r="G43" s="66"/>
      <c r="H43" s="66"/>
      <c r="I43" s="66"/>
      <c r="J43" s="66"/>
      <c r="K43" s="51"/>
    </row>
    <row r="44" spans="1:11" ht="13">
      <c r="A44" s="55"/>
      <c r="B44" s="58"/>
      <c r="C44" s="51"/>
      <c r="D44" s="66"/>
      <c r="E44" s="66"/>
      <c r="F44" s="66"/>
      <c r="G44" s="66"/>
      <c r="H44" s="66"/>
      <c r="I44" s="66"/>
      <c r="J44" s="66"/>
      <c r="K44" s="51"/>
    </row>
    <row r="45" spans="1:11" ht="13">
      <c r="A45" s="55"/>
      <c r="B45" s="58"/>
      <c r="C45" s="51"/>
      <c r="D45" s="66"/>
      <c r="E45" s="66"/>
      <c r="F45" s="66"/>
      <c r="G45" s="66"/>
      <c r="H45" s="66"/>
      <c r="I45" s="66"/>
      <c r="J45" s="66"/>
      <c r="K45" s="51"/>
    </row>
    <row r="46" spans="1:11" ht="13">
      <c r="A46" s="7"/>
      <c r="B46" s="27"/>
      <c r="C46" s="16"/>
      <c r="D46" s="67"/>
      <c r="E46" s="68"/>
      <c r="F46" s="68"/>
      <c r="G46" s="68"/>
      <c r="H46" s="68"/>
      <c r="I46" s="68"/>
      <c r="J46" s="68"/>
      <c r="K46" s="16"/>
    </row>
    <row r="47" spans="1:11" ht="13">
      <c r="A47" s="7"/>
      <c r="B47" s="27"/>
      <c r="C47" s="16"/>
      <c r="D47" s="67"/>
      <c r="E47" s="68"/>
      <c r="F47" s="68"/>
      <c r="G47" s="68"/>
      <c r="H47" s="68"/>
      <c r="I47" s="68"/>
      <c r="J47" s="68"/>
      <c r="K47" s="16"/>
    </row>
    <row r="48" spans="1:11" ht="13">
      <c r="A48" s="7"/>
      <c r="B48" s="27"/>
      <c r="C48" s="16"/>
      <c r="D48" s="67"/>
      <c r="E48" s="68"/>
      <c r="F48" s="68"/>
      <c r="G48" s="68"/>
      <c r="H48" s="68"/>
      <c r="I48" s="68"/>
      <c r="J48" s="68"/>
      <c r="K48" s="16"/>
    </row>
    <row r="49" spans="1:11" ht="13">
      <c r="A49" s="7"/>
      <c r="B49" s="27"/>
      <c r="C49" s="16"/>
      <c r="D49" s="67"/>
      <c r="E49" s="68"/>
      <c r="F49" s="68"/>
      <c r="G49" s="68"/>
      <c r="H49" s="68"/>
      <c r="I49" s="68"/>
      <c r="J49" s="68"/>
      <c r="K49" s="16"/>
    </row>
    <row r="50" spans="1:11" ht="13">
      <c r="A50" s="7"/>
      <c r="B50" s="27"/>
      <c r="C50" s="16"/>
      <c r="D50" s="67"/>
      <c r="E50" s="68"/>
      <c r="F50" s="68"/>
      <c r="G50" s="68"/>
      <c r="H50" s="68"/>
      <c r="I50" s="68"/>
      <c r="J50" s="68"/>
      <c r="K50" s="16"/>
    </row>
    <row r="51" spans="1:11" ht="13">
      <c r="A51" s="7"/>
      <c r="B51" s="27"/>
      <c r="C51" s="16"/>
      <c r="D51" s="67"/>
      <c r="E51" s="68"/>
      <c r="F51" s="68"/>
      <c r="G51" s="68"/>
      <c r="H51" s="68"/>
      <c r="I51" s="68"/>
      <c r="J51" s="68"/>
      <c r="K51" s="16"/>
    </row>
    <row r="52" spans="1:11" ht="13">
      <c r="A52" s="4"/>
      <c r="B52" s="27"/>
      <c r="C52" s="16"/>
      <c r="D52" s="16"/>
      <c r="E52" s="16"/>
      <c r="F52" s="16"/>
      <c r="G52" s="16"/>
      <c r="H52" s="16"/>
      <c r="I52" s="69"/>
      <c r="J52" s="16"/>
      <c r="K52" s="70" t="s">
        <v>40</v>
      </c>
    </row>
    <row r="53" spans="1:11" ht="13">
      <c r="A53" s="4"/>
      <c r="B53" s="16"/>
      <c r="C53" s="16"/>
      <c r="D53" s="16"/>
      <c r="E53" s="16"/>
      <c r="F53" s="16"/>
      <c r="G53" s="16"/>
      <c r="H53" s="16"/>
      <c r="I53" s="16"/>
      <c r="J53" s="16"/>
      <c r="K53" s="16"/>
    </row>
    <row r="54" spans="1:11" ht="13">
      <c r="A54" s="4"/>
      <c r="B54" s="27" t="s">
        <v>2</v>
      </c>
      <c r="C54" s="27"/>
      <c r="D54" s="21" t="s">
        <v>4</v>
      </c>
      <c r="E54" s="27"/>
      <c r="F54" s="27"/>
      <c r="G54" s="27"/>
      <c r="H54" s="27"/>
      <c r="I54" s="1"/>
      <c r="J54" s="27"/>
      <c r="K54" s="70" t="str">
        <f>K3</f>
        <v>For  the 12 months ended 12/31/2020</v>
      </c>
    </row>
    <row r="55" spans="1:11" ht="13">
      <c r="A55" s="4"/>
      <c r="B55" s="71"/>
      <c r="C55" s="13"/>
      <c r="D55" s="14" t="s">
        <v>6</v>
      </c>
      <c r="E55" s="13"/>
      <c r="F55" s="13"/>
      <c r="G55" s="13"/>
      <c r="H55" s="13"/>
      <c r="I55" s="13"/>
      <c r="J55" s="13"/>
      <c r="K55" s="13"/>
    </row>
    <row r="56" spans="1:11" ht="13">
      <c r="A56" s="4"/>
      <c r="B56" s="27"/>
      <c r="C56" s="13"/>
      <c r="D56" s="72" t="str">
        <f>D5</f>
        <v>NextEra Energy Transmission MidAtlantic Indiana, Inc.</v>
      </c>
      <c r="E56" s="13"/>
      <c r="F56" s="13"/>
      <c r="G56" s="13" t="s">
        <v>11</v>
      </c>
      <c r="H56" s="13"/>
      <c r="I56" s="13"/>
      <c r="J56" s="13"/>
      <c r="K56" s="13"/>
    </row>
    <row r="57" spans="1:11" ht="13">
      <c r="A57" s="726"/>
      <c r="B57" s="726"/>
      <c r="C57" s="726"/>
      <c r="D57" s="726"/>
      <c r="E57" s="726"/>
      <c r="F57" s="726"/>
      <c r="G57" s="726"/>
      <c r="H57" s="726"/>
      <c r="I57" s="726"/>
      <c r="J57" s="726"/>
      <c r="K57" s="726"/>
    </row>
    <row r="58" spans="1:11" ht="13">
      <c r="A58" s="4"/>
      <c r="B58" s="21" t="s">
        <v>8</v>
      </c>
      <c r="C58" s="21" t="s">
        <v>9</v>
      </c>
      <c r="D58" s="21" t="s">
        <v>10</v>
      </c>
      <c r="E58" s="13" t="s">
        <v>11</v>
      </c>
      <c r="F58" s="13"/>
      <c r="G58" s="20" t="s">
        <v>12</v>
      </c>
      <c r="H58" s="13"/>
      <c r="I58" s="20" t="s">
        <v>13</v>
      </c>
      <c r="J58" s="13"/>
      <c r="K58" s="21"/>
    </row>
    <row r="59" spans="1:11" ht="13">
      <c r="A59" s="4"/>
      <c r="B59" s="27"/>
      <c r="C59" s="73"/>
      <c r="D59" s="13"/>
      <c r="E59" s="13"/>
      <c r="F59" s="13"/>
      <c r="G59" s="7"/>
      <c r="H59" s="13"/>
      <c r="I59" s="74" t="s">
        <v>41</v>
      </c>
      <c r="J59" s="13"/>
      <c r="K59" s="21"/>
    </row>
    <row r="60" spans="1:11" ht="13">
      <c r="A60" s="7" t="s">
        <v>14</v>
      </c>
      <c r="B60" s="27"/>
      <c r="C60" s="75" t="s">
        <v>42</v>
      </c>
      <c r="D60" s="74" t="s">
        <v>43</v>
      </c>
      <c r="E60" s="76"/>
      <c r="F60" s="74" t="s">
        <v>44</v>
      </c>
      <c r="G60" s="4"/>
      <c r="H60" s="76"/>
      <c r="I60" s="7" t="s">
        <v>45</v>
      </c>
      <c r="J60" s="13"/>
      <c r="K60" s="21"/>
    </row>
    <row r="61" spans="1:11" ht="13.5" thickBot="1">
      <c r="A61" s="23" t="s">
        <v>16</v>
      </c>
      <c r="B61" s="77" t="s">
        <v>46</v>
      </c>
      <c r="C61" s="13"/>
      <c r="D61" s="13"/>
      <c r="E61" s="13"/>
      <c r="F61" s="13"/>
      <c r="G61" s="13"/>
      <c r="H61" s="13"/>
      <c r="I61" s="13"/>
      <c r="J61" s="13"/>
      <c r="K61" s="13"/>
    </row>
    <row r="62" spans="1:11" ht="13">
      <c r="A62" s="7"/>
      <c r="B62" s="27" t="s">
        <v>47</v>
      </c>
      <c r="C62" s="13"/>
      <c r="D62" s="13"/>
      <c r="E62" s="13"/>
      <c r="F62" s="13"/>
      <c r="G62" s="13"/>
      <c r="H62" s="13"/>
      <c r="I62" s="13"/>
      <c r="J62" s="13"/>
      <c r="K62" s="13"/>
    </row>
    <row r="63" spans="1:11" ht="13">
      <c r="A63" s="7">
        <v>1</v>
      </c>
      <c r="B63" s="27" t="s">
        <v>48</v>
      </c>
      <c r="C63" s="32" t="s">
        <v>49</v>
      </c>
      <c r="D63" s="78">
        <v>0</v>
      </c>
      <c r="E63" s="13"/>
      <c r="F63" s="13" t="s">
        <v>50</v>
      </c>
      <c r="G63" s="79" t="s">
        <v>11</v>
      </c>
      <c r="H63" s="13"/>
      <c r="I63" s="50">
        <v>0</v>
      </c>
      <c r="J63" s="13"/>
      <c r="K63" s="13"/>
    </row>
    <row r="64" spans="1:11" ht="13">
      <c r="A64" s="7">
        <f>+A63+1</f>
        <v>2</v>
      </c>
      <c r="B64" s="27" t="s">
        <v>51</v>
      </c>
      <c r="C64" s="32" t="s">
        <v>52</v>
      </c>
      <c r="D64" s="35">
        <f>'4- Rate Base'!C24</f>
        <v>382487.92</v>
      </c>
      <c r="E64" s="13"/>
      <c r="F64" s="13" t="s">
        <v>25</v>
      </c>
      <c r="G64" s="31">
        <f>I191</f>
        <v>1</v>
      </c>
      <c r="H64" s="32"/>
      <c r="I64" s="50">
        <f>+G64*D64</f>
        <v>382487.92</v>
      </c>
      <c r="J64" s="13"/>
      <c r="K64" s="13"/>
    </row>
    <row r="65" spans="1:11" ht="13">
      <c r="A65" s="7">
        <f t="shared" si="0" ref="A65:A104">+A64+1</f>
        <v>3</v>
      </c>
      <c r="B65" s="27" t="s">
        <v>53</v>
      </c>
      <c r="C65" s="32" t="s">
        <v>54</v>
      </c>
      <c r="D65" s="78">
        <v>0</v>
      </c>
      <c r="E65" s="13"/>
      <c r="F65" s="13" t="s">
        <v>50</v>
      </c>
      <c r="G65" s="30">
        <v>0</v>
      </c>
      <c r="H65" s="32"/>
      <c r="I65" s="50">
        <v>0</v>
      </c>
      <c r="J65" s="13"/>
      <c r="K65" s="13"/>
    </row>
    <row r="66" spans="1:11" ht="13">
      <c r="A66" s="7">
        <f>+A65+1</f>
        <v>4</v>
      </c>
      <c r="B66" s="27" t="s">
        <v>55</v>
      </c>
      <c r="C66" s="32" t="s">
        <v>56</v>
      </c>
      <c r="D66" s="35">
        <f>'4- Rate Base'!D24</f>
        <v>0</v>
      </c>
      <c r="E66" s="13"/>
      <c r="F66" s="13" t="s">
        <v>57</v>
      </c>
      <c r="G66" s="31">
        <f>I199</f>
        <v>1</v>
      </c>
      <c r="H66" s="32"/>
      <c r="I66" s="50">
        <f>+G66*D66</f>
        <v>0</v>
      </c>
      <c r="J66" s="13"/>
      <c r="K66" s="13"/>
    </row>
    <row r="67" spans="1:11" ht="13.5" thickBot="1">
      <c r="A67" s="7">
        <f>+A66+1</f>
        <v>5</v>
      </c>
      <c r="B67" s="27" t="s">
        <v>58</v>
      </c>
      <c r="C67" s="13" t="s">
        <v>59</v>
      </c>
      <c r="D67" s="80">
        <v>0</v>
      </c>
      <c r="E67" s="13"/>
      <c r="F67" s="13" t="s">
        <v>60</v>
      </c>
      <c r="G67" s="31">
        <f>K203</f>
        <v>1</v>
      </c>
      <c r="H67" s="32"/>
      <c r="I67" s="81">
        <f>+G67*D67</f>
        <v>0</v>
      </c>
      <c r="J67" s="13"/>
      <c r="K67" s="13"/>
    </row>
    <row r="68" spans="1:11" ht="13">
      <c r="A68" s="7">
        <f>+A67+1</f>
        <v>6</v>
      </c>
      <c r="B68" s="5" t="s">
        <v>61</v>
      </c>
      <c r="C68" s="13" t="s">
        <v>62</v>
      </c>
      <c r="D68" s="50">
        <f>SUM(D63:D67)</f>
        <v>382487.92</v>
      </c>
      <c r="E68" s="13"/>
      <c r="F68" s="13" t="s">
        <v>63</v>
      </c>
      <c r="G68" s="82">
        <f>IF(I68&gt;0,I68/D68,0)</f>
        <v>1</v>
      </c>
      <c r="H68" s="32"/>
      <c r="I68" s="50">
        <f>SUM(I63:I67)</f>
        <v>382487.92</v>
      </c>
      <c r="J68" s="13"/>
      <c r="K68" s="83"/>
    </row>
    <row r="69" spans="1:11" ht="13">
      <c r="A69" s="7"/>
      <c r="B69" s="27"/>
      <c r="C69" s="13"/>
      <c r="D69" s="50"/>
      <c r="E69" s="13"/>
      <c r="F69" s="13"/>
      <c r="G69" s="83"/>
      <c r="H69" s="13"/>
      <c r="I69" s="50"/>
      <c r="J69" s="13"/>
      <c r="K69" s="83"/>
    </row>
    <row r="70" spans="1:11" ht="13">
      <c r="A70" s="7">
        <f>+A68+1</f>
        <v>7</v>
      </c>
      <c r="B70" s="27" t="s">
        <v>64</v>
      </c>
      <c r="C70" s="13"/>
      <c r="D70" s="50"/>
      <c r="E70" s="13"/>
      <c r="F70" s="13"/>
      <c r="G70" s="13"/>
      <c r="H70" s="13"/>
      <c r="I70" s="50"/>
      <c r="J70" s="13"/>
      <c r="K70" s="13"/>
    </row>
    <row r="71" spans="1:11" ht="13">
      <c r="A71" s="7">
        <f>+A70+1</f>
        <v>8</v>
      </c>
      <c r="B71" s="27" t="s">
        <v>48</v>
      </c>
      <c r="C71" s="13" t="s">
        <v>65</v>
      </c>
      <c r="D71" s="78">
        <v>0</v>
      </c>
      <c r="E71" s="13"/>
      <c r="F71" s="13" t="s">
        <v>50</v>
      </c>
      <c r="G71" s="79" t="s">
        <v>11</v>
      </c>
      <c r="H71" s="13"/>
      <c r="I71" s="50">
        <v>0</v>
      </c>
      <c r="J71" s="13"/>
      <c r="K71" s="13"/>
    </row>
    <row r="72" spans="1:11" ht="13">
      <c r="A72" s="7">
        <f>+A71+1</f>
        <v>9</v>
      </c>
      <c r="B72" s="27" t="s">
        <v>51</v>
      </c>
      <c r="C72" s="13" t="s">
        <v>66</v>
      </c>
      <c r="D72" s="35">
        <f>'4- Rate Base'!I24</f>
        <v>359898.15589974355</v>
      </c>
      <c r="E72" s="13"/>
      <c r="F72" s="13" t="s">
        <v>25</v>
      </c>
      <c r="G72" s="31">
        <f>+G64</f>
        <v>1</v>
      </c>
      <c r="H72" s="32"/>
      <c r="I72" s="50">
        <f>+G72*D72</f>
        <v>359898.15589974355</v>
      </c>
      <c r="J72" s="13"/>
      <c r="K72" s="13"/>
    </row>
    <row r="73" spans="1:11" ht="13">
      <c r="A73" s="7">
        <f>+A72+1</f>
        <v>10</v>
      </c>
      <c r="B73" s="27" t="s">
        <v>53</v>
      </c>
      <c r="C73" s="13" t="s">
        <v>67</v>
      </c>
      <c r="D73" s="78">
        <v>0</v>
      </c>
      <c r="E73" s="13"/>
      <c r="F73" s="13" t="s">
        <v>50</v>
      </c>
      <c r="G73" s="31">
        <f>+G65</f>
        <v>0</v>
      </c>
      <c r="H73" s="32"/>
      <c r="I73" s="35">
        <f>+G73*D73</f>
        <v>0</v>
      </c>
      <c r="J73" s="13"/>
      <c r="K73" s="13"/>
    </row>
    <row r="74" spans="1:11" ht="13">
      <c r="A74" s="7">
        <f>+A73+1</f>
        <v>11</v>
      </c>
      <c r="B74" s="27" t="s">
        <v>55</v>
      </c>
      <c r="C74" s="13" t="s">
        <v>68</v>
      </c>
      <c r="D74" s="35">
        <f>'4- Rate Base'!J24</f>
        <v>0</v>
      </c>
      <c r="E74" s="13"/>
      <c r="F74" s="13" t="s">
        <v>57</v>
      </c>
      <c r="G74" s="31">
        <f>+G66</f>
        <v>1</v>
      </c>
      <c r="H74" s="32"/>
      <c r="I74" s="50">
        <f>+G74*D74</f>
        <v>0</v>
      </c>
      <c r="J74" s="13"/>
      <c r="K74" s="13"/>
    </row>
    <row r="75" spans="1:11" ht="13.5" thickBot="1">
      <c r="A75" s="7">
        <f>+A74+1</f>
        <v>12</v>
      </c>
      <c r="B75" s="27" t="s">
        <v>58</v>
      </c>
      <c r="C75" s="13" t="s">
        <v>59</v>
      </c>
      <c r="D75" s="80">
        <v>0</v>
      </c>
      <c r="E75" s="13"/>
      <c r="F75" s="13" t="s">
        <v>60</v>
      </c>
      <c r="G75" s="31">
        <f>+G67</f>
        <v>1</v>
      </c>
      <c r="H75" s="32"/>
      <c r="I75" s="81">
        <f>+G75*D75</f>
        <v>0</v>
      </c>
      <c r="J75" s="13"/>
      <c r="K75" s="13"/>
    </row>
    <row r="76" spans="1:11" ht="13">
      <c r="A76" s="7">
        <f>+A75+1</f>
        <v>13</v>
      </c>
      <c r="B76" s="27" t="s">
        <v>69</v>
      </c>
      <c r="C76" s="13" t="s">
        <v>70</v>
      </c>
      <c r="D76" s="50">
        <f>SUM(D71:D75)</f>
        <v>359898.15589974355</v>
      </c>
      <c r="E76" s="13"/>
      <c r="F76" s="13"/>
      <c r="G76" s="31"/>
      <c r="H76" s="32"/>
      <c r="I76" s="50">
        <f>SUM(I71:I75)</f>
        <v>359898.15589974355</v>
      </c>
      <c r="J76" s="13"/>
      <c r="K76" s="13"/>
    </row>
    <row r="77" spans="1:11" ht="13">
      <c r="A77" s="7"/>
      <c r="B77" s="4"/>
      <c r="C77" s="13" t="s">
        <v>11</v>
      </c>
      <c r="D77" s="50"/>
      <c r="E77" s="13"/>
      <c r="F77" s="13"/>
      <c r="G77" s="82"/>
      <c r="H77" s="13"/>
      <c r="I77" s="50"/>
      <c r="J77" s="13"/>
      <c r="K77" s="83"/>
    </row>
    <row r="78" spans="1:11" ht="13">
      <c r="A78" s="7">
        <f>+A76+1</f>
        <v>14</v>
      </c>
      <c r="B78" s="27" t="s">
        <v>71</v>
      </c>
      <c r="C78" s="13"/>
      <c r="D78" s="50"/>
      <c r="E78" s="13"/>
      <c r="F78" s="13"/>
      <c r="G78" s="31"/>
      <c r="H78" s="13"/>
      <c r="I78" s="50"/>
      <c r="J78" s="13"/>
      <c r="K78" s="13"/>
    </row>
    <row r="79" spans="1:11" ht="13">
      <c r="A79" s="7">
        <f>+A78+1</f>
        <v>15</v>
      </c>
      <c r="B79" s="27" t="s">
        <v>48</v>
      </c>
      <c r="C79" s="13" t="str">
        <f>"(line "&amp;A63&amp;"minus line "&amp;A71&amp;")"</f>
        <v>(line 1minus line 8)</v>
      </c>
      <c r="D79" s="50">
        <f>D63-D71</f>
        <v>0</v>
      </c>
      <c r="E79" s="32"/>
      <c r="F79" s="32"/>
      <c r="G79" s="82"/>
      <c r="H79" s="32"/>
      <c r="I79" s="50">
        <f>I63-I71</f>
        <v>0</v>
      </c>
      <c r="J79" s="13"/>
      <c r="K79" s="83"/>
    </row>
    <row r="80" spans="1:11" ht="13">
      <c r="A80" s="7">
        <f>+A79+1</f>
        <v>16</v>
      </c>
      <c r="B80" s="27" t="s">
        <v>51</v>
      </c>
      <c r="C80" s="13" t="s">
        <v>72</v>
      </c>
      <c r="D80" s="50">
        <f>D64-D72</f>
        <v>22589.764100256434</v>
      </c>
      <c r="E80" s="32"/>
      <c r="F80" s="32"/>
      <c r="G80" s="31"/>
      <c r="H80" s="32"/>
      <c r="I80" s="50">
        <f>I64-I72</f>
        <v>22589.764100256434</v>
      </c>
      <c r="J80" s="13"/>
      <c r="K80" s="83"/>
    </row>
    <row r="81" spans="1:11" ht="13">
      <c r="A81" s="7">
        <f>+A80+1</f>
        <v>17</v>
      </c>
      <c r="B81" s="27" t="s">
        <v>53</v>
      </c>
      <c r="C81" s="13" t="str">
        <f>"(line "&amp;A65&amp;" minus line "&amp;A73&amp;")"</f>
        <v>(line 3 minus line 10)</v>
      </c>
      <c r="D81" s="50">
        <f>D65-D73</f>
        <v>0</v>
      </c>
      <c r="E81" s="32"/>
      <c r="F81" s="32"/>
      <c r="G81" s="82"/>
      <c r="H81" s="32"/>
      <c r="I81" s="35">
        <f>I65-I73</f>
        <v>0</v>
      </c>
      <c r="J81" s="13"/>
      <c r="K81" s="83"/>
    </row>
    <row r="82" spans="1:11" ht="13">
      <c r="A82" s="7">
        <f>+A81+1</f>
        <v>18</v>
      </c>
      <c r="B82" s="27" t="s">
        <v>55</v>
      </c>
      <c r="C82" s="13" t="s">
        <v>73</v>
      </c>
      <c r="D82" s="50">
        <f>D66-D74</f>
        <v>0</v>
      </c>
      <c r="E82" s="32"/>
      <c r="F82" s="32"/>
      <c r="G82" s="82"/>
      <c r="H82" s="32"/>
      <c r="I82" s="50">
        <f>I66-I74</f>
        <v>0</v>
      </c>
      <c r="J82" s="13"/>
      <c r="K82" s="83"/>
    </row>
    <row r="83" spans="1:11" ht="13.5" thickBot="1">
      <c r="A83" s="7">
        <f>+A82+1</f>
        <v>19</v>
      </c>
      <c r="B83" s="27" t="s">
        <v>58</v>
      </c>
      <c r="C83" s="13" t="str">
        <f>"(line "&amp;A67&amp;" minus line "&amp;A75&amp;")"</f>
        <v>(line 5 minus line 12)</v>
      </c>
      <c r="D83" s="81">
        <f>D67-D75</f>
        <v>0</v>
      </c>
      <c r="E83" s="32"/>
      <c r="F83" s="32"/>
      <c r="G83" s="82"/>
      <c r="H83" s="32"/>
      <c r="I83" s="81">
        <f>I67-I75</f>
        <v>0</v>
      </c>
      <c r="J83" s="13"/>
      <c r="K83" s="83"/>
    </row>
    <row r="84" spans="1:11" ht="13">
      <c r="A84" s="7">
        <f>+A83+1</f>
        <v>20</v>
      </c>
      <c r="B84" s="27" t="s">
        <v>74</v>
      </c>
      <c r="C84" s="13" t="s">
        <v>75</v>
      </c>
      <c r="D84" s="50">
        <f>SUM(D79:D83)</f>
        <v>22589.764100256434</v>
      </c>
      <c r="E84" s="32"/>
      <c r="F84" s="32" t="s">
        <v>76</v>
      </c>
      <c r="G84" s="82">
        <f>IF(I84&gt;0,I84/D84,0)</f>
        <v>1</v>
      </c>
      <c r="H84" s="32"/>
      <c r="I84" s="50">
        <f>SUM(I79:I83)</f>
        <v>22589.764100256434</v>
      </c>
      <c r="J84" s="13"/>
      <c r="K84" s="13"/>
    </row>
    <row r="85" spans="1:11" ht="13">
      <c r="A85" s="7"/>
      <c r="B85" s="4"/>
      <c r="C85" s="13"/>
      <c r="D85" s="50"/>
      <c r="E85" s="13"/>
      <c r="F85" s="4"/>
      <c r="G85" s="4"/>
      <c r="H85" s="13"/>
      <c r="I85" s="50"/>
      <c r="J85" s="13"/>
      <c r="K85" s="83"/>
    </row>
    <row r="86" spans="1:11" ht="13">
      <c r="A86" s="7">
        <f>+A84+1</f>
        <v>21</v>
      </c>
      <c r="B86" s="5" t="s">
        <v>77</v>
      </c>
      <c r="C86" s="13"/>
      <c r="D86" s="50"/>
      <c r="E86" s="13"/>
      <c r="F86" s="13"/>
      <c r="G86" s="13"/>
      <c r="H86" s="13"/>
      <c r="I86" s="50"/>
      <c r="J86" s="13"/>
      <c r="K86" s="13"/>
    </row>
    <row r="87" spans="1:11" ht="13">
      <c r="A87" s="7">
        <f>+A86+1</f>
        <v>22</v>
      </c>
      <c r="B87" s="27" t="s">
        <v>78</v>
      </c>
      <c r="C87" s="13" t="s">
        <v>79</v>
      </c>
      <c r="D87" s="35">
        <f>-'4- Rate Base'!E44</f>
        <v>0</v>
      </c>
      <c r="E87" s="28"/>
      <c r="F87" s="28" t="s">
        <v>50</v>
      </c>
      <c r="G87" s="84" t="s">
        <v>80</v>
      </c>
      <c r="H87" s="32"/>
      <c r="I87" s="50">
        <v>0</v>
      </c>
      <c r="J87" s="13"/>
      <c r="K87" s="83"/>
    </row>
    <row r="88" spans="1:11" ht="13">
      <c r="A88" s="7">
        <f>+A87+1</f>
        <v>23</v>
      </c>
      <c r="B88" s="27" t="s">
        <v>81</v>
      </c>
      <c r="C88" s="13" t="s">
        <v>82</v>
      </c>
      <c r="D88" s="85">
        <f>-'4- Rate Base'!F44</f>
        <v>24.71033571922375</v>
      </c>
      <c r="E88" s="13"/>
      <c r="F88" s="13" t="s">
        <v>83</v>
      </c>
      <c r="G88" s="86">
        <f>+G84</f>
        <v>1</v>
      </c>
      <c r="H88" s="32"/>
      <c r="I88" s="50">
        <f>D88*G88</f>
        <v>24.71033571922375</v>
      </c>
      <c r="J88" s="13"/>
      <c r="K88" s="83"/>
    </row>
    <row r="89" spans="1:11" ht="13">
      <c r="A89" s="7">
        <f>+A88+1</f>
        <v>24</v>
      </c>
      <c r="B89" s="27" t="s">
        <v>84</v>
      </c>
      <c r="C89" s="13" t="s">
        <v>85</v>
      </c>
      <c r="D89" s="85">
        <f>-'4- Rate Base'!G44</f>
        <v>0</v>
      </c>
      <c r="E89" s="13"/>
      <c r="F89" s="13" t="s">
        <v>83</v>
      </c>
      <c r="G89" s="86">
        <f>+G88</f>
        <v>1</v>
      </c>
      <c r="H89" s="32"/>
      <c r="I89" s="50">
        <f>D89*G89</f>
        <v>0</v>
      </c>
      <c r="J89" s="13"/>
      <c r="K89" s="83"/>
    </row>
    <row r="90" spans="1:11" ht="13">
      <c r="A90" s="7">
        <f>+A89+1</f>
        <v>25</v>
      </c>
      <c r="B90" s="27" t="s">
        <v>86</v>
      </c>
      <c r="C90" s="13" t="s">
        <v>87</v>
      </c>
      <c r="D90" s="85">
        <f>-'4- Rate Base'!H44</f>
        <v>0</v>
      </c>
      <c r="E90" s="13"/>
      <c r="F90" s="13" t="s">
        <v>83</v>
      </c>
      <c r="G90" s="86">
        <f>+G89</f>
        <v>1</v>
      </c>
      <c r="H90" s="32"/>
      <c r="I90" s="50">
        <f>D90*G90</f>
        <v>0</v>
      </c>
      <c r="J90" s="13"/>
      <c r="K90" s="83"/>
    </row>
    <row r="91" spans="1:11" ht="13">
      <c r="A91" s="7">
        <f>+A90+1</f>
        <v>26</v>
      </c>
      <c r="B91" s="4" t="s">
        <v>88</v>
      </c>
      <c r="C91" s="4" t="s">
        <v>89</v>
      </c>
      <c r="D91" s="85">
        <f>-'4- Rate Base'!I44</f>
        <v>0</v>
      </c>
      <c r="E91" s="13"/>
      <c r="F91" s="13" t="s">
        <v>83</v>
      </c>
      <c r="G91" s="86">
        <f>+G89</f>
        <v>1</v>
      </c>
      <c r="H91" s="32"/>
      <c r="I91" s="87">
        <f>D91*G91</f>
        <v>0</v>
      </c>
      <c r="J91" s="13"/>
      <c r="K91" s="83"/>
    </row>
    <row r="92" spans="1:11" s="93" customFormat="1" ht="13">
      <c r="A92" s="88" t="s">
        <v>90</v>
      </c>
      <c r="B92" s="89" t="s">
        <v>91</v>
      </c>
      <c r="C92" s="89" t="s">
        <v>92</v>
      </c>
      <c r="D92" s="85">
        <f>-'4- Rate Base'!I59</f>
        <v>0</v>
      </c>
      <c r="E92" s="28"/>
      <c r="F92" s="28" t="s">
        <v>38</v>
      </c>
      <c r="G92" s="90">
        <f>G93</f>
        <v>1</v>
      </c>
      <c r="H92" s="91"/>
      <c r="I92" s="85">
        <f>+G92*D92</f>
        <v>0</v>
      </c>
      <c r="J92" s="28"/>
      <c r="K92" s="92"/>
    </row>
    <row r="93" spans="1:11" ht="13">
      <c r="A93" s="7">
        <f>+A91+1</f>
        <v>27</v>
      </c>
      <c r="B93" s="52" t="s">
        <v>93</v>
      </c>
      <c r="C93" s="94" t="s">
        <v>94</v>
      </c>
      <c r="D93" s="85">
        <f>'4- Rate Base'!E24</f>
        <v>0</v>
      </c>
      <c r="E93" s="95"/>
      <c r="F93" s="96" t="str">
        <f>+F94</f>
        <v>DA</v>
      </c>
      <c r="G93" s="97">
        <v>1</v>
      </c>
      <c r="H93" s="95"/>
      <c r="I93" s="87">
        <f>+G93*D93</f>
        <v>0</v>
      </c>
      <c r="K93" s="83"/>
    </row>
    <row r="94" spans="1:11" ht="13">
      <c r="A94" s="7">
        <f>+A93+1</f>
        <v>28</v>
      </c>
      <c r="B94" s="98" t="s">
        <v>95</v>
      </c>
      <c r="C94" s="94" t="s">
        <v>96</v>
      </c>
      <c r="D94" s="85">
        <f>+'4- Rate Base'!C44</f>
        <v>0</v>
      </c>
      <c r="E94" s="96"/>
      <c r="F94" s="96" t="str">
        <f>+F95</f>
        <v>DA</v>
      </c>
      <c r="G94" s="97">
        <v>1</v>
      </c>
      <c r="H94" s="96"/>
      <c r="I94" s="87">
        <f>+G94*D94</f>
        <v>0</v>
      </c>
      <c r="K94" s="83"/>
    </row>
    <row r="95" spans="1:11" ht="13.5" thickBot="1">
      <c r="A95" s="7">
        <f>+A94+1</f>
        <v>29</v>
      </c>
      <c r="B95" s="98" t="s">
        <v>97</v>
      </c>
      <c r="C95" s="94" t="s">
        <v>98</v>
      </c>
      <c r="D95" s="99">
        <f>+'4- Rate Base'!D44</f>
        <v>0</v>
      </c>
      <c r="E95" s="95"/>
      <c r="F95" s="95" t="s">
        <v>38</v>
      </c>
      <c r="G95" s="100">
        <v>1</v>
      </c>
      <c r="H95" s="95"/>
      <c r="I95" s="81">
        <f>+G95*D95</f>
        <v>0</v>
      </c>
      <c r="K95" s="83"/>
    </row>
    <row r="96" spans="1:11" ht="13">
      <c r="A96" s="7">
        <f>+A95+1</f>
        <v>30</v>
      </c>
      <c r="B96" s="27" t="s">
        <v>99</v>
      </c>
      <c r="C96" s="13" t="s">
        <v>100</v>
      </c>
      <c r="D96" s="50">
        <f>SUM(D87:D95)</f>
        <v>24.71033571922375</v>
      </c>
      <c r="E96" s="13"/>
      <c r="F96" s="13"/>
      <c r="G96" s="32"/>
      <c r="H96" s="32"/>
      <c r="I96" s="50">
        <f>SUM(I87:I95)</f>
        <v>24.71033571922375</v>
      </c>
      <c r="J96" s="13"/>
      <c r="K96" s="13"/>
    </row>
    <row r="97" spans="1:11" ht="13">
      <c r="A97" s="7"/>
      <c r="B97" s="4"/>
      <c r="C97" s="13"/>
      <c r="D97" s="50"/>
      <c r="E97" s="13"/>
      <c r="F97" s="13"/>
      <c r="G97" s="83"/>
      <c r="H97" s="13"/>
      <c r="I97" s="50"/>
      <c r="J97" s="13"/>
      <c r="K97" s="83"/>
    </row>
    <row r="98" spans="1:11" ht="13">
      <c r="A98" s="7">
        <f>+A96+1</f>
        <v>31</v>
      </c>
      <c r="B98" s="5" t="s">
        <v>101</v>
      </c>
      <c r="C98" s="101" t="s">
        <v>102</v>
      </c>
      <c r="D98" s="35">
        <f>+'4- Rate Base'!F24</f>
        <v>0</v>
      </c>
      <c r="E98" s="13"/>
      <c r="F98" s="13" t="s">
        <v>25</v>
      </c>
      <c r="G98" s="31">
        <f>+G72</f>
        <v>1</v>
      </c>
      <c r="H98" s="32"/>
      <c r="I98" s="50">
        <f>+G98*D98</f>
        <v>0</v>
      </c>
      <c r="J98" s="13"/>
      <c r="K98" s="13"/>
    </row>
    <row r="99" spans="1:11" ht="13">
      <c r="A99" s="7"/>
      <c r="B99" s="27"/>
      <c r="C99" s="13"/>
      <c r="D99" s="50"/>
      <c r="E99" s="13"/>
      <c r="F99" s="13"/>
      <c r="G99" s="31"/>
      <c r="H99" s="32"/>
      <c r="I99" s="50"/>
      <c r="J99" s="13"/>
      <c r="K99" s="13"/>
    </row>
    <row r="100" spans="1:11" ht="13">
      <c r="A100" s="7">
        <f>+A98+1</f>
        <v>32</v>
      </c>
      <c r="B100" s="27" t="s">
        <v>103</v>
      </c>
      <c r="C100" s="13" t="s">
        <v>104</v>
      </c>
      <c r="D100" s="50"/>
      <c r="E100" s="13"/>
      <c r="F100" s="13"/>
      <c r="G100" s="31"/>
      <c r="H100" s="32"/>
      <c r="I100" s="50"/>
      <c r="J100" s="13"/>
      <c r="K100" s="13"/>
    </row>
    <row r="101" spans="1:11" ht="13">
      <c r="A101" s="7">
        <f>+A100+1</f>
        <v>33</v>
      </c>
      <c r="B101" s="27" t="s">
        <v>105</v>
      </c>
      <c r="C101" s="4" t="s">
        <v>106</v>
      </c>
      <c r="D101" s="35">
        <f>(D134-D131)/8</f>
        <v>14296.062135</v>
      </c>
      <c r="E101" s="28"/>
      <c r="F101" s="28"/>
      <c r="G101" s="30"/>
      <c r="H101" s="91"/>
      <c r="I101" s="35">
        <f>(I134-I131)/8</f>
        <v>14296.062135</v>
      </c>
      <c r="J101" s="16"/>
      <c r="K101" s="83"/>
    </row>
    <row r="102" spans="1:11" ht="13">
      <c r="A102" s="7">
        <f>+A101+1</f>
        <v>34</v>
      </c>
      <c r="B102" s="27" t="s">
        <v>107</v>
      </c>
      <c r="C102" s="101" t="s">
        <v>108</v>
      </c>
      <c r="D102" s="35">
        <f>+'4- Rate Base'!G24</f>
        <v>0</v>
      </c>
      <c r="E102" s="13"/>
      <c r="F102" s="13" t="s">
        <v>25</v>
      </c>
      <c r="G102" s="31">
        <f>+G119</f>
        <v>1</v>
      </c>
      <c r="H102" s="32"/>
      <c r="I102" s="50">
        <f>+G102*D102</f>
        <v>0</v>
      </c>
      <c r="J102" s="13" t="s">
        <v>11</v>
      </c>
      <c r="K102" s="83"/>
    </row>
    <row r="103" spans="1:11" ht="13.5" thickBot="1">
      <c r="A103" s="7">
        <f>+A102+1</f>
        <v>35</v>
      </c>
      <c r="B103" s="27" t="s">
        <v>109</v>
      </c>
      <c r="C103" s="32" t="s">
        <v>110</v>
      </c>
      <c r="D103" s="99">
        <f>+'4- Rate Base'!H24</f>
        <v>0</v>
      </c>
      <c r="E103" s="13"/>
      <c r="F103" s="13" t="s">
        <v>111</v>
      </c>
      <c r="G103" s="31">
        <f>+G68</f>
        <v>1</v>
      </c>
      <c r="H103" s="32"/>
      <c r="I103" s="81">
        <f>+G103*D103</f>
        <v>0</v>
      </c>
      <c r="J103" s="13"/>
      <c r="K103" s="83"/>
    </row>
    <row r="104" spans="1:11" ht="13">
      <c r="A104" s="7">
        <f>+A103+1</f>
        <v>36</v>
      </c>
      <c r="B104" s="27" t="s">
        <v>112</v>
      </c>
      <c r="C104" s="16" t="s">
        <v>113</v>
      </c>
      <c r="D104" s="50">
        <f>SUM(D101:D103)</f>
        <v>14296.062135</v>
      </c>
      <c r="E104" s="16"/>
      <c r="F104" s="16"/>
      <c r="G104" s="102"/>
      <c r="H104" s="102"/>
      <c r="I104" s="50">
        <f>I101+I102+I103</f>
        <v>14296.062135</v>
      </c>
      <c r="J104" s="16"/>
      <c r="K104" s="16"/>
    </row>
    <row r="105" spans="1:11" ht="13.5" thickBot="1">
      <c r="A105" s="7"/>
      <c r="B105" s="4"/>
      <c r="C105" s="13"/>
      <c r="D105" s="81"/>
      <c r="E105" s="13"/>
      <c r="F105" s="13"/>
      <c r="G105" s="13"/>
      <c r="H105" s="13"/>
      <c r="I105" s="81"/>
      <c r="J105" s="13"/>
      <c r="K105" s="13"/>
    </row>
    <row r="106" spans="1:11" ht="13.5" thickBot="1">
      <c r="A106" s="7">
        <f>+A104+1</f>
        <v>37</v>
      </c>
      <c r="B106" s="27" t="s">
        <v>114</v>
      </c>
      <c r="C106" s="13" t="s">
        <v>115</v>
      </c>
      <c r="D106" s="103">
        <f>+D104+D98+D96+D84</f>
        <v>36910.536570975659</v>
      </c>
      <c r="E106" s="32"/>
      <c r="F106" s="32"/>
      <c r="G106" s="104"/>
      <c r="H106" s="32"/>
      <c r="I106" s="103">
        <f>+I104+I98+I96+I84</f>
        <v>36910.536570975659</v>
      </c>
      <c r="J106" s="13"/>
      <c r="K106" s="83"/>
    </row>
    <row r="107" spans="1:11" ht="13.5" thickTop="1">
      <c r="A107" s="7"/>
      <c r="B107" s="27"/>
      <c r="C107" s="13"/>
      <c r="D107" s="105"/>
      <c r="E107" s="32"/>
      <c r="F107" s="32"/>
      <c r="G107" s="104"/>
      <c r="H107" s="32"/>
      <c r="I107" s="105"/>
      <c r="J107" s="13"/>
      <c r="K107" s="83"/>
    </row>
    <row r="108" spans="1:11" ht="13">
      <c r="A108" s="7"/>
      <c r="B108" s="27"/>
      <c r="C108" s="13"/>
      <c r="D108" s="105"/>
      <c r="E108" s="32"/>
      <c r="F108" s="32"/>
      <c r="G108" s="104"/>
      <c r="H108" s="32"/>
      <c r="I108" s="105"/>
      <c r="J108" s="13"/>
      <c r="K108" s="83"/>
    </row>
    <row r="109" spans="1:11" ht="13">
      <c r="A109" s="7"/>
      <c r="B109" s="27"/>
      <c r="C109" s="13"/>
      <c r="D109" s="13"/>
      <c r="E109" s="13"/>
      <c r="F109" s="13"/>
      <c r="G109" s="13"/>
      <c r="H109" s="13"/>
      <c r="I109" s="13"/>
      <c r="J109" s="13"/>
      <c r="K109" s="106" t="s">
        <v>116</v>
      </c>
    </row>
    <row r="110" spans="1:11" ht="13">
      <c r="A110" s="7"/>
      <c r="B110" s="27"/>
      <c r="C110" s="13"/>
      <c r="D110" s="13"/>
      <c r="E110" s="13"/>
      <c r="F110" s="13"/>
      <c r="G110" s="13"/>
      <c r="H110" s="13"/>
      <c r="I110" s="13"/>
      <c r="J110" s="13"/>
      <c r="K110" s="106"/>
    </row>
    <row r="111" spans="1:11" ht="13">
      <c r="A111" s="7"/>
      <c r="B111" s="27" t="s">
        <v>2</v>
      </c>
      <c r="C111" s="13"/>
      <c r="D111" s="14" t="s">
        <v>4</v>
      </c>
      <c r="E111" s="13"/>
      <c r="F111" s="13"/>
      <c r="G111" s="13"/>
      <c r="H111" s="13"/>
      <c r="I111" s="1"/>
      <c r="J111" s="13"/>
      <c r="K111" s="106" t="str">
        <f>K3</f>
        <v>For  the 12 months ended 12/31/2020</v>
      </c>
    </row>
    <row r="112" spans="1:11" ht="13">
      <c r="A112" s="7"/>
      <c r="B112" s="27"/>
      <c r="C112" s="13"/>
      <c r="D112" s="14" t="s">
        <v>6</v>
      </c>
      <c r="E112" s="13"/>
      <c r="F112" s="13"/>
      <c r="G112" s="13"/>
      <c r="H112" s="13"/>
      <c r="I112" s="13"/>
      <c r="J112" s="13"/>
      <c r="K112" s="13"/>
    </row>
    <row r="113" spans="1:11" ht="13">
      <c r="A113" s="7"/>
      <c r="B113" s="4"/>
      <c r="C113" s="13"/>
      <c r="D113" s="72" t="str">
        <f>D5</f>
        <v>NextEra Energy Transmission MidAtlantic Indiana, Inc.</v>
      </c>
      <c r="E113" s="13"/>
      <c r="F113" s="13"/>
      <c r="G113" s="13"/>
      <c r="H113" s="13"/>
      <c r="I113" s="13"/>
      <c r="J113" s="13"/>
      <c r="K113" s="13"/>
    </row>
    <row r="114" spans="1:11" ht="13">
      <c r="A114" s="727"/>
      <c r="B114" s="727"/>
      <c r="C114" s="727"/>
      <c r="D114" s="727"/>
      <c r="E114" s="727"/>
      <c r="F114" s="727"/>
      <c r="G114" s="727"/>
      <c r="H114" s="727"/>
      <c r="I114" s="727"/>
      <c r="J114" s="727"/>
      <c r="K114" s="727"/>
    </row>
    <row r="115" spans="1:11" ht="13">
      <c r="A115" s="7"/>
      <c r="B115" s="21" t="s">
        <v>8</v>
      </c>
      <c r="C115" s="21" t="s">
        <v>9</v>
      </c>
      <c r="D115" s="21" t="s">
        <v>10</v>
      </c>
      <c r="E115" s="13" t="s">
        <v>11</v>
      </c>
      <c r="F115" s="13"/>
      <c r="G115" s="20" t="s">
        <v>12</v>
      </c>
      <c r="H115" s="13"/>
      <c r="I115" s="20" t="s">
        <v>13</v>
      </c>
      <c r="J115" s="13"/>
      <c r="K115" s="13"/>
    </row>
    <row r="116" spans="1:11" ht="13">
      <c r="A116" s="7" t="s">
        <v>14</v>
      </c>
      <c r="B116" s="27"/>
      <c r="C116" s="73"/>
      <c r="D116" s="13"/>
      <c r="E116" s="13"/>
      <c r="F116" s="13"/>
      <c r="G116" s="7"/>
      <c r="H116" s="13"/>
      <c r="I116" s="74" t="s">
        <v>41</v>
      </c>
      <c r="J116" s="13"/>
      <c r="K116" s="74"/>
    </row>
    <row r="117" spans="1:11" ht="13.5" thickBot="1">
      <c r="A117" s="23" t="s">
        <v>16</v>
      </c>
      <c r="B117" s="27"/>
      <c r="C117" s="75" t="s">
        <v>42</v>
      </c>
      <c r="D117" s="74" t="s">
        <v>43</v>
      </c>
      <c r="E117" s="76"/>
      <c r="F117" s="74" t="s">
        <v>44</v>
      </c>
      <c r="G117" s="4"/>
      <c r="H117" s="76"/>
      <c r="I117" s="7" t="s">
        <v>45</v>
      </c>
      <c r="J117" s="13"/>
      <c r="K117" s="74"/>
    </row>
    <row r="118" spans="1:11" ht="13">
      <c r="A118" s="7"/>
      <c r="B118" s="27" t="s">
        <v>117</v>
      </c>
      <c r="C118" s="13"/>
      <c r="D118" s="13"/>
      <c r="E118" s="13"/>
      <c r="F118" s="13"/>
      <c r="G118" s="13"/>
      <c r="H118" s="13"/>
      <c r="I118" s="13"/>
      <c r="J118" s="13"/>
      <c r="K118" s="13"/>
    </row>
    <row r="119" spans="1:11" ht="13">
      <c r="A119" s="7">
        <v>1</v>
      </c>
      <c r="B119" s="27" t="s">
        <v>118</v>
      </c>
      <c r="C119" s="13" t="s">
        <v>119</v>
      </c>
      <c r="D119" s="35">
        <f>'5-P3 Support'!C24</f>
        <v>55316.666666666664</v>
      </c>
      <c r="E119" s="13"/>
      <c r="F119" s="13" t="s">
        <v>25</v>
      </c>
      <c r="G119" s="31">
        <f>+I191</f>
        <v>1</v>
      </c>
      <c r="H119" s="32"/>
      <c r="I119" s="50">
        <f t="shared" si="1" ref="I119:I129">+G119*D119</f>
        <v>55316.666666666664</v>
      </c>
      <c r="J119" s="16"/>
      <c r="K119" s="13"/>
    </row>
    <row r="120" spans="1:11" ht="13">
      <c r="A120" s="44">
        <f>+A119+1</f>
        <v>2</v>
      </c>
      <c r="B120" s="107" t="s">
        <v>120</v>
      </c>
      <c r="C120" s="13" t="s">
        <v>121</v>
      </c>
      <c r="D120" s="35">
        <f>'5-P3 Support'!D24</f>
        <v>0</v>
      </c>
      <c r="E120" s="94"/>
      <c r="F120" s="94" t="str">
        <f>+F119</f>
        <v>TP</v>
      </c>
      <c r="G120" s="30">
        <f>+G119</f>
        <v>1</v>
      </c>
      <c r="H120" s="94"/>
      <c r="I120" s="35">
        <f>+G120*D120</f>
        <v>0</v>
      </c>
      <c r="K120" s="13"/>
    </row>
    <row r="121" spans="1:11" ht="13">
      <c r="A121" s="44">
        <f t="shared" si="2" ref="A121:A167">+A120+1</f>
        <v>3</v>
      </c>
      <c r="B121" s="108" t="s">
        <v>122</v>
      </c>
      <c r="C121" s="13" t="s">
        <v>123</v>
      </c>
      <c r="D121" s="35">
        <f>'5-P3 Support'!E24</f>
        <v>0</v>
      </c>
      <c r="E121" s="13"/>
      <c r="F121" s="13" t="str">
        <f>+F120</f>
        <v>TP</v>
      </c>
      <c r="G121" s="31">
        <f>+G120</f>
        <v>1</v>
      </c>
      <c r="H121" s="32"/>
      <c r="I121" s="50">
        <f>+G121*D121</f>
        <v>0</v>
      </c>
      <c r="J121" s="16"/>
      <c r="K121" s="13"/>
    </row>
    <row r="122" spans="1:11" ht="13">
      <c r="A122" s="44">
        <f>+A121+1</f>
        <v>4</v>
      </c>
      <c r="B122" s="27" t="s">
        <v>124</v>
      </c>
      <c r="C122" s="13" t="s">
        <v>125</v>
      </c>
      <c r="D122" s="35">
        <f>'5-P3 Support'!F24</f>
        <v>59051.830413333337</v>
      </c>
      <c r="E122" s="13"/>
      <c r="F122" s="13" t="s">
        <v>57</v>
      </c>
      <c r="G122" s="31">
        <f>+G74</f>
        <v>1</v>
      </c>
      <c r="H122" s="32"/>
      <c r="I122" s="50">
        <f>+G122*D122</f>
        <v>59051.830413333337</v>
      </c>
      <c r="J122" s="13"/>
      <c r="K122" s="13" t="s">
        <v>11</v>
      </c>
    </row>
    <row r="123" spans="1:11" ht="13">
      <c r="A123" s="44">
        <f>+A122+1</f>
        <v>5</v>
      </c>
      <c r="B123" s="27" t="s">
        <v>126</v>
      </c>
      <c r="C123" s="13" t="s">
        <v>127</v>
      </c>
      <c r="D123" s="35">
        <f>'5-P3 Support'!G24</f>
        <v>0</v>
      </c>
      <c r="E123" s="13"/>
      <c r="F123" s="13" t="s">
        <v>57</v>
      </c>
      <c r="G123" s="31">
        <f>+G122</f>
        <v>1</v>
      </c>
      <c r="H123" s="32"/>
      <c r="I123" s="50">
        <f>+G123*D123</f>
        <v>0</v>
      </c>
      <c r="J123" s="13"/>
      <c r="K123" s="13"/>
    </row>
    <row r="124" spans="1:11" ht="13">
      <c r="A124" s="44">
        <f>+A123+1</f>
        <v>6</v>
      </c>
      <c r="B124" s="108" t="s">
        <v>128</v>
      </c>
      <c r="C124" s="28" t="s">
        <v>129</v>
      </c>
      <c r="D124" s="35">
        <f>'5-P3 Support'!H24</f>
        <v>0</v>
      </c>
      <c r="E124" s="13"/>
      <c r="F124" s="13" t="s">
        <v>57</v>
      </c>
      <c r="G124" s="31">
        <f>+G123</f>
        <v>1</v>
      </c>
      <c r="H124" s="32"/>
      <c r="I124" s="50">
        <f>+G124*D124</f>
        <v>0</v>
      </c>
      <c r="J124" s="13"/>
      <c r="K124" s="13"/>
    </row>
    <row r="125" spans="1:11" s="111" customFormat="1" ht="13">
      <c r="A125" s="44" t="s">
        <v>130</v>
      </c>
      <c r="B125" s="108" t="s">
        <v>131</v>
      </c>
      <c r="C125" s="28" t="s">
        <v>132</v>
      </c>
      <c r="D125" s="109">
        <f>+'7 - PBOP'!E16</f>
        <v>0</v>
      </c>
      <c r="E125" s="110"/>
      <c r="F125" s="13" t="s">
        <v>57</v>
      </c>
      <c r="G125" s="31">
        <f>+G124</f>
        <v>1</v>
      </c>
      <c r="H125" s="32"/>
      <c r="I125" s="50">
        <f>+G125*D125</f>
        <v>0</v>
      </c>
      <c r="J125" s="110"/>
      <c r="K125" s="110"/>
    </row>
    <row r="126" spans="1:11" ht="13">
      <c r="A126" s="44">
        <f>+A124+1</f>
        <v>7</v>
      </c>
      <c r="B126" s="108" t="s">
        <v>133</v>
      </c>
      <c r="C126" s="28" t="s">
        <v>134</v>
      </c>
      <c r="D126" s="35">
        <f>'5-P3 Support'!I24</f>
        <v>0</v>
      </c>
      <c r="E126" s="13"/>
      <c r="F126" s="112" t="s">
        <v>25</v>
      </c>
      <c r="G126" s="30">
        <f>+G119</f>
        <v>1</v>
      </c>
      <c r="H126" s="32"/>
      <c r="I126" s="50">
        <f>+G126*D126</f>
        <v>0</v>
      </c>
      <c r="J126" s="13"/>
      <c r="K126" s="13"/>
    </row>
    <row r="127" spans="1:11" s="111" customFormat="1" ht="13">
      <c r="A127" s="44" t="s">
        <v>135</v>
      </c>
      <c r="B127" s="108" t="s">
        <v>136</v>
      </c>
      <c r="C127" s="28" t="s">
        <v>137</v>
      </c>
      <c r="D127" s="109">
        <f>+'7 - PBOP'!E13</f>
        <v>0</v>
      </c>
      <c r="E127" s="110"/>
      <c r="F127" s="13" t="s">
        <v>57</v>
      </c>
      <c r="G127" s="31">
        <f>+G125</f>
        <v>1</v>
      </c>
      <c r="H127" s="32"/>
      <c r="I127" s="50">
        <f>+G127*D127</f>
        <v>0</v>
      </c>
      <c r="J127" s="110"/>
      <c r="K127" s="110"/>
    </row>
    <row r="128" spans="1:11" ht="13">
      <c r="A128" s="44">
        <f>+A126+1</f>
        <v>8</v>
      </c>
      <c r="B128" s="27" t="s">
        <v>58</v>
      </c>
      <c r="C128" s="13" t="s">
        <v>138</v>
      </c>
      <c r="D128" s="113">
        <v>0</v>
      </c>
      <c r="E128" s="13"/>
      <c r="F128" s="13" t="s">
        <v>60</v>
      </c>
      <c r="G128" s="31">
        <f>+G75</f>
        <v>1</v>
      </c>
      <c r="H128" s="32"/>
      <c r="I128" s="50">
        <f>+G128*D128</f>
        <v>0</v>
      </c>
      <c r="J128" s="13"/>
      <c r="K128" s="13"/>
    </row>
    <row r="129" spans="1:11" ht="13">
      <c r="A129" s="44">
        <f>+A128+1</f>
        <v>9</v>
      </c>
      <c r="B129" s="27" t="s">
        <v>139</v>
      </c>
      <c r="C129" s="13" t="s">
        <v>140</v>
      </c>
      <c r="D129" s="85">
        <f>'5-P3 Support'!J24</f>
        <v>0</v>
      </c>
      <c r="E129" s="13"/>
      <c r="F129" s="13" t="str">
        <f>+F131</f>
        <v>DA</v>
      </c>
      <c r="G129" s="114">
        <v>1</v>
      </c>
      <c r="H129" s="32"/>
      <c r="I129" s="87">
        <f>+G129*D129</f>
        <v>0</v>
      </c>
      <c r="J129" s="13"/>
      <c r="K129" s="13"/>
    </row>
    <row r="130" spans="1:11" ht="13">
      <c r="A130" s="44">
        <f>+A129+1</f>
        <v>10</v>
      </c>
      <c r="B130" s="107" t="s">
        <v>141</v>
      </c>
      <c r="C130" s="94"/>
      <c r="D130" s="85"/>
      <c r="E130" s="94"/>
      <c r="F130" s="94"/>
      <c r="G130" s="115"/>
      <c r="H130" s="94"/>
      <c r="I130" s="85"/>
      <c r="K130" s="13"/>
    </row>
    <row r="131" spans="1:11" ht="13">
      <c r="A131" s="44">
        <f>+A130+1</f>
        <v>11</v>
      </c>
      <c r="B131" s="107" t="s">
        <v>142</v>
      </c>
      <c r="C131" s="94" t="s">
        <v>143</v>
      </c>
      <c r="D131" s="85">
        <f>'5-P3 Support'!K24</f>
        <v>0</v>
      </c>
      <c r="E131" s="96"/>
      <c r="F131" s="96" t="s">
        <v>38</v>
      </c>
      <c r="G131" s="116">
        <v>1</v>
      </c>
      <c r="H131" s="96"/>
      <c r="I131" s="85">
        <f>+G131*D131</f>
        <v>0</v>
      </c>
      <c r="K131" s="13"/>
    </row>
    <row r="132" spans="1:11" ht="13">
      <c r="A132" s="44">
        <f>+A131+1</f>
        <v>12</v>
      </c>
      <c r="B132" s="107" t="s">
        <v>144</v>
      </c>
      <c r="C132" s="13" t="s">
        <v>145</v>
      </c>
      <c r="D132" s="85">
        <f>'5-P3 Support'!L24</f>
        <v>0</v>
      </c>
      <c r="E132" s="96"/>
      <c r="F132" s="96" t="s">
        <v>25</v>
      </c>
      <c r="G132" s="116">
        <f>+G119</f>
        <v>1</v>
      </c>
      <c r="H132" s="96"/>
      <c r="I132" s="85">
        <f>+G132*D132</f>
        <v>0</v>
      </c>
      <c r="K132" s="13"/>
    </row>
    <row r="133" spans="1:11" ht="13.5" thickBot="1">
      <c r="A133" s="44">
        <f>+A132+1</f>
        <v>13</v>
      </c>
      <c r="B133" s="107" t="s">
        <v>146</v>
      </c>
      <c r="C133" s="94" t="s">
        <v>147</v>
      </c>
      <c r="D133" s="99">
        <f>+D131+D132</f>
        <v>0</v>
      </c>
      <c r="E133" s="96"/>
      <c r="F133" s="96"/>
      <c r="G133" s="116"/>
      <c r="H133" s="96"/>
      <c r="I133" s="99"/>
      <c r="K133" s="13"/>
    </row>
    <row r="134" spans="1:11" ht="13">
      <c r="A134" s="44">
        <f>+A133+1</f>
        <v>14</v>
      </c>
      <c r="B134" s="117" t="s">
        <v>148</v>
      </c>
      <c r="C134" s="118" t="s">
        <v>149</v>
      </c>
      <c r="D134" s="50">
        <f>+D119-D121-D120+D122-D123-D124-D125+D126+D127+D128+D129+D133</f>
        <v>114368.49708</v>
      </c>
      <c r="E134" s="50"/>
      <c r="F134" s="50"/>
      <c r="G134" s="50"/>
      <c r="H134" s="50"/>
      <c r="I134" s="50">
        <f>+I119-I121-I120+I122-I123-I124-I125+I126+I127+I128+I129+I133</f>
        <v>114368.49708</v>
      </c>
      <c r="J134" s="13"/>
      <c r="K134" s="13"/>
    </row>
    <row r="135" spans="1:11" ht="13">
      <c r="A135" s="44"/>
      <c r="B135" s="4"/>
      <c r="C135" s="13"/>
      <c r="D135" s="50"/>
      <c r="E135" s="50"/>
      <c r="F135" s="50"/>
      <c r="G135" s="50"/>
      <c r="H135" s="50"/>
      <c r="I135" s="50"/>
      <c r="J135" s="13"/>
      <c r="K135" s="13"/>
    </row>
    <row r="136" spans="1:11" ht="13">
      <c r="A136" s="44">
        <f>+A134+1</f>
        <v>15</v>
      </c>
      <c r="B136" s="27" t="s">
        <v>150</v>
      </c>
      <c r="C136" s="13"/>
      <c r="D136" s="50"/>
      <c r="E136" s="50"/>
      <c r="F136" s="50"/>
      <c r="G136" s="50"/>
      <c r="H136" s="50"/>
      <c r="I136" s="50"/>
      <c r="J136" s="13"/>
      <c r="K136" s="13"/>
    </row>
    <row r="137" spans="1:11" ht="13">
      <c r="A137" s="44">
        <f>+A136+1</f>
        <v>16</v>
      </c>
      <c r="B137" s="27" t="s">
        <v>118</v>
      </c>
      <c r="C137" s="101" t="s">
        <v>151</v>
      </c>
      <c r="D137" s="35">
        <f>'5-P3 Support'!M24</f>
        <v>3166.0233483333327</v>
      </c>
      <c r="E137" s="50"/>
      <c r="F137" s="50" t="s">
        <v>25</v>
      </c>
      <c r="G137" s="50">
        <f>+G98</f>
        <v>1</v>
      </c>
      <c r="H137" s="50"/>
      <c r="I137" s="50">
        <f>+G137*D137</f>
        <v>3166.0233483333327</v>
      </c>
      <c r="J137" s="13"/>
      <c r="K137" s="83"/>
    </row>
    <row r="138" spans="1:11" ht="13">
      <c r="A138" s="44">
        <f>+A137+1</f>
        <v>17</v>
      </c>
      <c r="B138" s="119" t="s">
        <v>55</v>
      </c>
      <c r="C138" s="101" t="s">
        <v>152</v>
      </c>
      <c r="D138" s="35">
        <f>'5-P3 Support'!C45</f>
        <v>0</v>
      </c>
      <c r="E138" s="50"/>
      <c r="F138" s="50" t="s">
        <v>57</v>
      </c>
      <c r="G138" s="50">
        <f>+G122</f>
        <v>1</v>
      </c>
      <c r="H138" s="50"/>
      <c r="I138" s="50">
        <f>+G138*D138</f>
        <v>0</v>
      </c>
      <c r="J138" s="13"/>
      <c r="K138" s="83"/>
    </row>
    <row r="139" spans="1:11" ht="13">
      <c r="A139" s="44">
        <f>+A138+1</f>
        <v>18</v>
      </c>
      <c r="B139" s="27" t="s">
        <v>58</v>
      </c>
      <c r="C139" s="101" t="s">
        <v>153</v>
      </c>
      <c r="D139" s="120">
        <v>0</v>
      </c>
      <c r="E139" s="87"/>
      <c r="F139" s="87" t="s">
        <v>60</v>
      </c>
      <c r="G139" s="87">
        <f>+G128</f>
        <v>1</v>
      </c>
      <c r="H139" s="87"/>
      <c r="I139" s="87">
        <f>+G139*D139</f>
        <v>0</v>
      </c>
      <c r="J139" s="13"/>
      <c r="K139" s="83"/>
    </row>
    <row r="140" spans="1:11" ht="13.5" thickBot="1">
      <c r="A140" s="44">
        <f>+A139+1</f>
        <v>19</v>
      </c>
      <c r="B140" s="107" t="s">
        <v>154</v>
      </c>
      <c r="C140" s="28" t="s">
        <v>155</v>
      </c>
      <c r="D140" s="99">
        <f>'5-P3 Support'!D45</f>
        <v>0</v>
      </c>
      <c r="E140" s="50"/>
      <c r="F140" s="50" t="s">
        <v>38</v>
      </c>
      <c r="G140" s="114">
        <v>1</v>
      </c>
      <c r="H140" s="50"/>
      <c r="I140" s="81">
        <f>+G140*D140</f>
        <v>0</v>
      </c>
      <c r="J140" s="13"/>
      <c r="K140" s="83"/>
    </row>
    <row r="141" spans="1:11" ht="13">
      <c r="A141" s="44">
        <f>+A140+1</f>
        <v>20</v>
      </c>
      <c r="B141" s="27" t="s">
        <v>156</v>
      </c>
      <c r="C141" s="13" t="s">
        <v>157</v>
      </c>
      <c r="D141" s="50">
        <f>SUM(D137:D140)</f>
        <v>3166.0233483333327</v>
      </c>
      <c r="E141" s="50"/>
      <c r="F141" s="50"/>
      <c r="G141" s="50"/>
      <c r="H141" s="50"/>
      <c r="I141" s="50">
        <f>SUM(I137:I140)</f>
        <v>3166.0233483333327</v>
      </c>
      <c r="J141" s="13"/>
      <c r="K141" s="13"/>
    </row>
    <row r="142" spans="1:11" ht="13">
      <c r="A142" s="44"/>
      <c r="B142" s="27"/>
      <c r="C142" s="13"/>
      <c r="D142" s="50"/>
      <c r="E142" s="50"/>
      <c r="F142" s="50"/>
      <c r="G142" s="50"/>
      <c r="H142" s="50"/>
      <c r="I142" s="50"/>
      <c r="J142" s="13"/>
      <c r="K142" s="13"/>
    </row>
    <row r="143" spans="1:11" ht="13">
      <c r="A143" s="44">
        <f>+A141+1</f>
        <v>21</v>
      </c>
      <c r="B143" s="27" t="s">
        <v>158</v>
      </c>
      <c r="C143" s="89" t="s">
        <v>159</v>
      </c>
      <c r="D143" s="50"/>
      <c r="E143" s="50"/>
      <c r="F143" s="50"/>
      <c r="G143" s="50"/>
      <c r="H143" s="50"/>
      <c r="I143" s="50"/>
      <c r="J143" s="13"/>
      <c r="K143" s="13"/>
    </row>
    <row r="144" spans="1:11" ht="13">
      <c r="A144" s="44">
        <f>+A143+1</f>
        <v>22</v>
      </c>
      <c r="B144" s="27" t="s">
        <v>160</v>
      </c>
      <c r="C144" s="4"/>
      <c r="D144" s="50"/>
      <c r="E144" s="50"/>
      <c r="F144" s="50"/>
      <c r="G144" s="50"/>
      <c r="H144" s="50"/>
      <c r="I144" s="50"/>
      <c r="J144" s="13"/>
      <c r="K144" s="83"/>
    </row>
    <row r="145" spans="1:11" ht="13">
      <c r="A145" s="44">
        <f>+A144+1</f>
        <v>23</v>
      </c>
      <c r="B145" s="27" t="s">
        <v>161</v>
      </c>
      <c r="C145" s="13" t="s">
        <v>162</v>
      </c>
      <c r="D145" s="35">
        <f>'5-P3 Support'!E45</f>
        <v>0</v>
      </c>
      <c r="E145" s="50"/>
      <c r="F145" s="50" t="s">
        <v>57</v>
      </c>
      <c r="G145" s="50">
        <f>+G138</f>
        <v>1</v>
      </c>
      <c r="H145" s="50"/>
      <c r="I145" s="50">
        <f>+G145*D145</f>
        <v>0</v>
      </c>
      <c r="J145" s="13"/>
      <c r="K145" s="83"/>
    </row>
    <row r="146" spans="1:11" ht="13">
      <c r="A146" s="44">
        <f>+A145+1</f>
        <v>24</v>
      </c>
      <c r="B146" s="27" t="s">
        <v>163</v>
      </c>
      <c r="C146" s="13" t="s">
        <v>164</v>
      </c>
      <c r="D146" s="35">
        <f>'5-P3 Support'!F45</f>
        <v>0</v>
      </c>
      <c r="E146" s="50"/>
      <c r="F146" s="50" t="s">
        <v>57</v>
      </c>
      <c r="G146" s="50">
        <f>+G145</f>
        <v>1</v>
      </c>
      <c r="H146" s="50"/>
      <c r="I146" s="50">
        <f>+G146*D146</f>
        <v>0</v>
      </c>
      <c r="J146" s="13"/>
      <c r="K146" s="83"/>
    </row>
    <row r="147" spans="1:11" ht="13">
      <c r="A147" s="44">
        <f>+A146+1</f>
        <v>25</v>
      </c>
      <c r="B147" s="27" t="s">
        <v>165</v>
      </c>
      <c r="C147" s="13" t="s">
        <v>11</v>
      </c>
      <c r="D147" s="50"/>
      <c r="E147" s="50"/>
      <c r="F147" s="50"/>
      <c r="G147" s="50"/>
      <c r="H147" s="50"/>
      <c r="I147" s="50"/>
      <c r="J147" s="13"/>
      <c r="K147" s="83"/>
    </row>
    <row r="148" spans="1:11" ht="13">
      <c r="A148" s="44">
        <f>+A147+1</f>
        <v>26</v>
      </c>
      <c r="B148" s="27" t="s">
        <v>166</v>
      </c>
      <c r="C148" s="13" t="s">
        <v>167</v>
      </c>
      <c r="D148" s="35">
        <f>'5-P3 Support'!G45</f>
        <v>681.02763805852931</v>
      </c>
      <c r="E148" s="50"/>
      <c r="F148" s="50" t="s">
        <v>111</v>
      </c>
      <c r="G148" s="50">
        <f>+G68</f>
        <v>1</v>
      </c>
      <c r="H148" s="50"/>
      <c r="I148" s="50">
        <f>+G148*D148</f>
        <v>681.02763805852931</v>
      </c>
      <c r="J148" s="13"/>
      <c r="K148" s="83"/>
    </row>
    <row r="149" spans="1:11" ht="13">
      <c r="A149" s="44">
        <f>+A148+1</f>
        <v>27</v>
      </c>
      <c r="B149" s="27" t="s">
        <v>168</v>
      </c>
      <c r="C149" s="13" t="s">
        <v>169</v>
      </c>
      <c r="D149" s="35">
        <f>'5-P3 Support'!H45</f>
        <v>0</v>
      </c>
      <c r="E149" s="50"/>
      <c r="F149" s="35" t="s">
        <v>50</v>
      </c>
      <c r="G149" s="109" t="s">
        <v>80</v>
      </c>
      <c r="H149" s="50"/>
      <c r="I149" s="50">
        <v>0</v>
      </c>
      <c r="J149" s="13"/>
      <c r="K149" s="83"/>
    </row>
    <row r="150" spans="1:11" ht="13">
      <c r="A150" s="44">
        <f>+A149+1</f>
        <v>28</v>
      </c>
      <c r="B150" s="27" t="s">
        <v>170</v>
      </c>
      <c r="C150" s="13" t="s">
        <v>171</v>
      </c>
      <c r="D150" s="35">
        <f>'5-P3 Support'!I45</f>
        <v>0</v>
      </c>
      <c r="E150" s="50"/>
      <c r="F150" s="50" t="s">
        <v>111</v>
      </c>
      <c r="G150" s="50">
        <f>+G148</f>
        <v>1</v>
      </c>
      <c r="H150" s="50"/>
      <c r="I150" s="50">
        <f>+G150*D150</f>
        <v>0</v>
      </c>
      <c r="J150" s="13"/>
      <c r="K150" s="83"/>
    </row>
    <row r="151" spans="1:11" ht="13.5" thickBot="1">
      <c r="A151" s="44">
        <f>+A150+1</f>
        <v>29</v>
      </c>
      <c r="B151" s="27" t="s">
        <v>172</v>
      </c>
      <c r="C151" s="13" t="s">
        <v>173</v>
      </c>
      <c r="D151" s="99">
        <f>'5-P3 Support'!J45</f>
        <v>0</v>
      </c>
      <c r="E151" s="50"/>
      <c r="F151" s="50" t="s">
        <v>111</v>
      </c>
      <c r="G151" s="50">
        <f>+G148</f>
        <v>1</v>
      </c>
      <c r="H151" s="50"/>
      <c r="I151" s="81">
        <f>+G151*D151</f>
        <v>0</v>
      </c>
      <c r="J151" s="13"/>
      <c r="K151" s="83"/>
    </row>
    <row r="152" spans="1:11" ht="13">
      <c r="A152" s="44">
        <f>+A151+1</f>
        <v>30</v>
      </c>
      <c r="B152" s="27" t="s">
        <v>174</v>
      </c>
      <c r="C152" s="13" t="s">
        <v>175</v>
      </c>
      <c r="D152" s="50">
        <f>SUM(D145:D151)</f>
        <v>681.02763805852931</v>
      </c>
      <c r="E152" s="50"/>
      <c r="F152" s="50"/>
      <c r="G152" s="50"/>
      <c r="H152" s="50"/>
      <c r="I152" s="50">
        <f>SUM(I145:I151)</f>
        <v>681.02763805852931</v>
      </c>
      <c r="J152" s="13"/>
      <c r="K152" s="13"/>
    </row>
    <row r="153" spans="1:12" ht="13">
      <c r="A153" s="44"/>
      <c r="B153" s="27"/>
      <c r="C153" s="13"/>
      <c r="D153" s="13"/>
      <c r="E153" s="13"/>
      <c r="F153" s="13"/>
      <c r="G153" s="39"/>
      <c r="H153" s="13"/>
      <c r="I153" s="13"/>
      <c r="J153" s="13"/>
      <c r="L153" s="50"/>
    </row>
    <row r="154" spans="1:12" ht="13">
      <c r="A154" s="44">
        <f>+A152+1</f>
        <v>31</v>
      </c>
      <c r="B154" s="27" t="s">
        <v>176</v>
      </c>
      <c r="C154" s="28" t="str">
        <f>"(Note "&amp;A$251&amp;")"</f>
        <v>(Note G)</v>
      </c>
      <c r="D154" s="13"/>
      <c r="E154" s="13"/>
      <c r="F154" s="4"/>
      <c r="G154" s="121"/>
      <c r="H154" s="13"/>
      <c r="I154" s="4"/>
      <c r="J154" s="13"/>
      <c r="L154" s="50"/>
    </row>
    <row r="155" spans="1:12" ht="13">
      <c r="A155" s="44">
        <f>+A154+1</f>
        <v>32</v>
      </c>
      <c r="B155" s="122" t="s">
        <v>177</v>
      </c>
      <c r="C155" s="13" t="s">
        <v>178</v>
      </c>
      <c r="D155" s="123">
        <f>IF(D252&gt;0,1-(((1-D253)*(1-D252))/(1-D253*D252*D254)),0)</f>
        <v>0.251475</v>
      </c>
      <c r="E155" s="13"/>
      <c r="F155" s="4"/>
      <c r="G155" s="121"/>
      <c r="H155" s="13"/>
      <c r="I155" s="4"/>
      <c r="J155" s="13"/>
      <c r="L155" s="50"/>
    </row>
    <row r="156" spans="1:11" ht="13">
      <c r="A156" s="44">
        <f>+A155+1</f>
        <v>33</v>
      </c>
      <c r="B156" s="4" t="s">
        <v>179</v>
      </c>
      <c r="C156" s="13" t="s">
        <v>180</v>
      </c>
      <c r="D156" s="123">
        <f>IF(I210&gt;0,(D155/(1-D155))*(1-I210/I213),0)</f>
        <v>0.2694444123734504</v>
      </c>
      <c r="E156" s="13"/>
      <c r="F156" s="4"/>
      <c r="G156" s="121"/>
      <c r="H156" s="13"/>
      <c r="I156" s="4"/>
      <c r="J156" s="13"/>
      <c r="K156" s="4"/>
    </row>
    <row r="157" spans="1:11" ht="13">
      <c r="A157" s="44">
        <f>+A156+1</f>
        <v>34</v>
      </c>
      <c r="B157" s="108" t="s">
        <v>181</v>
      </c>
      <c r="C157" s="28" t="s">
        <v>182</v>
      </c>
      <c r="D157" s="13"/>
      <c r="E157" s="13"/>
      <c r="F157" s="4"/>
      <c r="G157" s="121"/>
      <c r="H157" s="13"/>
      <c r="I157" s="4"/>
      <c r="J157" s="13"/>
      <c r="K157" s="4"/>
    </row>
    <row r="158" spans="1:11" ht="13">
      <c r="A158" s="44">
        <f>+A157+1</f>
        <v>35</v>
      </c>
      <c r="B158" s="108"/>
      <c r="D158" s="13"/>
      <c r="E158" s="13"/>
      <c r="F158" s="4"/>
      <c r="G158" s="121"/>
      <c r="H158" s="13"/>
      <c r="I158" s="4"/>
      <c r="J158" s="13"/>
      <c r="K158" s="4"/>
    </row>
    <row r="159" spans="1:11" ht="13">
      <c r="A159" s="44">
        <f>+A158+1</f>
        <v>36</v>
      </c>
      <c r="B159" s="124" t="str">
        <f>"      1 / (1 - T)  =  (T from line "&amp;A155&amp;")"</f>
        <v xml:space="preserve">      1 / (1 - T)  =  (T from line 32)</v>
      </c>
      <c r="C159" s="28"/>
      <c r="D159" s="109">
        <f>IF(D132=0,0,1/(1-D155))</f>
        <v>0</v>
      </c>
      <c r="E159" s="13"/>
      <c r="F159" s="4"/>
      <c r="G159" s="121"/>
      <c r="H159" s="13"/>
      <c r="I159" s="50"/>
      <c r="J159" s="13"/>
      <c r="K159" s="4"/>
    </row>
    <row r="160" spans="1:11" ht="13">
      <c r="A160" s="44">
        <f>+A159+1</f>
        <v>37</v>
      </c>
      <c r="B160" s="108" t="s">
        <v>183</v>
      </c>
      <c r="C160" s="28" t="s">
        <v>184</v>
      </c>
      <c r="D160" s="35">
        <f>-'5-P3 Support'!K45</f>
        <v>0</v>
      </c>
      <c r="E160" s="13"/>
      <c r="F160" s="4"/>
      <c r="G160" s="121"/>
      <c r="H160" s="13"/>
      <c r="I160" s="50"/>
      <c r="J160" s="13"/>
      <c r="K160" s="4"/>
    </row>
    <row r="161" spans="1:11" ht="13">
      <c r="A161" s="44">
        <f>+A160+1</f>
        <v>38</v>
      </c>
      <c r="B161" s="108" t="s">
        <v>185</v>
      </c>
      <c r="C161" s="28" t="s">
        <v>186</v>
      </c>
      <c r="D161" s="35">
        <f>-'5-P3 Support'!L45</f>
        <v>0</v>
      </c>
      <c r="E161" s="13"/>
      <c r="F161" s="4"/>
      <c r="G161" s="87"/>
      <c r="H161" s="13"/>
      <c r="I161" s="50"/>
      <c r="J161" s="13"/>
      <c r="K161" s="4"/>
    </row>
    <row r="162" spans="1:11" ht="13">
      <c r="A162" s="44">
        <f>+A161+1</f>
        <v>39</v>
      </c>
      <c r="B162" s="108" t="s">
        <v>187</v>
      </c>
      <c r="C162" s="28" t="s">
        <v>188</v>
      </c>
      <c r="D162" s="35">
        <f>+'5-P3 Support'!M45</f>
        <v>0</v>
      </c>
      <c r="E162" s="13"/>
      <c r="F162" s="4"/>
      <c r="G162" s="121"/>
      <c r="H162" s="13"/>
      <c r="I162" s="50"/>
      <c r="J162" s="13"/>
      <c r="K162" s="4"/>
    </row>
    <row r="163" spans="1:11" ht="13">
      <c r="A163" s="44">
        <f>+A162+1</f>
        <v>40</v>
      </c>
      <c r="B163" s="124" t="s">
        <v>189</v>
      </c>
      <c r="C163" s="125" t="s">
        <v>190</v>
      </c>
      <c r="D163" s="126">
        <f>+D156*D170</f>
        <v>751.46972694522947</v>
      </c>
      <c r="E163" s="32"/>
      <c r="F163" s="32" t="s">
        <v>50</v>
      </c>
      <c r="G163" s="38"/>
      <c r="H163" s="32"/>
      <c r="I163" s="126">
        <f>+D156*I170</f>
        <v>751.46972694522947</v>
      </c>
      <c r="J163" s="13"/>
      <c r="K163" s="34" t="s">
        <v>11</v>
      </c>
    </row>
    <row r="164" spans="1:11" ht="13">
      <c r="A164" s="44">
        <f>+A163+1</f>
        <v>41</v>
      </c>
      <c r="B164" s="89" t="s">
        <v>191</v>
      </c>
      <c r="C164" s="125" t="s">
        <v>192</v>
      </c>
      <c r="D164" s="126">
        <f>+D$159*D160</f>
        <v>0</v>
      </c>
      <c r="E164" s="32"/>
      <c r="F164" s="127" t="s">
        <v>83</v>
      </c>
      <c r="G164" s="31">
        <f>G84</f>
        <v>1</v>
      </c>
      <c r="H164" s="32"/>
      <c r="I164" s="126">
        <f>+G164*D164</f>
        <v>0</v>
      </c>
      <c r="J164" s="13"/>
      <c r="K164" s="34"/>
    </row>
    <row r="165" spans="1:11" ht="13">
      <c r="A165" s="44">
        <f>+A164+1</f>
        <v>42</v>
      </c>
      <c r="B165" s="89" t="s">
        <v>193</v>
      </c>
      <c r="C165" s="125" t="s">
        <v>194</v>
      </c>
      <c r="D165" s="126">
        <f>+D$159*D161</f>
        <v>0</v>
      </c>
      <c r="E165" s="32"/>
      <c r="F165" s="127" t="s">
        <v>83</v>
      </c>
      <c r="G165" s="31">
        <f>G164</f>
        <v>1</v>
      </c>
      <c r="H165" s="32"/>
      <c r="I165" s="126">
        <f>+G165*D165</f>
        <v>0</v>
      </c>
      <c r="J165" s="13"/>
      <c r="K165" s="34"/>
    </row>
    <row r="166" spans="1:11" ht="13.5" thickBot="1">
      <c r="A166" s="44">
        <f>+A165+1</f>
        <v>43</v>
      </c>
      <c r="B166" s="89" t="s">
        <v>195</v>
      </c>
      <c r="C166" s="125" t="s">
        <v>196</v>
      </c>
      <c r="D166" s="128">
        <f>+D$159*D162</f>
        <v>0</v>
      </c>
      <c r="E166" s="32"/>
      <c r="F166" s="127" t="s">
        <v>83</v>
      </c>
      <c r="G166" s="31">
        <f>G165</f>
        <v>1</v>
      </c>
      <c r="H166" s="32"/>
      <c r="I166" s="128">
        <f>+G166*D166</f>
        <v>0</v>
      </c>
      <c r="J166" s="13"/>
      <c r="K166" s="34"/>
    </row>
    <row r="167" spans="1:11" ht="13">
      <c r="A167" s="44">
        <f>+A166+1</f>
        <v>44</v>
      </c>
      <c r="B167" s="129" t="s">
        <v>197</v>
      </c>
      <c r="C167" s="89" t="s">
        <v>198</v>
      </c>
      <c r="D167" s="109">
        <f>SUM(D163:D166)</f>
        <v>751.46972694522947</v>
      </c>
      <c r="E167" s="32"/>
      <c r="F167" s="32" t="s">
        <v>11</v>
      </c>
      <c r="G167" s="38" t="s">
        <v>11</v>
      </c>
      <c r="H167" s="32"/>
      <c r="I167" s="109">
        <f>SUM(I163:I166)</f>
        <v>751.46972694522947</v>
      </c>
      <c r="J167" s="13"/>
      <c r="K167" s="13"/>
    </row>
    <row r="168" spans="1:11" ht="13">
      <c r="A168" s="44"/>
      <c r="B168" s="4"/>
      <c r="C168" s="130"/>
      <c r="D168" s="50"/>
      <c r="E168" s="13"/>
      <c r="F168" s="13"/>
      <c r="G168" s="39"/>
      <c r="H168" s="13"/>
      <c r="I168" s="50"/>
      <c r="J168" s="13"/>
      <c r="K168" s="13"/>
    </row>
    <row r="169" spans="1:11" ht="13">
      <c r="A169" s="44">
        <f>+A167+1</f>
        <v>45</v>
      </c>
      <c r="B169" s="27" t="s">
        <v>199</v>
      </c>
      <c r="J169" s="13"/>
      <c r="K169" s="4"/>
    </row>
    <row r="170" spans="1:11" ht="13">
      <c r="A170" s="44">
        <f>A169+1</f>
        <v>46</v>
      </c>
      <c r="B170" s="131" t="s">
        <v>200</v>
      </c>
      <c r="C170" s="122" t="s">
        <v>201</v>
      </c>
      <c r="D170" s="50">
        <f>+$I213*D106</f>
        <v>2788.9601433029206</v>
      </c>
      <c r="E170" s="32"/>
      <c r="F170" s="32" t="s">
        <v>50</v>
      </c>
      <c r="G170" s="132"/>
      <c r="H170" s="32"/>
      <c r="I170" s="50">
        <f>+$I213*I106</f>
        <v>2788.9601433029206</v>
      </c>
      <c r="K170" s="83"/>
    </row>
    <row r="171" spans="1:11" ht="13">
      <c r="A171" s="44"/>
      <c r="B171" s="27"/>
      <c r="C171" s="4"/>
      <c r="D171" s="87"/>
      <c r="E171" s="32"/>
      <c r="F171" s="32"/>
      <c r="G171" s="132"/>
      <c r="H171" s="32"/>
      <c r="I171" s="87"/>
      <c r="J171" s="13"/>
      <c r="K171" s="83"/>
    </row>
    <row r="172" spans="1:11" ht="13.5" thickBot="1">
      <c r="A172" s="44">
        <f>A170+1</f>
        <v>47</v>
      </c>
      <c r="B172" s="27" t="s">
        <v>202</v>
      </c>
      <c r="C172" s="13" t="s">
        <v>203</v>
      </c>
      <c r="D172" s="133">
        <f>+D170+D167+D152+D141+D134</f>
        <v>121755.97793664002</v>
      </c>
      <c r="E172" s="32"/>
      <c r="F172" s="32"/>
      <c r="G172" s="105"/>
      <c r="H172" s="32"/>
      <c r="I172" s="133">
        <f>+I170+I167+I152+I141+I134</f>
        <v>121755.97793664002</v>
      </c>
      <c r="J172" s="16"/>
      <c r="K172" s="16"/>
    </row>
    <row r="173" spans="1:11" ht="13.5" thickTop="1">
      <c r="A173" s="44"/>
      <c r="B173" s="27"/>
      <c r="C173" s="13"/>
      <c r="D173" s="105"/>
      <c r="E173" s="32"/>
      <c r="F173" s="32"/>
      <c r="G173" s="105"/>
      <c r="H173" s="32"/>
      <c r="I173" s="87"/>
      <c r="J173" s="16"/>
      <c r="K173" s="16"/>
    </row>
    <row r="174" spans="1:11" ht="13">
      <c r="A174" s="44"/>
      <c r="B174" s="134"/>
      <c r="C174" s="32"/>
      <c r="D174" s="135"/>
      <c r="E174" s="135"/>
      <c r="F174" s="135"/>
      <c r="G174" s="135"/>
      <c r="H174" s="135"/>
      <c r="I174" s="135"/>
      <c r="J174" s="16"/>
      <c r="K174" s="16"/>
    </row>
    <row r="175" spans="1:11" ht="13">
      <c r="A175" s="7"/>
      <c r="B175" s="4"/>
      <c r="C175" s="4"/>
      <c r="D175" s="4"/>
      <c r="E175" s="4"/>
      <c r="F175" s="4"/>
      <c r="G175" s="4"/>
      <c r="H175" s="4"/>
      <c r="I175" s="4"/>
      <c r="J175" s="13"/>
      <c r="K175" s="106" t="s">
        <v>204</v>
      </c>
    </row>
    <row r="176" spans="1:11" ht="13">
      <c r="A176" s="7"/>
      <c r="B176" s="4"/>
      <c r="C176" s="4"/>
      <c r="D176" s="4"/>
      <c r="E176" s="4"/>
      <c r="F176" s="4"/>
      <c r="G176" s="4"/>
      <c r="H176" s="4"/>
      <c r="I176" s="4"/>
      <c r="J176" s="13"/>
      <c r="K176" s="13"/>
    </row>
    <row r="177" spans="1:11" ht="13">
      <c r="A177" s="7"/>
      <c r="B177" s="27" t="s">
        <v>2</v>
      </c>
      <c r="C177" s="4"/>
      <c r="D177" s="136" t="s">
        <v>4</v>
      </c>
      <c r="E177" s="4"/>
      <c r="F177" s="4"/>
      <c r="G177" s="4"/>
      <c r="H177" s="4"/>
      <c r="I177" s="1"/>
      <c r="J177" s="13"/>
      <c r="K177" s="137" t="str">
        <f>K3</f>
        <v>For  the 12 months ended 12/31/2020</v>
      </c>
    </row>
    <row r="178" spans="1:11" ht="13">
      <c r="A178" s="7"/>
      <c r="B178" s="27"/>
      <c r="C178" s="4"/>
      <c r="D178" s="136" t="s">
        <v>6</v>
      </c>
      <c r="E178" s="4"/>
      <c r="F178" s="4"/>
      <c r="G178" s="4"/>
      <c r="H178" s="4"/>
      <c r="I178" s="4"/>
      <c r="J178" s="13"/>
      <c r="K178" s="13"/>
    </row>
    <row r="179" spans="1:11" ht="13">
      <c r="A179" s="7"/>
      <c r="B179" s="4"/>
      <c r="C179" s="4"/>
      <c r="D179" s="72" t="str">
        <f>D5</f>
        <v>NextEra Energy Transmission MidAtlantic Indiana, Inc.</v>
      </c>
      <c r="E179" s="4"/>
      <c r="F179" s="4"/>
      <c r="G179" s="4"/>
      <c r="H179" s="4"/>
      <c r="I179" s="4"/>
      <c r="J179" s="13"/>
      <c r="K179" s="13"/>
    </row>
    <row r="180" spans="1:11" ht="13">
      <c r="A180" s="727"/>
      <c r="B180" s="727"/>
      <c r="C180" s="727"/>
      <c r="D180" s="727"/>
      <c r="E180" s="727"/>
      <c r="F180" s="727"/>
      <c r="G180" s="727"/>
      <c r="H180" s="727"/>
      <c r="I180" s="727"/>
      <c r="J180" s="727"/>
      <c r="K180" s="727"/>
    </row>
    <row r="181" spans="1:11" s="111" customFormat="1" ht="13">
      <c r="A181" s="138"/>
      <c r="B181" s="21" t="s">
        <v>8</v>
      </c>
      <c r="C181" s="21" t="s">
        <v>9</v>
      </c>
      <c r="D181" s="21" t="s">
        <v>10</v>
      </c>
      <c r="E181" s="13" t="s">
        <v>11</v>
      </c>
      <c r="F181" s="13"/>
      <c r="G181" s="20" t="s">
        <v>12</v>
      </c>
      <c r="H181" s="13"/>
      <c r="I181" s="20" t="s">
        <v>13</v>
      </c>
      <c r="J181" s="110"/>
      <c r="K181" s="110"/>
    </row>
    <row r="182" spans="1:11" ht="13">
      <c r="A182" s="7"/>
      <c r="B182" s="4"/>
      <c r="C182" s="27"/>
      <c r="D182" s="27"/>
      <c r="E182" s="27"/>
      <c r="F182" s="27"/>
      <c r="G182" s="27"/>
      <c r="H182" s="27"/>
      <c r="I182" s="27"/>
      <c r="J182" s="27"/>
      <c r="K182" s="27"/>
    </row>
    <row r="183" spans="1:11" ht="13">
      <c r="A183" s="7"/>
      <c r="B183" s="4"/>
      <c r="C183" s="77" t="s">
        <v>205</v>
      </c>
      <c r="D183" s="4"/>
      <c r="E183" s="16"/>
      <c r="F183" s="16"/>
      <c r="G183" s="16"/>
      <c r="H183" s="16"/>
      <c r="I183" s="16"/>
      <c r="J183" s="13"/>
      <c r="K183" s="13"/>
    </row>
    <row r="184" spans="1:11" ht="13">
      <c r="A184" s="7" t="s">
        <v>14</v>
      </c>
      <c r="B184" s="77"/>
      <c r="C184" s="16"/>
      <c r="D184" s="16"/>
      <c r="E184" s="16"/>
      <c r="F184" s="16"/>
      <c r="G184" s="16"/>
      <c r="H184" s="16"/>
      <c r="I184" s="16"/>
      <c r="J184" s="13"/>
      <c r="K184" s="13"/>
    </row>
    <row r="185" spans="1:11" ht="13.5" thickBot="1">
      <c r="A185" s="23" t="s">
        <v>16</v>
      </c>
      <c r="B185" s="8" t="s">
        <v>206</v>
      </c>
      <c r="C185" s="26"/>
      <c r="D185" s="26"/>
      <c r="E185" s="26"/>
      <c r="F185" s="26"/>
      <c r="G185" s="26"/>
      <c r="H185" s="89"/>
      <c r="I185" s="89"/>
      <c r="J185" s="28"/>
      <c r="K185" s="13"/>
    </row>
    <row r="186" spans="1:11" ht="13">
      <c r="A186" s="7">
        <v>1</v>
      </c>
      <c r="B186" s="9" t="s">
        <v>207</v>
      </c>
      <c r="C186" s="26" t="s">
        <v>208</v>
      </c>
      <c r="D186" s="28"/>
      <c r="E186" s="28"/>
      <c r="F186" s="28"/>
      <c r="G186" s="28"/>
      <c r="H186" s="28"/>
      <c r="I186" s="35">
        <f>D64</f>
        <v>382487.92</v>
      </c>
      <c r="J186" s="28"/>
      <c r="K186" s="13"/>
    </row>
    <row r="187" spans="1:11" ht="13">
      <c r="A187" s="7">
        <f>+A186+1</f>
        <v>2</v>
      </c>
      <c r="B187" s="9" t="s">
        <v>209</v>
      </c>
      <c r="C187" s="89" t="s">
        <v>210</v>
      </c>
      <c r="D187" s="89"/>
      <c r="E187" s="89"/>
      <c r="F187" s="89"/>
      <c r="G187" s="89"/>
      <c r="H187" s="89"/>
      <c r="I187" s="78">
        <v>0</v>
      </c>
      <c r="J187" s="28"/>
      <c r="K187" s="13"/>
    </row>
    <row r="188" spans="1:11" ht="13.5" thickBot="1">
      <c r="A188" s="7">
        <f>+A187+1</f>
        <v>3</v>
      </c>
      <c r="B188" s="139" t="s">
        <v>211</v>
      </c>
      <c r="C188" s="140" t="s">
        <v>212</v>
      </c>
      <c r="D188" s="1"/>
      <c r="E188" s="28"/>
      <c r="F188" s="28"/>
      <c r="G188" s="141"/>
      <c r="H188" s="28"/>
      <c r="I188" s="80">
        <v>0</v>
      </c>
      <c r="J188" s="28"/>
      <c r="K188" s="13"/>
    </row>
    <row r="189" spans="1:11" ht="13">
      <c r="A189" s="7">
        <f t="shared" si="3" ref="A189:A220">+A188+1</f>
        <v>4</v>
      </c>
      <c r="B189" s="9" t="s">
        <v>213</v>
      </c>
      <c r="C189" s="26" t="s">
        <v>214</v>
      </c>
      <c r="D189" s="28"/>
      <c r="E189" s="28"/>
      <c r="F189" s="28"/>
      <c r="G189" s="141"/>
      <c r="H189" s="28"/>
      <c r="I189" s="35">
        <f>I186-I187-I188</f>
        <v>382487.92</v>
      </c>
      <c r="J189" s="28"/>
      <c r="K189" s="13"/>
    </row>
    <row r="190" spans="1:11" ht="13">
      <c r="A190" s="7"/>
      <c r="B190" s="89"/>
      <c r="C190" s="26"/>
      <c r="D190" s="28"/>
      <c r="E190" s="28"/>
      <c r="F190" s="28"/>
      <c r="G190" s="141"/>
      <c r="H190" s="28"/>
      <c r="I190" s="35"/>
      <c r="J190" s="28"/>
      <c r="K190" s="13"/>
    </row>
    <row r="191" spans="1:11" ht="13">
      <c r="A191" s="7">
        <f>+A189+1</f>
        <v>5</v>
      </c>
      <c r="B191" s="9" t="s">
        <v>215</v>
      </c>
      <c r="C191" s="142" t="s">
        <v>216</v>
      </c>
      <c r="D191" s="143"/>
      <c r="E191" s="143"/>
      <c r="F191" s="143"/>
      <c r="G191" s="144"/>
      <c r="H191" s="28" t="s">
        <v>217</v>
      </c>
      <c r="I191" s="145">
        <f>IF(I186&gt;0,I189/I186,0)</f>
        <v>1</v>
      </c>
      <c r="J191" s="28"/>
      <c r="K191" s="13"/>
    </row>
    <row r="192" spans="1:11" ht="13">
      <c r="A192" s="7"/>
      <c r="B192" s="4"/>
      <c r="C192" s="4"/>
      <c r="D192" s="4"/>
      <c r="E192" s="4"/>
      <c r="F192" s="4"/>
      <c r="G192" s="4"/>
      <c r="H192" s="4"/>
      <c r="I192" s="4"/>
      <c r="J192" s="4"/>
      <c r="K192" s="4"/>
    </row>
    <row r="193" spans="1:11" ht="13">
      <c r="A193" s="7">
        <f>+A191+1</f>
        <v>6</v>
      </c>
      <c r="B193" s="27" t="s">
        <v>218</v>
      </c>
      <c r="C193" s="13"/>
      <c r="D193" s="13"/>
      <c r="E193" s="13"/>
      <c r="F193" s="13"/>
      <c r="G193" s="13"/>
      <c r="H193" s="13"/>
      <c r="I193" s="13"/>
      <c r="J193" s="13"/>
      <c r="K193" s="13"/>
    </row>
    <row r="194" spans="1:11" ht="13.5" thickBot="1">
      <c r="A194" s="7"/>
      <c r="B194" s="27"/>
      <c r="C194" s="146" t="s">
        <v>219</v>
      </c>
      <c r="D194" s="147" t="s">
        <v>220</v>
      </c>
      <c r="E194" s="147" t="s">
        <v>25</v>
      </c>
      <c r="F194" s="13"/>
      <c r="G194" s="147" t="s">
        <v>221</v>
      </c>
      <c r="H194" s="13"/>
      <c r="I194" s="13"/>
      <c r="J194" s="13"/>
      <c r="K194" s="13"/>
    </row>
    <row r="195" spans="1:11" ht="13">
      <c r="A195" s="7">
        <f>+A193+1</f>
        <v>7</v>
      </c>
      <c r="B195" s="27" t="s">
        <v>48</v>
      </c>
      <c r="C195" s="13" t="s">
        <v>222</v>
      </c>
      <c r="D195" s="78">
        <v>0</v>
      </c>
      <c r="E195" s="148">
        <v>0</v>
      </c>
      <c r="F195" s="149"/>
      <c r="G195" s="50">
        <f>D195*E195</f>
        <v>0</v>
      </c>
      <c r="H195" s="32"/>
      <c r="I195" s="32"/>
      <c r="J195" s="13"/>
      <c r="K195" s="13"/>
    </row>
    <row r="196" spans="1:11" ht="13">
      <c r="A196" s="7">
        <f>+A195+1</f>
        <v>8</v>
      </c>
      <c r="B196" s="27" t="s">
        <v>51</v>
      </c>
      <c r="C196" s="13" t="s">
        <v>223</v>
      </c>
      <c r="D196" s="78">
        <v>0</v>
      </c>
      <c r="E196" s="148">
        <f>+I191</f>
        <v>1</v>
      </c>
      <c r="F196" s="149"/>
      <c r="G196" s="50">
        <f>D196*E196</f>
        <v>0</v>
      </c>
      <c r="H196" s="32"/>
      <c r="I196" s="32"/>
      <c r="J196" s="13"/>
      <c r="K196" s="13"/>
    </row>
    <row r="197" spans="1:11" ht="13">
      <c r="A197" s="7">
        <f>+A196+1</f>
        <v>9</v>
      </c>
      <c r="B197" s="27" t="s">
        <v>53</v>
      </c>
      <c r="C197" s="13" t="s">
        <v>224</v>
      </c>
      <c r="D197" s="78">
        <v>0</v>
      </c>
      <c r="E197" s="148">
        <v>0</v>
      </c>
      <c r="F197" s="149"/>
      <c r="G197" s="50">
        <f>D197*E197</f>
        <v>0</v>
      </c>
      <c r="H197" s="32"/>
      <c r="I197" s="150" t="s">
        <v>225</v>
      </c>
      <c r="J197" s="13"/>
      <c r="K197" s="13"/>
    </row>
    <row r="198" spans="1:11" ht="13.5" thickBot="1">
      <c r="A198" s="7">
        <f>+A197+1</f>
        <v>10</v>
      </c>
      <c r="B198" s="27" t="s">
        <v>226</v>
      </c>
      <c r="C198" s="13" t="s">
        <v>227</v>
      </c>
      <c r="D198" s="80">
        <v>0</v>
      </c>
      <c r="E198" s="148">
        <v>1</v>
      </c>
      <c r="F198" s="149"/>
      <c r="G198" s="81">
        <f>D198*E198</f>
        <v>0</v>
      </c>
      <c r="H198" s="32"/>
      <c r="I198" s="151" t="s">
        <v>228</v>
      </c>
      <c r="J198" s="13"/>
      <c r="K198" s="13"/>
    </row>
    <row r="199" spans="1:11" ht="13">
      <c r="A199" s="7">
        <f>+A198+1</f>
        <v>11</v>
      </c>
      <c r="B199" s="108" t="s">
        <v>229</v>
      </c>
      <c r="C199" s="13" t="s">
        <v>230</v>
      </c>
      <c r="D199" s="50">
        <f>SUM(D195:D198)</f>
        <v>0</v>
      </c>
      <c r="E199" s="13"/>
      <c r="F199" s="13"/>
      <c r="G199" s="50">
        <f>SUM(G195:G198)</f>
        <v>0</v>
      </c>
      <c r="H199" s="152" t="s">
        <v>231</v>
      </c>
      <c r="I199" s="86">
        <v>1</v>
      </c>
      <c r="J199" s="14" t="s">
        <v>231</v>
      </c>
      <c r="K199" s="13" t="s">
        <v>232</v>
      </c>
    </row>
    <row r="200" spans="1:11" ht="13">
      <c r="A200" s="7"/>
      <c r="B200" s="27" t="s">
        <v>11</v>
      </c>
      <c r="C200" s="13" t="s">
        <v>11</v>
      </c>
      <c r="D200" s="4"/>
      <c r="E200" s="13"/>
      <c r="F200" s="13"/>
      <c r="G200" s="4"/>
      <c r="H200" s="4"/>
      <c r="I200" s="4"/>
      <c r="J200" s="4"/>
      <c r="K200" s="13"/>
    </row>
    <row r="201" spans="1:11" ht="13">
      <c r="A201" s="7">
        <f>+A199+1</f>
        <v>12</v>
      </c>
      <c r="B201" s="108" t="s">
        <v>233</v>
      </c>
      <c r="C201" s="13"/>
      <c r="D201" s="73" t="s">
        <v>220</v>
      </c>
      <c r="E201" s="13"/>
      <c r="F201" s="13"/>
      <c r="G201" s="14" t="s">
        <v>234</v>
      </c>
      <c r="H201" s="121"/>
      <c r="I201" s="83" t="s">
        <v>225</v>
      </c>
      <c r="J201" s="13"/>
      <c r="K201" s="13"/>
    </row>
    <row r="202" spans="1:11" ht="13">
      <c r="A202" s="7">
        <f>+A201+1</f>
        <v>13</v>
      </c>
      <c r="B202" s="27" t="s">
        <v>235</v>
      </c>
      <c r="C202" s="13" t="s">
        <v>236</v>
      </c>
      <c r="D202" s="78">
        <f>+D80</f>
        <v>22589.764100256434</v>
      </c>
      <c r="E202" s="13"/>
      <c r="F202" s="4"/>
      <c r="G202" s="7" t="s">
        <v>237</v>
      </c>
      <c r="H202" s="153"/>
      <c r="I202" s="7" t="s">
        <v>238</v>
      </c>
      <c r="J202" s="13"/>
      <c r="K202" s="21" t="s">
        <v>60</v>
      </c>
    </row>
    <row r="203" spans="1:11" ht="13">
      <c r="A203" s="7">
        <f>+A202+1</f>
        <v>14</v>
      </c>
      <c r="B203" s="27" t="s">
        <v>239</v>
      </c>
      <c r="C203" s="13" t="s">
        <v>240</v>
      </c>
      <c r="D203" s="78">
        <v>0</v>
      </c>
      <c r="E203" s="13"/>
      <c r="F203" s="4"/>
      <c r="G203" s="86">
        <f>IF(D205&gt;0,D202/D205,0)</f>
        <v>1</v>
      </c>
      <c r="H203" s="154" t="s">
        <v>241</v>
      </c>
      <c r="I203" s="86">
        <f>I199</f>
        <v>1</v>
      </c>
      <c r="J203" s="154" t="s">
        <v>231</v>
      </c>
      <c r="K203" s="86">
        <f>I203*G203</f>
        <v>1</v>
      </c>
    </row>
    <row r="204" spans="1:11" ht="13.5" thickBot="1">
      <c r="A204" s="7">
        <f>+A203+1</f>
        <v>15</v>
      </c>
      <c r="B204" s="155" t="s">
        <v>242</v>
      </c>
      <c r="C204" s="146" t="s">
        <v>243</v>
      </c>
      <c r="D204" s="80">
        <v>0</v>
      </c>
      <c r="E204" s="13"/>
      <c r="F204" s="13"/>
      <c r="G204" s="13" t="s">
        <v>11</v>
      </c>
      <c r="H204" s="13"/>
      <c r="I204" s="13"/>
      <c r="J204" s="13"/>
      <c r="K204" s="13"/>
    </row>
    <row r="205" spans="1:11" ht="13">
      <c r="A205" s="7">
        <f>+A204+1</f>
        <v>16</v>
      </c>
      <c r="B205" s="27" t="s">
        <v>244</v>
      </c>
      <c r="C205" s="13" t="s">
        <v>245</v>
      </c>
      <c r="D205" s="50">
        <f>D202+D203+D204</f>
        <v>22589.764100256434</v>
      </c>
      <c r="E205" s="13"/>
      <c r="F205" s="13"/>
      <c r="G205" s="13"/>
      <c r="H205" s="13"/>
      <c r="I205" s="13"/>
      <c r="J205" s="13"/>
      <c r="K205" s="13"/>
    </row>
    <row r="206" spans="1:11" ht="13">
      <c r="A206" s="7"/>
      <c r="B206" s="27"/>
      <c r="C206" s="13"/>
      <c r="D206" s="4"/>
      <c r="E206" s="13"/>
      <c r="F206" s="13"/>
      <c r="G206" s="13"/>
      <c r="H206" s="13"/>
      <c r="I206" s="13"/>
      <c r="J206" s="13"/>
      <c r="K206" s="13"/>
    </row>
    <row r="207" spans="1:11" ht="13.5" thickBot="1">
      <c r="A207" s="7">
        <f>+A205+1</f>
        <v>17</v>
      </c>
      <c r="B207" s="5" t="s">
        <v>246</v>
      </c>
      <c r="C207" s="13" t="s">
        <v>247</v>
      </c>
      <c r="D207" s="13"/>
      <c r="E207" s="13"/>
      <c r="F207" s="13"/>
      <c r="G207" s="13"/>
      <c r="H207" s="13"/>
      <c r="I207" s="147" t="s">
        <v>220</v>
      </c>
      <c r="J207" s="13"/>
      <c r="K207" s="13"/>
    </row>
    <row r="208" spans="1:11" ht="13">
      <c r="A208" s="7">
        <f>+A207+1</f>
        <v>18</v>
      </c>
      <c r="B208" s="27"/>
      <c r="C208" s="13"/>
      <c r="D208" s="13"/>
      <c r="E208" s="13"/>
      <c r="F208" s="13"/>
      <c r="G208" s="14" t="s">
        <v>248</v>
      </c>
      <c r="H208" s="13"/>
      <c r="I208" s="13"/>
      <c r="J208" s="13"/>
      <c r="K208" s="13"/>
    </row>
    <row r="209" spans="1:11" ht="13.5" thickBot="1">
      <c r="A209" s="7">
        <f>+A208+1</f>
        <v>19</v>
      </c>
      <c r="B209" s="27"/>
      <c r="C209" s="13"/>
      <c r="D209" s="23" t="s">
        <v>220</v>
      </c>
      <c r="E209" s="23" t="s">
        <v>249</v>
      </c>
      <c r="F209" s="13"/>
      <c r="G209" s="156" t="str">
        <f>"(Notes "&amp;A259&amp;", "&amp;A265&amp;", &amp; "&amp;A266&amp;")"</f>
        <v>(Notes K, Q, &amp; R)</v>
      </c>
      <c r="H209" s="13"/>
      <c r="I209" s="23" t="s">
        <v>250</v>
      </c>
      <c r="J209" s="13"/>
      <c r="K209" s="13"/>
    </row>
    <row r="210" spans="1:11" ht="13">
      <c r="A210" s="7">
        <f>+A209+1</f>
        <v>20</v>
      </c>
      <c r="B210" s="5" t="s">
        <v>251</v>
      </c>
      <c r="C210" s="89" t="s">
        <v>252</v>
      </c>
      <c r="D210" s="157">
        <f>'5-P3 Support'!F85</f>
        <v>59999.796000000009</v>
      </c>
      <c r="E210" s="158">
        <f>+'5-P3 Support'!G85</f>
        <v>0.40</v>
      </c>
      <c r="F210" s="30"/>
      <c r="G210" s="159">
        <f>+'5-P3 Support'!I85</f>
        <v>0.037400000000000003</v>
      </c>
      <c r="H210" s="160"/>
      <c r="I210" s="158">
        <f>+'5-P3 Support'!K85</f>
        <v>0.014960000000000001</v>
      </c>
      <c r="J210" s="161" t="s">
        <v>253</v>
      </c>
      <c r="K210" s="4"/>
    </row>
    <row r="211" spans="1:11" ht="13">
      <c r="A211" s="7">
        <f>+A210+1</f>
        <v>21</v>
      </c>
      <c r="B211" s="5" t="s">
        <v>254</v>
      </c>
      <c r="C211" s="89" t="s">
        <v>255</v>
      </c>
      <c r="D211" s="157">
        <f>+'5-P3 Support'!F86</f>
        <v>0</v>
      </c>
      <c r="E211" s="158">
        <f>+'5-P3 Support'!G86</f>
        <v>0</v>
      </c>
      <c r="F211" s="30"/>
      <c r="G211" s="159">
        <f>+'5-P3 Support'!I86</f>
        <v>0</v>
      </c>
      <c r="H211" s="160"/>
      <c r="I211" s="158">
        <f>+'5-P3 Support'!K86</f>
        <v>0</v>
      </c>
      <c r="J211" s="13"/>
      <c r="K211" s="4"/>
    </row>
    <row r="212" spans="1:11" ht="13.5" thickBot="1">
      <c r="A212" s="7">
        <f>+A211+1</f>
        <v>22</v>
      </c>
      <c r="B212" s="5" t="s">
        <v>256</v>
      </c>
      <c r="C212" s="89" t="s">
        <v>257</v>
      </c>
      <c r="D212" s="162">
        <f>+'5-P3 Support'!F87</f>
        <v>89999.694000000003</v>
      </c>
      <c r="E212" s="163">
        <f>+'5-P3 Support'!G87</f>
        <v>0.60</v>
      </c>
      <c r="F212" s="164"/>
      <c r="G212" s="165">
        <f>+'5-P3 Support'!I87</f>
        <v>0.10100000000000001</v>
      </c>
      <c r="H212" s="160"/>
      <c r="I212" s="163">
        <f>+'5-P3 Support'!K87</f>
        <v>0.060600000000000001</v>
      </c>
      <c r="J212" s="13"/>
      <c r="K212" s="4"/>
    </row>
    <row r="213" spans="1:11" ht="13">
      <c r="A213" s="7">
        <f>+A212+1</f>
        <v>23</v>
      </c>
      <c r="B213" s="27" t="s">
        <v>258</v>
      </c>
      <c r="C213" s="4" t="s">
        <v>259</v>
      </c>
      <c r="D213" s="157">
        <f>+'5-P3 Support'!F88</f>
        <v>149999.49000000002</v>
      </c>
      <c r="E213" s="13" t="s">
        <v>11</v>
      </c>
      <c r="F213" s="13"/>
      <c r="G213" s="160"/>
      <c r="H213" s="160"/>
      <c r="I213" s="158">
        <f>+'5-P3 Support'!K88</f>
        <v>0.075560000000000002</v>
      </c>
      <c r="J213" s="161" t="s">
        <v>260</v>
      </c>
      <c r="K213" s="4"/>
    </row>
    <row r="214" spans="1:11" ht="13">
      <c r="A214" s="7"/>
      <c r="B214" s="4"/>
      <c r="C214" s="4"/>
      <c r="D214" s="4"/>
      <c r="E214" s="13"/>
      <c r="F214" s="13"/>
      <c r="G214" s="13"/>
      <c r="H214" s="13"/>
      <c r="I214" s="160"/>
      <c r="J214" s="4"/>
      <c r="K214" s="4"/>
    </row>
    <row r="215" spans="1:11" ht="13">
      <c r="A215" s="7">
        <f>+A213+1</f>
        <v>24</v>
      </c>
      <c r="B215" s="5" t="s">
        <v>261</v>
      </c>
      <c r="C215" s="15"/>
      <c r="D215" s="15"/>
      <c r="E215" s="15"/>
      <c r="F215" s="15"/>
      <c r="G215" s="15"/>
      <c r="H215" s="15"/>
      <c r="I215" s="15"/>
      <c r="J215" s="15"/>
      <c r="K215" s="15"/>
    </row>
    <row r="216" spans="1:11" ht="13.5" thickBot="1">
      <c r="A216" s="7"/>
      <c r="B216" s="5"/>
      <c r="C216" s="5"/>
      <c r="D216" s="5"/>
      <c r="E216" s="5"/>
      <c r="F216" s="5"/>
      <c r="G216" s="5"/>
      <c r="H216" s="5"/>
      <c r="I216" s="23"/>
      <c r="J216" s="166"/>
      <c r="K216" s="4"/>
    </row>
    <row r="217" spans="1:11" ht="13">
      <c r="A217" s="7">
        <f>+A215+1</f>
        <v>25</v>
      </c>
      <c r="B217" s="5" t="s">
        <v>262</v>
      </c>
      <c r="C217" s="15" t="s">
        <v>263</v>
      </c>
      <c r="D217" s="15"/>
      <c r="E217" s="15"/>
      <c r="F217" s="15"/>
      <c r="G217" s="167" t="s">
        <v>11</v>
      </c>
      <c r="H217" s="168"/>
      <c r="I217" s="169"/>
      <c r="J217" s="169"/>
      <c r="K217" s="4"/>
    </row>
    <row r="218" spans="1:11" ht="13">
      <c r="A218" s="7">
        <f>+A217+1</f>
        <v>26</v>
      </c>
      <c r="B218" s="4" t="s">
        <v>264</v>
      </c>
      <c r="C218" s="15" t="s">
        <v>265</v>
      </c>
      <c r="D218" s="15"/>
      <c r="E218" s="4"/>
      <c r="F218" s="15"/>
      <c r="G218" s="4"/>
      <c r="H218" s="168"/>
      <c r="I218" s="170">
        <v>0</v>
      </c>
      <c r="J218" s="171"/>
      <c r="K218" s="4"/>
    </row>
    <row r="219" spans="1:11" ht="13.5" thickBot="1">
      <c r="A219" s="7">
        <f>+A218+1</f>
        <v>27</v>
      </c>
      <c r="B219" s="172" t="s">
        <v>266</v>
      </c>
      <c r="C219" s="28" t="s">
        <v>267</v>
      </c>
      <c r="D219" s="173"/>
      <c r="E219" s="174"/>
      <c r="F219" s="174"/>
      <c r="G219" s="174"/>
      <c r="H219" s="15"/>
      <c r="I219" s="175">
        <f>+'5-P3 Support'!C68</f>
        <v>0</v>
      </c>
      <c r="J219" s="176"/>
      <c r="K219" s="4"/>
    </row>
    <row r="220" spans="1:11" ht="13">
      <c r="A220" s="7">
        <f>+A219+1</f>
        <v>28</v>
      </c>
      <c r="B220" s="4" t="s">
        <v>268</v>
      </c>
      <c r="C220" s="26"/>
      <c r="D220" s="4"/>
      <c r="E220" s="15"/>
      <c r="F220" s="15"/>
      <c r="G220" s="15"/>
      <c r="H220" s="15"/>
      <c r="I220" s="177">
        <f>I218-I219</f>
        <v>0</v>
      </c>
      <c r="J220" s="171"/>
      <c r="K220" s="4"/>
    </row>
    <row r="221" spans="1:11" ht="13">
      <c r="A221" s="7"/>
      <c r="B221" s="4"/>
      <c r="C221" s="26"/>
      <c r="D221" s="4"/>
      <c r="E221" s="15"/>
      <c r="F221" s="15"/>
      <c r="G221" s="15"/>
      <c r="H221" s="15"/>
      <c r="I221" s="178"/>
      <c r="J221" s="169"/>
      <c r="K221" s="4"/>
    </row>
    <row r="222" spans="1:11" ht="13">
      <c r="A222" s="7">
        <f>+A220+1</f>
        <v>29</v>
      </c>
      <c r="B222" s="5" t="s">
        <v>269</v>
      </c>
      <c r="C222" s="26" t="s">
        <v>270</v>
      </c>
      <c r="D222" s="4"/>
      <c r="E222" s="15"/>
      <c r="F222" s="15"/>
      <c r="G222" s="179"/>
      <c r="H222" s="15"/>
      <c r="I222" s="180">
        <f>+'5-P3 Support'!D68</f>
        <v>0</v>
      </c>
      <c r="J222" s="169"/>
      <c r="K222" s="181"/>
    </row>
    <row r="223" spans="1:11" ht="13">
      <c r="A223" s="7"/>
      <c r="B223" s="4"/>
      <c r="C223" s="9"/>
      <c r="D223" s="15"/>
      <c r="E223" s="15"/>
      <c r="F223" s="15"/>
      <c r="G223" s="15"/>
      <c r="H223" s="15"/>
      <c r="I223" s="178"/>
      <c r="J223" s="169"/>
      <c r="K223" s="181"/>
    </row>
    <row r="224" spans="1:11" ht="13">
      <c r="A224" s="7">
        <f>+A222+1</f>
        <v>30</v>
      </c>
      <c r="B224" s="5" t="s">
        <v>271</v>
      </c>
      <c r="C224" s="9" t="s">
        <v>272</v>
      </c>
      <c r="D224" s="15"/>
      <c r="E224" s="15"/>
      <c r="F224" s="15"/>
      <c r="G224" s="15"/>
      <c r="H224" s="15"/>
      <c r="I224" s="4"/>
      <c r="J224" s="4"/>
      <c r="K224" s="182"/>
    </row>
    <row r="225" spans="1:11" ht="13">
      <c r="A225" s="7">
        <f>+A224+1</f>
        <v>31</v>
      </c>
      <c r="B225" s="183" t="s">
        <v>273</v>
      </c>
      <c r="C225" s="28" t="s">
        <v>274</v>
      </c>
      <c r="D225" s="13"/>
      <c r="E225" s="13"/>
      <c r="F225" s="13"/>
      <c r="G225" s="13"/>
      <c r="H225" s="13"/>
      <c r="I225" s="184">
        <f>+'5-P3 Support'!E68</f>
        <v>0</v>
      </c>
      <c r="J225" s="185"/>
      <c r="K225" s="182"/>
    </row>
    <row r="226" spans="1:11" ht="26.5" thickBot="1">
      <c r="A226" s="7">
        <f>+A225+1</f>
        <v>32</v>
      </c>
      <c r="B226" s="186" t="s">
        <v>275</v>
      </c>
      <c r="C226" s="28" t="s">
        <v>276</v>
      </c>
      <c r="D226" s="174"/>
      <c r="E226" s="174"/>
      <c r="F226" s="174"/>
      <c r="G226" s="15"/>
      <c r="H226" s="15"/>
      <c r="I226" s="187">
        <f>+'5-P3 Support'!F68</f>
        <v>0</v>
      </c>
      <c r="J226" s="4"/>
      <c r="K226" s="188"/>
    </row>
    <row r="227" spans="1:11" ht="13">
      <c r="A227" s="7">
        <f>+A226+1</f>
        <v>33</v>
      </c>
      <c r="B227" s="127" t="s">
        <v>268</v>
      </c>
      <c r="C227" s="7"/>
      <c r="D227" s="13"/>
      <c r="E227" s="13"/>
      <c r="F227" s="13"/>
      <c r="G227" s="13"/>
      <c r="H227" s="15"/>
      <c r="I227" s="189">
        <f>+I225-I226</f>
        <v>0</v>
      </c>
      <c r="J227" s="185"/>
      <c r="K227" s="190"/>
    </row>
    <row r="228" spans="1:11" ht="13">
      <c r="A228" s="7"/>
      <c r="B228" s="127"/>
      <c r="C228" s="7"/>
      <c r="D228" s="13"/>
      <c r="E228" s="13"/>
      <c r="F228" s="13"/>
      <c r="G228" s="13"/>
      <c r="H228" s="15"/>
      <c r="I228" s="189"/>
      <c r="J228" s="185"/>
      <c r="K228" s="190"/>
    </row>
    <row r="229" spans="1:11" ht="13">
      <c r="A229" s="7"/>
      <c r="D229" s="13"/>
      <c r="E229" s="13"/>
      <c r="F229" s="13"/>
      <c r="G229" s="13"/>
      <c r="H229" s="15"/>
      <c r="I229" s="189"/>
      <c r="J229" s="185"/>
      <c r="K229" s="190"/>
    </row>
    <row r="230" spans="1:11" ht="13">
      <c r="A230" s="7"/>
      <c r="B230" s="127"/>
      <c r="C230" s="7"/>
      <c r="D230" s="13"/>
      <c r="E230" s="13"/>
      <c r="F230" s="13"/>
      <c r="G230" s="13"/>
      <c r="H230" s="15"/>
      <c r="I230" s="189"/>
      <c r="J230" s="185"/>
      <c r="K230" s="190"/>
    </row>
    <row r="231" spans="1:11" ht="13">
      <c r="A231" s="7"/>
      <c r="B231" s="127"/>
      <c r="C231" s="7"/>
      <c r="D231" s="13"/>
      <c r="E231" s="13"/>
      <c r="F231" s="13"/>
      <c r="G231" s="13"/>
      <c r="H231" s="15"/>
      <c r="I231" s="189"/>
      <c r="J231" s="185"/>
      <c r="K231" s="190"/>
    </row>
    <row r="232" spans="1:11" ht="13">
      <c r="A232" s="7"/>
      <c r="B232" s="191"/>
      <c r="C232" s="7"/>
      <c r="D232" s="13"/>
      <c r="E232" s="13"/>
      <c r="F232" s="13"/>
      <c r="G232" s="13"/>
      <c r="H232" s="15"/>
      <c r="I232" s="192"/>
      <c r="J232" s="185"/>
      <c r="K232" s="190"/>
    </row>
    <row r="233" spans="1:11" ht="13">
      <c r="A233" s="7"/>
      <c r="B233" s="191"/>
      <c r="C233" s="7"/>
      <c r="D233" s="13"/>
      <c r="E233" s="13"/>
      <c r="F233" s="13"/>
      <c r="G233" s="13"/>
      <c r="H233" s="15"/>
      <c r="I233" s="192"/>
      <c r="J233" s="185"/>
      <c r="K233" s="190"/>
    </row>
    <row r="234" spans="1:11" ht="13">
      <c r="A234" s="7"/>
      <c r="B234" s="27"/>
      <c r="C234" s="16"/>
      <c r="D234" s="13"/>
      <c r="E234" s="13"/>
      <c r="F234" s="13"/>
      <c r="G234" s="13"/>
      <c r="H234" s="16"/>
      <c r="I234" s="13"/>
      <c r="J234" s="16"/>
      <c r="K234" s="106" t="s">
        <v>277</v>
      </c>
    </row>
    <row r="235" spans="1:11" ht="13">
      <c r="A235" s="7"/>
      <c r="B235" s="27"/>
      <c r="C235" s="16"/>
      <c r="D235" s="13"/>
      <c r="E235" s="13"/>
      <c r="F235" s="13"/>
      <c r="G235" s="13"/>
      <c r="H235" s="16"/>
      <c r="I235" s="13"/>
      <c r="J235" s="16"/>
      <c r="K235" s="13"/>
    </row>
    <row r="236" spans="1:11" ht="13">
      <c r="A236" s="7"/>
      <c r="B236" s="191" t="s">
        <v>2</v>
      </c>
      <c r="C236" s="7"/>
      <c r="D236" s="14" t="s">
        <v>4</v>
      </c>
      <c r="E236" s="13"/>
      <c r="F236" s="13"/>
      <c r="G236" s="13"/>
      <c r="H236" s="15"/>
      <c r="I236" s="1"/>
      <c r="J236" s="169"/>
      <c r="K236" s="193" t="str">
        <f>K3</f>
        <v>For  the 12 months ended 12/31/2020</v>
      </c>
    </row>
    <row r="237" spans="1:11" ht="13">
      <c r="A237" s="7"/>
      <c r="B237" s="191"/>
      <c r="C237" s="7"/>
      <c r="D237" s="14" t="s">
        <v>6</v>
      </c>
      <c r="E237" s="13"/>
      <c r="F237" s="13"/>
      <c r="G237" s="13"/>
      <c r="H237" s="15"/>
      <c r="I237" s="194"/>
      <c r="J237" s="169"/>
      <c r="K237" s="190"/>
    </row>
    <row r="238" spans="1:11" ht="13">
      <c r="A238" s="7"/>
      <c r="B238" s="191"/>
      <c r="C238" s="7"/>
      <c r="D238" s="72" t="str">
        <f>D5</f>
        <v>NextEra Energy Transmission MidAtlantic Indiana, Inc.</v>
      </c>
      <c r="E238" s="13"/>
      <c r="F238" s="13"/>
      <c r="G238" s="13"/>
      <c r="H238" s="15"/>
      <c r="I238" s="194"/>
      <c r="J238" s="169"/>
      <c r="K238" s="190"/>
    </row>
    <row r="239" spans="1:11" ht="13">
      <c r="A239" s="727"/>
      <c r="B239" s="727"/>
      <c r="C239" s="727"/>
      <c r="D239" s="727"/>
      <c r="E239" s="727"/>
      <c r="F239" s="727"/>
      <c r="G239" s="727"/>
      <c r="H239" s="727"/>
      <c r="I239" s="727"/>
      <c r="J239" s="727"/>
      <c r="K239" s="727"/>
    </row>
    <row r="240" spans="1:11" ht="13">
      <c r="A240" s="7"/>
      <c r="B240" s="191"/>
      <c r="C240" s="7"/>
      <c r="D240" s="13"/>
      <c r="E240" s="13"/>
      <c r="F240" s="13"/>
      <c r="G240" s="13"/>
      <c r="H240" s="15"/>
      <c r="I240" s="194"/>
      <c r="J240" s="169"/>
      <c r="K240" s="190"/>
    </row>
    <row r="241" spans="1:11" ht="13">
      <c r="A241" s="7"/>
      <c r="B241" s="5" t="s">
        <v>278</v>
      </c>
      <c r="C241" s="7"/>
      <c r="D241" s="13"/>
      <c r="E241" s="13"/>
      <c r="F241" s="13"/>
      <c r="G241" s="13"/>
      <c r="H241" s="15"/>
      <c r="I241" s="13"/>
      <c r="J241" s="15"/>
      <c r="K241" s="13"/>
    </row>
    <row r="242" spans="1:11" ht="13">
      <c r="A242" s="7"/>
      <c r="B242" s="195" t="s">
        <v>279</v>
      </c>
      <c r="C242" s="7"/>
      <c r="D242" s="13"/>
      <c r="E242" s="13"/>
      <c r="F242" s="13"/>
      <c r="G242" s="13"/>
      <c r="H242" s="15"/>
      <c r="I242" s="13"/>
      <c r="J242" s="15"/>
      <c r="K242" s="13"/>
    </row>
    <row r="243" spans="1:11" ht="13">
      <c r="A243" s="7" t="s">
        <v>280</v>
      </c>
      <c r="B243" s="5"/>
      <c r="C243" s="15"/>
      <c r="D243" s="13"/>
      <c r="E243" s="13"/>
      <c r="F243" s="13"/>
      <c r="G243" s="13"/>
      <c r="H243" s="15"/>
      <c r="I243" s="13"/>
      <c r="J243" s="15"/>
      <c r="K243" s="13"/>
    </row>
    <row r="244" spans="1:11" ht="13.5" thickBot="1">
      <c r="A244" s="23" t="s">
        <v>281</v>
      </c>
      <c r="B244" s="728"/>
      <c r="C244" s="728"/>
      <c r="D244" s="196"/>
      <c r="E244" s="196"/>
      <c r="F244" s="196"/>
      <c r="G244" s="196"/>
      <c r="H244" s="197"/>
      <c r="I244" s="196"/>
      <c r="J244" s="197"/>
      <c r="K244" s="196"/>
    </row>
    <row r="245" spans="1:11" ht="13">
      <c r="A245" s="198" t="s">
        <v>282</v>
      </c>
      <c r="B245" s="718" t="s">
        <v>283</v>
      </c>
      <c r="C245" s="718"/>
      <c r="D245" s="718"/>
      <c r="E245" s="718"/>
      <c r="F245" s="718"/>
      <c r="G245" s="718"/>
      <c r="H245" s="718"/>
      <c r="I245" s="718"/>
      <c r="J245" s="718"/>
      <c r="K245" s="718"/>
    </row>
    <row r="246" spans="1:11" ht="29.25" customHeight="1">
      <c r="A246" s="198" t="s">
        <v>284</v>
      </c>
      <c r="B246" s="718" t="s">
        <v>285</v>
      </c>
      <c r="C246" s="718"/>
      <c r="D246" s="718"/>
      <c r="E246" s="718"/>
      <c r="F246" s="718"/>
      <c r="G246" s="718"/>
      <c r="H246" s="718"/>
      <c r="I246" s="718"/>
      <c r="J246" s="718"/>
      <c r="K246" s="718"/>
    </row>
    <row r="247" spans="1:11" ht="13">
      <c r="A247" s="198" t="s">
        <v>286</v>
      </c>
      <c r="B247" s="718" t="s">
        <v>287</v>
      </c>
      <c r="C247" s="718"/>
      <c r="D247" s="718"/>
      <c r="E247" s="718"/>
      <c r="F247" s="718"/>
      <c r="G247" s="718"/>
      <c r="H247" s="718"/>
      <c r="I247" s="718"/>
      <c r="J247" s="718"/>
      <c r="K247" s="718"/>
    </row>
    <row r="248" spans="1:11" ht="29.25" customHeight="1">
      <c r="A248" s="198" t="s">
        <v>288</v>
      </c>
      <c r="B248" s="718" t="s">
        <v>289</v>
      </c>
      <c r="C248" s="718"/>
      <c r="D248" s="718"/>
      <c r="E248" s="718"/>
      <c r="F248" s="718"/>
      <c r="G248" s="718"/>
      <c r="H248" s="718"/>
      <c r="I248" s="718"/>
      <c r="J248" s="718"/>
      <c r="K248" s="718"/>
    </row>
    <row r="249" spans="1:11" ht="29.25" customHeight="1">
      <c r="A249" s="198" t="s">
        <v>290</v>
      </c>
      <c r="B249" s="718" t="s">
        <v>291</v>
      </c>
      <c r="C249" s="718"/>
      <c r="D249" s="718"/>
      <c r="E249" s="718"/>
      <c r="F249" s="718"/>
      <c r="G249" s="718"/>
      <c r="H249" s="718"/>
      <c r="I249" s="718"/>
      <c r="J249" s="718"/>
      <c r="K249" s="718"/>
    </row>
    <row r="250" spans="1:11" ht="30" customHeight="1">
      <c r="A250" s="198" t="s">
        <v>292</v>
      </c>
      <c r="B250" s="718" t="s">
        <v>293</v>
      </c>
      <c r="C250" s="718"/>
      <c r="D250" s="718"/>
      <c r="E250" s="718"/>
      <c r="F250" s="718"/>
      <c r="G250" s="718"/>
      <c r="H250" s="718"/>
      <c r="I250" s="718"/>
      <c r="J250" s="718"/>
      <c r="K250" s="718"/>
    </row>
    <row r="251" spans="1:11" ht="45.75" customHeight="1">
      <c r="A251" s="718" t="s">
        <v>294</v>
      </c>
      <c r="B251" s="718" t="s">
        <v>295</v>
      </c>
      <c r="C251" s="718"/>
      <c r="D251" s="718"/>
      <c r="E251" s="718"/>
      <c r="F251" s="718"/>
      <c r="G251" s="718"/>
      <c r="H251" s="718"/>
      <c r="I251" s="718"/>
      <c r="J251" s="718"/>
      <c r="K251" s="718"/>
    </row>
    <row r="252" spans="1:11" ht="13">
      <c r="A252" s="718"/>
      <c r="B252" s="199" t="s">
        <v>296</v>
      </c>
      <c r="C252" s="199" t="s">
        <v>297</v>
      </c>
      <c r="D252" s="200">
        <v>0.21</v>
      </c>
      <c r="E252" s="199"/>
      <c r="F252" s="199"/>
      <c r="G252" s="199"/>
      <c r="H252" s="199"/>
      <c r="I252" s="199"/>
      <c r="J252" s="199"/>
      <c r="K252" s="199"/>
    </row>
    <row r="253" spans="1:11" ht="13">
      <c r="A253" s="718"/>
      <c r="B253" s="199"/>
      <c r="C253" s="199" t="s">
        <v>298</v>
      </c>
      <c r="D253" s="201">
        <v>0.0525</v>
      </c>
      <c r="E253" s="199" t="s">
        <v>299</v>
      </c>
      <c r="F253" s="199"/>
      <c r="G253" s="199"/>
      <c r="H253" s="199"/>
      <c r="I253" s="199"/>
      <c r="J253" s="199"/>
      <c r="K253" s="199"/>
    </row>
    <row r="254" spans="1:11" ht="13">
      <c r="A254" s="718"/>
      <c r="B254" s="199"/>
      <c r="C254" s="199" t="s">
        <v>300</v>
      </c>
      <c r="D254" s="202">
        <v>0</v>
      </c>
      <c r="E254" s="199" t="s">
        <v>301</v>
      </c>
      <c r="F254" s="199"/>
      <c r="G254" s="199"/>
      <c r="H254" s="199"/>
      <c r="I254" s="199"/>
      <c r="J254" s="199"/>
      <c r="K254" s="199"/>
    </row>
    <row r="255" spans="1:11" ht="13">
      <c r="A255" s="718"/>
      <c r="B255" s="199"/>
      <c r="C255" s="199"/>
      <c r="D255" s="203"/>
      <c r="E255" s="199"/>
      <c r="F255" s="199"/>
      <c r="G255" s="199"/>
      <c r="H255" s="199"/>
      <c r="I255" s="199"/>
      <c r="J255" s="199"/>
      <c r="K255" s="199"/>
    </row>
    <row r="256" spans="1:11" ht="19.5" customHeight="1">
      <c r="A256" s="198" t="s">
        <v>302</v>
      </c>
      <c r="B256" s="718" t="s">
        <v>303</v>
      </c>
      <c r="C256" s="718"/>
      <c r="D256" s="718"/>
      <c r="E256" s="718"/>
      <c r="F256" s="718"/>
      <c r="G256" s="718"/>
      <c r="H256" s="718"/>
      <c r="I256" s="718"/>
      <c r="J256" s="718"/>
      <c r="K256" s="718"/>
    </row>
    <row r="257" spans="1:11" ht="31.5" customHeight="1">
      <c r="A257" s="198" t="s">
        <v>304</v>
      </c>
      <c r="B257" s="718" t="s">
        <v>305</v>
      </c>
      <c r="C257" s="718"/>
      <c r="D257" s="718"/>
      <c r="E257" s="718"/>
      <c r="F257" s="718"/>
      <c r="G257" s="718"/>
      <c r="H257" s="718"/>
      <c r="I257" s="718"/>
      <c r="J257" s="718"/>
      <c r="K257" s="718"/>
    </row>
    <row r="258" spans="1:11" ht="13">
      <c r="A258" s="198" t="s">
        <v>306</v>
      </c>
      <c r="B258" s="718" t="s">
        <v>307</v>
      </c>
      <c r="C258" s="718"/>
      <c r="D258" s="718"/>
      <c r="E258" s="718"/>
      <c r="F258" s="718"/>
      <c r="G258" s="718"/>
      <c r="H258" s="718"/>
      <c r="I258" s="718"/>
      <c r="J258" s="718"/>
      <c r="K258" s="718"/>
    </row>
    <row r="259" spans="1:11" ht="13">
      <c r="A259" s="198" t="s">
        <v>308</v>
      </c>
      <c r="B259" s="718" t="s">
        <v>309</v>
      </c>
      <c r="C259" s="718"/>
      <c r="D259" s="718"/>
      <c r="E259" s="718"/>
      <c r="F259" s="718"/>
      <c r="G259" s="718"/>
      <c r="H259" s="718"/>
      <c r="I259" s="718"/>
      <c r="J259" s="718"/>
      <c r="K259" s="718"/>
    </row>
    <row r="260" spans="1:11" ht="13">
      <c r="A260" s="198" t="s">
        <v>310</v>
      </c>
      <c r="B260" s="718" t="s">
        <v>311</v>
      </c>
      <c r="C260" s="718"/>
      <c r="D260" s="718"/>
      <c r="E260" s="718"/>
      <c r="F260" s="718"/>
      <c r="G260" s="718"/>
      <c r="H260" s="718"/>
      <c r="I260" s="718"/>
      <c r="J260" s="718"/>
      <c r="K260" s="718"/>
    </row>
    <row r="261" spans="1:11" ht="13">
      <c r="A261" s="198" t="s">
        <v>312</v>
      </c>
      <c r="B261" s="718" t="s">
        <v>313</v>
      </c>
      <c r="C261" s="718"/>
      <c r="D261" s="718"/>
      <c r="E261" s="718"/>
      <c r="F261" s="718"/>
      <c r="G261" s="718"/>
      <c r="H261" s="718"/>
      <c r="I261" s="718"/>
      <c r="J261" s="718"/>
      <c r="K261" s="718"/>
    </row>
    <row r="262" spans="1:11" ht="13">
      <c r="A262" s="198" t="s">
        <v>314</v>
      </c>
      <c r="B262" s="718" t="s">
        <v>315</v>
      </c>
      <c r="C262" s="718"/>
      <c r="D262" s="718"/>
      <c r="E262" s="718"/>
      <c r="F262" s="718"/>
      <c r="G262" s="718"/>
      <c r="H262" s="718"/>
      <c r="I262" s="718"/>
      <c r="J262" s="718"/>
      <c r="K262" s="718"/>
    </row>
    <row r="263" spans="1:11" ht="33.75" customHeight="1">
      <c r="A263" s="198" t="s">
        <v>316</v>
      </c>
      <c r="B263" s="719" t="s">
        <v>317</v>
      </c>
      <c r="C263" s="720"/>
      <c r="D263" s="720"/>
      <c r="E263" s="720"/>
      <c r="F263" s="720"/>
      <c r="G263" s="720"/>
      <c r="H263" s="720"/>
      <c r="I263" s="720"/>
      <c r="J263" s="720"/>
      <c r="K263" s="720"/>
    </row>
    <row r="264" spans="1:11" ht="13">
      <c r="A264" s="204" t="s">
        <v>318</v>
      </c>
      <c r="B264" s="721" t="s">
        <v>283</v>
      </c>
      <c r="C264" s="722"/>
      <c r="D264" s="722"/>
      <c r="E264" s="722"/>
      <c r="F264" s="722"/>
      <c r="G264" s="722"/>
      <c r="H264" s="722"/>
      <c r="I264" s="722"/>
      <c r="J264" s="722"/>
      <c r="K264" s="722"/>
    </row>
    <row r="265" spans="1:11" ht="28.5" customHeight="1">
      <c r="A265" s="205" t="s">
        <v>319</v>
      </c>
      <c r="B265" s="723" t="s">
        <v>320</v>
      </c>
      <c r="C265" s="723"/>
      <c r="D265" s="723"/>
      <c r="E265" s="723"/>
      <c r="F265" s="723"/>
      <c r="G265" s="723"/>
      <c r="H265" s="723"/>
      <c r="I265" s="723"/>
      <c r="J265" s="723"/>
      <c r="K265" s="723"/>
    </row>
    <row r="266" spans="1:11" s="93" customFormat="1" ht="13">
      <c r="A266" s="205" t="s">
        <v>321</v>
      </c>
      <c r="B266" s="724" t="s">
        <v>322</v>
      </c>
      <c r="C266" s="724"/>
      <c r="D266" s="724"/>
      <c r="E266" s="724"/>
      <c r="F266" s="724"/>
      <c r="G266" s="724"/>
      <c r="H266" s="724"/>
      <c r="I266" s="724"/>
      <c r="J266" s="724"/>
      <c r="K266" s="724"/>
    </row>
    <row r="267" spans="1:11" ht="18.75" customHeight="1">
      <c r="A267" s="205" t="s">
        <v>323</v>
      </c>
      <c r="B267" s="725" t="s">
        <v>324</v>
      </c>
      <c r="C267" s="725"/>
      <c r="D267" s="725"/>
      <c r="E267" s="725"/>
      <c r="F267" s="725"/>
      <c r="G267" s="725"/>
      <c r="H267" s="725"/>
      <c r="I267" s="725"/>
      <c r="J267" s="725"/>
      <c r="K267" s="725"/>
    </row>
    <row r="268" spans="1:11" s="111" customFormat="1" ht="29.25" customHeight="1">
      <c r="A268" s="205" t="s">
        <v>325</v>
      </c>
      <c r="B268" s="717" t="s">
        <v>326</v>
      </c>
      <c r="C268" s="717"/>
      <c r="D268" s="717"/>
      <c r="E268" s="717"/>
      <c r="F268" s="717"/>
      <c r="G268" s="717"/>
      <c r="H268" s="717"/>
      <c r="I268" s="717"/>
      <c r="J268" s="717"/>
      <c r="K268" s="717"/>
    </row>
    <row r="269" spans="1:11" s="111" customFormat="1" ht="13">
      <c r="A269" s="205" t="s">
        <v>327</v>
      </c>
      <c r="B269" s="206" t="s">
        <v>328</v>
      </c>
      <c r="C269" s="207"/>
      <c r="D269" s="207"/>
      <c r="E269" s="207"/>
      <c r="F269" s="207"/>
      <c r="G269" s="207"/>
      <c r="H269" s="208"/>
      <c r="I269" s="209"/>
      <c r="J269" s="210"/>
      <c r="K269" s="211"/>
    </row>
    <row r="270" spans="1:11" s="111" customFormat="1" ht="13">
      <c r="A270" s="212" t="s">
        <v>329</v>
      </c>
      <c r="B270" s="212" t="s">
        <v>330</v>
      </c>
      <c r="C270" s="212"/>
      <c r="D270" s="212"/>
      <c r="E270" s="212"/>
      <c r="F270" s="212"/>
      <c r="G270" s="212"/>
      <c r="H270" s="212"/>
      <c r="I270" s="212"/>
      <c r="J270" s="212"/>
      <c r="K270" s="212"/>
    </row>
    <row r="271" spans="1:2" ht="13">
      <c r="A271" s="3" t="s">
        <v>331</v>
      </c>
      <c r="B271" s="3" t="s">
        <v>332</v>
      </c>
    </row>
    <row r="272" spans="1:2" ht="14.5">
      <c r="A272" s="213" t="s">
        <v>333</v>
      </c>
      <c r="B272" s="93" t="s">
        <v>334</v>
      </c>
    </row>
    <row r="273" spans="1:2" ht="13">
      <c r="A273" s="3" t="s">
        <v>335</v>
      </c>
      <c r="B273" s="214" t="s">
        <v>336</v>
      </c>
    </row>
    <row r="274" spans="2:2" ht="13">
      <c r="B274" s="214" t="s">
        <v>337</v>
      </c>
    </row>
  </sheetData>
  <mergeCells count="26">
    <mergeCell ref="A251:A255"/>
    <mergeCell ref="B251:K251"/>
    <mergeCell ref="A57:K57"/>
    <mergeCell ref="A114:K114"/>
    <mergeCell ref="A180:K180"/>
    <mergeCell ref="A239:K239"/>
    <mergeCell ref="B244:C244"/>
    <mergeCell ref="B245:K245"/>
    <mergeCell ref="B261:K261"/>
    <mergeCell ref="B246:K246"/>
    <mergeCell ref="B247:K247"/>
    <mergeCell ref="B248:K248"/>
    <mergeCell ref="B249:K249"/>
    <mergeCell ref="B250:K250"/>
    <mergeCell ref="B256:K256"/>
    <mergeCell ref="B257:K257"/>
    <mergeCell ref="B258:K258"/>
    <mergeCell ref="B259:K259"/>
    <mergeCell ref="B260:K260"/>
    <mergeCell ref="B268:K268"/>
    <mergeCell ref="B262:K262"/>
    <mergeCell ref="B263:K263"/>
    <mergeCell ref="B264:K264"/>
    <mergeCell ref="B265:K265"/>
    <mergeCell ref="B266:K266"/>
    <mergeCell ref="B267:K267"/>
  </mergeCells>
  <pageMargins left="0.25" right="0.25" top="0.75" bottom="0.75" header="0.3" footer="0.3"/>
  <pageSetup fitToHeight="0" orientation="landscape" scale="10" r:id="rId1"/>
  <rowBreaks count="4" manualBreakCount="4">
    <brk id="50" max="10" man="1"/>
    <brk id="108" max="16383" man="1"/>
    <brk id="173" max="10" man="1"/>
    <brk id="232" max="10"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F77"/>
  <sheetViews>
    <sheetView zoomScale="85" zoomScaleNormal="85" workbookViewId="0" topLeftCell="A1"/>
  </sheetViews>
  <sheetFormatPr defaultColWidth="8.76555555555556" defaultRowHeight="13.5"/>
  <cols>
    <col min="1" max="1" width="6" style="687" bestFit="1" customWidth="1"/>
    <col min="2" max="2" width="28.4444444444444" style="3" bestFit="1" customWidth="1"/>
    <col min="3" max="3" width="56.2222222222222" style="160" customWidth="1"/>
    <col min="4" max="4" width="20.4444444444444" style="3" bestFit="1" customWidth="1"/>
    <col min="5" max="6" width="8.77777777777778" style="3"/>
    <col min="7" max="16384" width="8.77777777777778" style="3"/>
  </cols>
  <sheetData>
    <row r="1" spans="4:4" ht="15" customHeight="1">
      <c r="D1" s="688" t="s">
        <v>451</v>
      </c>
    </row>
    <row r="2" spans="1:4" ht="15" customHeight="1">
      <c r="A2" s="756" t="s">
        <v>789</v>
      </c>
      <c r="B2" s="756"/>
      <c r="C2" s="756"/>
      <c r="D2" s="756"/>
    </row>
    <row r="3" spans="1:4" ht="15" customHeight="1">
      <c r="A3" s="757" t="s">
        <v>790</v>
      </c>
      <c r="B3" s="757"/>
      <c r="C3" s="757"/>
      <c r="D3" s="757"/>
    </row>
    <row r="4" spans="1:4" ht="15" customHeight="1">
      <c r="A4" s="758" t="str">
        <f>'Attachment H'!$D$5</f>
        <v>NextEra Energy Transmission MidAtlantic Indiana, Inc.</v>
      </c>
      <c r="B4" s="758"/>
      <c r="C4" s="758"/>
      <c r="D4" s="758"/>
    </row>
    <row r="5" ht="13"/>
    <row r="6" spans="1:4" ht="15.5">
      <c r="A6" s="689" t="s">
        <v>14</v>
      </c>
      <c r="B6" s="690" t="s">
        <v>791</v>
      </c>
      <c r="C6" s="690" t="s">
        <v>792</v>
      </c>
      <c r="D6" s="690" t="s">
        <v>793</v>
      </c>
    </row>
    <row r="7" spans="1:4" ht="15.5">
      <c r="A7" s="689"/>
      <c r="B7" s="691" t="s">
        <v>794</v>
      </c>
      <c r="C7" s="690"/>
      <c r="D7" s="690"/>
    </row>
    <row r="8" spans="1:4" ht="15.5">
      <c r="A8" s="692">
        <v>1</v>
      </c>
      <c r="B8" s="693" t="s">
        <v>795</v>
      </c>
      <c r="C8" s="694" t="s">
        <v>796</v>
      </c>
      <c r="D8" s="695">
        <v>0</v>
      </c>
    </row>
    <row r="9" spans="1:4" ht="15.5">
      <c r="A9" s="692">
        <f>+A8+1</f>
        <v>2</v>
      </c>
      <c r="B9" s="693" t="s">
        <v>797</v>
      </c>
      <c r="C9" s="690" t="s">
        <v>798</v>
      </c>
      <c r="D9" s="695">
        <v>1.33</v>
      </c>
    </row>
    <row r="10" spans="1:4" ht="15.5">
      <c r="A10" s="692">
        <f>+A8+1</f>
        <v>2</v>
      </c>
      <c r="B10" s="693" t="s">
        <v>799</v>
      </c>
      <c r="C10" s="690" t="s">
        <v>800</v>
      </c>
      <c r="D10" s="695">
        <v>3.36</v>
      </c>
    </row>
    <row r="11" spans="1:4" ht="15.5">
      <c r="A11" s="692">
        <f>+A10+1</f>
        <v>3</v>
      </c>
      <c r="B11" s="693" t="s">
        <v>801</v>
      </c>
      <c r="C11" s="690" t="s">
        <v>802</v>
      </c>
      <c r="D11" s="695">
        <v>2.92</v>
      </c>
    </row>
    <row r="12" spans="1:4" ht="15.5">
      <c r="A12" s="692">
        <f>+A11+1</f>
        <v>4</v>
      </c>
      <c r="B12" s="693" t="s">
        <v>803</v>
      </c>
      <c r="C12" s="690" t="s">
        <v>804</v>
      </c>
      <c r="D12" s="695">
        <v>0</v>
      </c>
    </row>
    <row r="13" spans="1:4" ht="15.5">
      <c r="A13" s="692">
        <f>+A12+1</f>
        <v>5</v>
      </c>
      <c r="B13" s="693" t="s">
        <v>805</v>
      </c>
      <c r="C13" s="690" t="s">
        <v>806</v>
      </c>
      <c r="D13" s="695">
        <v>2.0499999999999998</v>
      </c>
    </row>
    <row r="14" spans="1:4" ht="15.5">
      <c r="A14" s="692">
        <f t="shared" si="0" ref="A14:A36">+A13+1</f>
        <v>6</v>
      </c>
      <c r="B14" s="693" t="s">
        <v>807</v>
      </c>
      <c r="C14" s="690" t="s">
        <v>808</v>
      </c>
      <c r="D14" s="695">
        <v>3.10</v>
      </c>
    </row>
    <row r="15" spans="1:4" ht="15.5">
      <c r="A15" s="692">
        <f>+A14+1</f>
        <v>7</v>
      </c>
      <c r="B15" s="693" t="s">
        <v>809</v>
      </c>
      <c r="C15" s="690" t="s">
        <v>810</v>
      </c>
      <c r="D15" s="695">
        <v>0</v>
      </c>
    </row>
    <row r="16" spans="1:4" ht="15.5">
      <c r="A16" s="692">
        <f>+A15+1</f>
        <v>8</v>
      </c>
      <c r="B16" s="693" t="s">
        <v>811</v>
      </c>
      <c r="C16" s="690" t="s">
        <v>812</v>
      </c>
      <c r="D16" s="695">
        <v>0</v>
      </c>
    </row>
    <row r="17" spans="1:4" ht="15.5">
      <c r="A17" s="692">
        <f>+A16+1</f>
        <v>9</v>
      </c>
      <c r="B17" s="693" t="s">
        <v>813</v>
      </c>
      <c r="C17" s="690" t="s">
        <v>814</v>
      </c>
      <c r="D17" s="695">
        <v>0</v>
      </c>
    </row>
    <row r="18" spans="1:4" ht="15.5">
      <c r="A18" s="692"/>
      <c r="B18" s="694"/>
      <c r="C18" s="690"/>
      <c r="D18" s="695"/>
    </row>
    <row r="19" spans="1:4" ht="15.5">
      <c r="A19" s="692"/>
      <c r="B19" s="693" t="s">
        <v>815</v>
      </c>
      <c r="C19" s="690"/>
      <c r="D19" s="695"/>
    </row>
    <row r="20" spans="1:4" ht="15.5">
      <c r="A20" s="692">
        <f>+A17+1</f>
        <v>10</v>
      </c>
      <c r="B20" s="693" t="s">
        <v>816</v>
      </c>
      <c r="C20" s="690" t="s">
        <v>817</v>
      </c>
      <c r="D20" s="695">
        <v>0</v>
      </c>
    </row>
    <row r="21" spans="1:4" ht="15.5">
      <c r="A21" s="692">
        <f>+A20+1</f>
        <v>11</v>
      </c>
      <c r="B21" s="693" t="s">
        <v>818</v>
      </c>
      <c r="C21" s="690" t="s">
        <v>819</v>
      </c>
      <c r="D21" s="695">
        <v>5.25</v>
      </c>
    </row>
    <row r="22" spans="1:4" ht="15.5">
      <c r="A22" s="692">
        <f>+A21+1</f>
        <v>12</v>
      </c>
      <c r="B22" s="696">
        <v>392</v>
      </c>
      <c r="C22" s="694" t="s">
        <v>820</v>
      </c>
      <c r="D22" s="695">
        <v>0</v>
      </c>
    </row>
    <row r="23" spans="1:4" ht="15.5">
      <c r="A23" s="692">
        <f>+A22+1</f>
        <v>13</v>
      </c>
      <c r="B23" s="693" t="s">
        <v>821</v>
      </c>
      <c r="C23" s="690" t="s">
        <v>822</v>
      </c>
      <c r="D23" s="695">
        <v>0</v>
      </c>
    </row>
    <row r="24" spans="1:4" ht="15.5">
      <c r="A24" s="692">
        <f>+A23+1</f>
        <v>14</v>
      </c>
      <c r="B24" s="693" t="s">
        <v>823</v>
      </c>
      <c r="C24" s="690" t="s">
        <v>824</v>
      </c>
      <c r="D24" s="695">
        <v>0</v>
      </c>
    </row>
    <row r="25" spans="1:4" ht="15.5">
      <c r="A25" s="692">
        <f>+A24+1</f>
        <v>15</v>
      </c>
      <c r="B25" s="693" t="s">
        <v>825</v>
      </c>
      <c r="C25" s="690" t="s">
        <v>826</v>
      </c>
      <c r="D25" s="695">
        <v>0</v>
      </c>
    </row>
    <row r="26" spans="1:4" ht="15.5">
      <c r="A26" s="692">
        <f>+A25+1</f>
        <v>16</v>
      </c>
      <c r="B26" s="693" t="s">
        <v>827</v>
      </c>
      <c r="C26" s="690" t="s">
        <v>828</v>
      </c>
      <c r="D26" s="695">
        <v>25</v>
      </c>
    </row>
    <row r="27" spans="1:4" ht="15.5">
      <c r="A27" s="692">
        <f>+A26+1</f>
        <v>17</v>
      </c>
      <c r="B27" s="693" t="s">
        <v>829</v>
      </c>
      <c r="C27" s="690" t="s">
        <v>830</v>
      </c>
      <c r="D27" s="695">
        <v>2.50</v>
      </c>
    </row>
    <row r="28" spans="1:4" ht="15.5">
      <c r="A28" s="692"/>
      <c r="B28" s="694"/>
      <c r="C28" s="694"/>
      <c r="D28" s="695"/>
    </row>
    <row r="29" spans="1:4" ht="15.5">
      <c r="A29" s="692"/>
      <c r="B29" s="693" t="s">
        <v>831</v>
      </c>
      <c r="C29" s="690"/>
      <c r="D29" s="695"/>
    </row>
    <row r="30" spans="1:4" ht="15.5">
      <c r="A30" s="692">
        <v>18</v>
      </c>
      <c r="B30" s="693" t="s">
        <v>832</v>
      </c>
      <c r="C30" s="690" t="s">
        <v>833</v>
      </c>
      <c r="D30" s="695">
        <v>1.85</v>
      </c>
    </row>
    <row r="31" spans="1:4" ht="15.5">
      <c r="A31" s="692">
        <f>+A30+1</f>
        <v>19</v>
      </c>
      <c r="B31" s="697">
        <v>302</v>
      </c>
      <c r="C31" s="694" t="s">
        <v>834</v>
      </c>
      <c r="D31" s="698">
        <v>1.85</v>
      </c>
    </row>
    <row r="32" spans="1:4" ht="15.5">
      <c r="A32" s="692">
        <f>+A31+1</f>
        <v>20</v>
      </c>
      <c r="B32" s="693" t="s">
        <v>835</v>
      </c>
      <c r="C32" s="690" t="s">
        <v>836</v>
      </c>
      <c r="D32" s="695"/>
    </row>
    <row r="33" spans="1:4" ht="15.5">
      <c r="A33" s="692">
        <f>+A32+1</f>
        <v>21</v>
      </c>
      <c r="B33" s="693"/>
      <c r="C33" s="690" t="s">
        <v>837</v>
      </c>
      <c r="D33" s="695">
        <f>0.2*100</f>
        <v>20</v>
      </c>
    </row>
    <row r="34" spans="1:4" ht="15.5">
      <c r="A34" s="692">
        <f>+A33+1</f>
        <v>22</v>
      </c>
      <c r="B34" s="693"/>
      <c r="C34" s="690" t="s">
        <v>838</v>
      </c>
      <c r="D34" s="695">
        <f>0.142857142857143*100</f>
        <v>14.285714285714299</v>
      </c>
    </row>
    <row r="35" spans="1:4" ht="15.5">
      <c r="A35" s="692">
        <f>+A34+1</f>
        <v>23</v>
      </c>
      <c r="B35" s="693"/>
      <c r="C35" s="690" t="s">
        <v>839</v>
      </c>
      <c r="D35" s="695">
        <v>10</v>
      </c>
    </row>
    <row r="36" spans="1:4" ht="15.5">
      <c r="A36" s="692">
        <f>+A35+1</f>
        <v>24</v>
      </c>
      <c r="B36" s="694"/>
      <c r="C36" s="699" t="s">
        <v>840</v>
      </c>
      <c r="D36" s="700" t="s">
        <v>841</v>
      </c>
    </row>
    <row r="37" spans="3:5" ht="15.5">
      <c r="C37" s="701"/>
      <c r="D37" s="701"/>
      <c r="E37" s="701"/>
    </row>
    <row r="38" spans="1:5" ht="15.5">
      <c r="A38" s="702"/>
      <c r="B38" s="689"/>
      <c r="C38" s="701"/>
      <c r="D38" s="701"/>
      <c r="E38" s="701"/>
    </row>
    <row r="39" spans="1:6" ht="18">
      <c r="A39" s="3"/>
      <c r="B39" s="703" t="s">
        <v>842</v>
      </c>
      <c r="C39" s="703"/>
      <c r="D39" s="704"/>
      <c r="E39" s="705"/>
      <c r="F39" s="705"/>
    </row>
    <row r="40" spans="1:6" ht="18">
      <c r="A40" s="3"/>
      <c r="B40" s="703" t="s">
        <v>843</v>
      </c>
      <c r="C40" s="703"/>
      <c r="D40" s="704"/>
      <c r="E40" s="705"/>
      <c r="F40" s="705"/>
    </row>
    <row r="41" spans="1:6" ht="18">
      <c r="A41" s="3"/>
      <c r="B41" s="703" t="s">
        <v>844</v>
      </c>
      <c r="C41" s="703"/>
      <c r="D41" s="704"/>
      <c r="E41" s="705"/>
      <c r="F41" s="705"/>
    </row>
    <row r="42" spans="1:6" ht="18">
      <c r="A42" s="3"/>
      <c r="B42" s="703" t="s">
        <v>845</v>
      </c>
      <c r="C42" s="703"/>
      <c r="D42" s="706"/>
      <c r="E42" s="705"/>
      <c r="F42" s="705"/>
    </row>
    <row r="43" spans="1:6" ht="18">
      <c r="A43" s="3"/>
      <c r="B43" s="703" t="s">
        <v>846</v>
      </c>
      <c r="C43" s="703"/>
      <c r="D43" s="706"/>
      <c r="E43" s="705"/>
      <c r="F43" s="705"/>
    </row>
    <row r="44" spans="1:6" ht="18">
      <c r="A44" s="3"/>
      <c r="B44" s="703" t="s">
        <v>847</v>
      </c>
      <c r="C44" s="703"/>
      <c r="D44" s="706"/>
      <c r="E44" s="705"/>
      <c r="F44" s="705"/>
    </row>
    <row r="45" spans="1:4" ht="18">
      <c r="A45" s="3"/>
      <c r="B45" s="707"/>
      <c r="C45" s="708"/>
      <c r="D45" s="709"/>
    </row>
    <row r="46" spans="1:3" ht="18">
      <c r="A46" s="3"/>
      <c r="B46" s="710" t="s">
        <v>848</v>
      </c>
      <c r="C46" s="711"/>
    </row>
    <row r="47" spans="1:3" ht="15.5">
      <c r="A47" s="712"/>
      <c r="B47" s="713"/>
      <c r="C47" s="711"/>
    </row>
    <row r="48" spans="1:3" ht="13">
      <c r="A48" s="712"/>
      <c r="B48" s="714"/>
      <c r="C48" s="715"/>
    </row>
    <row r="49" spans="1:3" ht="13">
      <c r="A49" s="712"/>
      <c r="B49" s="714"/>
      <c r="C49" s="715"/>
    </row>
    <row r="50" spans="1:3" ht="13">
      <c r="A50" s="712"/>
      <c r="B50" s="714"/>
      <c r="C50" s="715"/>
    </row>
    <row r="51" spans="1:3" ht="13">
      <c r="A51" s="712"/>
      <c r="B51" s="714"/>
      <c r="C51" s="715"/>
    </row>
    <row r="52" spans="1:3" ht="13">
      <c r="A52" s="712"/>
      <c r="B52" s="714"/>
      <c r="C52" s="715"/>
    </row>
    <row r="53" spans="1:3" ht="13">
      <c r="A53" s="712"/>
      <c r="B53" s="714"/>
      <c r="C53" s="715"/>
    </row>
    <row r="54" spans="1:2" ht="13">
      <c r="A54" s="712"/>
      <c r="B54" s="714"/>
    </row>
    <row r="55" spans="1:2" ht="13">
      <c r="A55" s="716"/>
      <c r="B55" s="714"/>
    </row>
    <row r="56" spans="1:2" ht="13">
      <c r="A56" s="716"/>
      <c r="B56" s="714"/>
    </row>
    <row r="57" spans="1:1" ht="13">
      <c r="A57" s="716"/>
    </row>
    <row r="58" spans="1:1" ht="13">
      <c r="A58" s="716"/>
    </row>
    <row r="59" spans="1:1" ht="13">
      <c r="A59" s="716"/>
    </row>
    <row r="60" spans="1:1" ht="13">
      <c r="A60" s="716"/>
    </row>
    <row r="61" spans="1:1" ht="13">
      <c r="A61" s="716"/>
    </row>
    <row r="62" spans="1:1" ht="13">
      <c r="A62" s="716"/>
    </row>
    <row r="63" spans="1:1" ht="13">
      <c r="A63" s="716"/>
    </row>
    <row r="64" spans="1:1" ht="13">
      <c r="A64" s="716"/>
    </row>
    <row r="65" spans="1:1" ht="13">
      <c r="A65" s="716"/>
    </row>
    <row r="66" spans="1:1" ht="13">
      <c r="A66" s="716"/>
    </row>
    <row r="67" spans="1:1" ht="24" customHeight="1">
      <c r="A67" s="716"/>
    </row>
    <row r="68" spans="1:1" ht="13">
      <c r="A68" s="716"/>
    </row>
    <row r="69" spans="1:1" ht="13">
      <c r="A69" s="716"/>
    </row>
    <row r="70" spans="1:1" ht="13">
      <c r="A70" s="716"/>
    </row>
    <row r="71" spans="1:1" ht="13">
      <c r="A71" s="716"/>
    </row>
    <row r="72" spans="1:1" ht="13">
      <c r="A72" s="716"/>
    </row>
    <row r="73" spans="1:1" ht="13">
      <c r="A73" s="716"/>
    </row>
    <row r="74" spans="1:1" ht="13">
      <c r="A74" s="716"/>
    </row>
    <row r="75" spans="1:1" ht="13">
      <c r="A75" s="716"/>
    </row>
    <row r="76" spans="1:1" ht="13">
      <c r="A76" s="716"/>
    </row>
    <row r="77" spans="1:1" ht="13">
      <c r="A77" s="716"/>
    </row>
  </sheetData>
  <mergeCells count="3">
    <mergeCell ref="A2:D2"/>
    <mergeCell ref="A3:D3"/>
    <mergeCell ref="A4:D4"/>
  </mergeCells>
  <pageMargins left="0.25" right="0.25" top="0.75" bottom="0.75" header="0.3" footer="0.3"/>
  <pageSetup orientation="landscape" scale="49"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U109"/>
  <sheetViews>
    <sheetView zoomScale="85" zoomScaleNormal="85" zoomScaleSheetLayoutView="80" workbookViewId="0" topLeftCell="A1"/>
  </sheetViews>
  <sheetFormatPr defaultColWidth="8.76555555555556" defaultRowHeight="13.5"/>
  <cols>
    <col min="1" max="1" width="6" style="215" customWidth="1"/>
    <col min="2" max="2" width="1.44444444444444" style="215" customWidth="1"/>
    <col min="3" max="3" width="36" style="215" customWidth="1"/>
    <col min="4" max="4" width="13.7777777777778" style="215" customWidth="1"/>
    <col min="5" max="5" width="17.5555555555556" style="215" customWidth="1"/>
    <col min="6" max="6" width="13.1111111111111" style="215" customWidth="1"/>
    <col min="7" max="7" width="14.4444444444444" style="215" customWidth="1"/>
    <col min="8" max="8" width="16.2222222222222" style="215" customWidth="1"/>
    <col min="9" max="9" width="13.7777777777778" style="215" customWidth="1"/>
    <col min="10" max="10" width="14.4444444444444" style="215" customWidth="1"/>
    <col min="11" max="11" width="13.5555555555556" style="215" customWidth="1"/>
    <col min="12" max="13" width="15.7777777777778" style="215" customWidth="1"/>
    <col min="14" max="15" width="14.4444444444444" style="215" customWidth="1"/>
    <col min="16" max="16" width="12.7777777777778" style="215" customWidth="1"/>
    <col min="17" max="17" width="13.7777777777778" style="215" customWidth="1"/>
    <col min="18" max="18" width="9.22222222222222" style="215" customWidth="1"/>
    <col min="19" max="19" width="13" style="215" customWidth="1"/>
    <col min="20" max="20" width="11.2222222222222" style="85" bestFit="1" customWidth="1"/>
    <col min="21" max="21" width="8.77777777777778" style="215"/>
    <col min="22" max="16384" width="8.77777777777778" style="215"/>
  </cols>
  <sheetData>
    <row r="1" spans="17:17" ht="13">
      <c r="Q1" s="216"/>
    </row>
    <row r="2" spans="17:17" ht="13">
      <c r="Q2" s="216"/>
    </row>
    <row r="3" ht="13"/>
    <row r="4" spans="17:17" ht="13">
      <c r="Q4" s="216"/>
    </row>
    <row r="5" spans="4:21" ht="13">
      <c r="D5" s="217"/>
      <c r="E5" s="217"/>
      <c r="F5" s="217"/>
      <c r="G5" s="218" t="s">
        <v>338</v>
      </c>
      <c r="H5" s="217"/>
      <c r="I5" s="217"/>
      <c r="J5" s="217"/>
      <c r="K5" s="219"/>
      <c r="L5" s="220"/>
      <c r="M5" s="221"/>
      <c r="N5" s="221"/>
      <c r="O5" s="221"/>
      <c r="P5" s="221"/>
      <c r="Q5" s="221"/>
      <c r="R5" s="222"/>
      <c r="S5" s="222" t="s">
        <v>339</v>
      </c>
      <c r="T5" s="223"/>
      <c r="U5" s="222"/>
    </row>
    <row r="6" spans="4:21" ht="13">
      <c r="D6" s="217"/>
      <c r="E6" s="224" t="s">
        <v>11</v>
      </c>
      <c r="F6" s="224"/>
      <c r="G6" s="218" t="s">
        <v>340</v>
      </c>
      <c r="H6" s="224"/>
      <c r="I6" s="224"/>
      <c r="J6" s="224"/>
      <c r="K6" s="219"/>
      <c r="P6" s="222"/>
      <c r="Q6" s="219"/>
      <c r="R6" s="222"/>
      <c r="S6" s="225"/>
      <c r="T6" s="223"/>
      <c r="U6" s="222"/>
    </row>
    <row r="7" spans="3:21" ht="13">
      <c r="C7" s="222"/>
      <c r="D7" s="222"/>
      <c r="E7" s="222"/>
      <c r="F7" s="222"/>
      <c r="G7" s="72" t="str">
        <f>'Attachment H'!$D$5</f>
        <v>NextEra Energy Transmission MidAtlantic Indiana, Inc.</v>
      </c>
      <c r="H7" s="222"/>
      <c r="I7" s="222"/>
      <c r="J7" s="222"/>
      <c r="K7" s="222"/>
      <c r="P7" s="222"/>
      <c r="Q7" s="222"/>
      <c r="R7" s="222"/>
      <c r="S7" s="226"/>
      <c r="T7" s="223"/>
      <c r="U7" s="222"/>
    </row>
    <row r="8" spans="1:21" ht="13">
      <c r="A8" s="218"/>
      <c r="C8" s="222"/>
      <c r="D8" s="222"/>
      <c r="E8" s="222"/>
      <c r="F8" s="222"/>
      <c r="H8" s="222"/>
      <c r="I8" s="222"/>
      <c r="J8" s="222"/>
      <c r="K8" s="222"/>
      <c r="L8" s="222"/>
      <c r="M8" s="222"/>
      <c r="N8" s="222"/>
      <c r="O8" s="222"/>
      <c r="P8" s="222"/>
      <c r="Q8" s="222"/>
      <c r="R8" s="222"/>
      <c r="S8" s="226"/>
      <c r="T8" s="223"/>
      <c r="U8" s="222"/>
    </row>
    <row r="9" spans="1:21" ht="13">
      <c r="A9" s="218"/>
      <c r="C9" s="222"/>
      <c r="D9" s="222"/>
      <c r="E9" s="222"/>
      <c r="F9" s="222"/>
      <c r="G9" s="227"/>
      <c r="H9" s="222"/>
      <c r="I9" s="222"/>
      <c r="J9" s="222"/>
      <c r="K9" s="222"/>
      <c r="L9" s="222"/>
      <c r="M9" s="222"/>
      <c r="N9" s="222"/>
      <c r="O9" s="222"/>
      <c r="P9" s="222"/>
      <c r="Q9" s="222"/>
      <c r="R9" s="222"/>
      <c r="S9" s="226"/>
      <c r="T9" s="223"/>
      <c r="U9" s="222"/>
    </row>
    <row r="10" spans="1:21" ht="13">
      <c r="A10" s="218"/>
      <c r="C10" s="222" t="s">
        <v>341</v>
      </c>
      <c r="D10" s="222"/>
      <c r="E10" s="222"/>
      <c r="F10" s="222"/>
      <c r="G10" s="227"/>
      <c r="H10" s="222"/>
      <c r="I10" s="222"/>
      <c r="J10" s="222"/>
      <c r="K10" s="222"/>
      <c r="L10" s="222"/>
      <c r="M10" s="222"/>
      <c r="N10" s="222"/>
      <c r="O10" s="222"/>
      <c r="P10" s="222"/>
      <c r="Q10" s="222"/>
      <c r="R10" s="222"/>
      <c r="S10" s="226"/>
      <c r="T10" s="223"/>
      <c r="U10" s="222"/>
    </row>
    <row r="11" spans="1:21" ht="13">
      <c r="A11" s="218"/>
      <c r="C11" s="222"/>
      <c r="D11" s="222"/>
      <c r="E11" s="222"/>
      <c r="F11" s="222"/>
      <c r="G11" s="227"/>
      <c r="L11" s="222"/>
      <c r="M11" s="222"/>
      <c r="N11" s="222"/>
      <c r="O11" s="222"/>
      <c r="P11" s="222"/>
      <c r="Q11" s="222"/>
      <c r="R11" s="222"/>
      <c r="S11" s="222"/>
      <c r="T11" s="228"/>
      <c r="U11" s="222"/>
    </row>
    <row r="12" spans="1:21" ht="13">
      <c r="A12" s="218"/>
      <c r="C12" s="222"/>
      <c r="D12" s="222"/>
      <c r="E12" s="222"/>
      <c r="F12" s="222"/>
      <c r="G12" s="222"/>
      <c r="L12" s="229"/>
      <c r="M12" s="229"/>
      <c r="N12" s="229"/>
      <c r="O12" s="229"/>
      <c r="P12" s="222"/>
      <c r="Q12" s="222"/>
      <c r="R12" s="222"/>
      <c r="S12" s="222"/>
      <c r="T12" s="228"/>
      <c r="U12" s="222"/>
    </row>
    <row r="13" spans="3:21" ht="13">
      <c r="C13" s="230" t="s">
        <v>8</v>
      </c>
      <c r="D13" s="230"/>
      <c r="E13" s="230" t="s">
        <v>9</v>
      </c>
      <c r="F13" s="230"/>
      <c r="I13" s="230" t="s">
        <v>10</v>
      </c>
      <c r="L13" s="231" t="s">
        <v>12</v>
      </c>
      <c r="M13" s="231"/>
      <c r="N13" s="231"/>
      <c r="O13" s="231"/>
      <c r="P13" s="224"/>
      <c r="Q13" s="231"/>
      <c r="R13" s="224"/>
      <c r="S13" s="231"/>
      <c r="U13" s="232"/>
    </row>
    <row r="14" spans="3:21" ht="13">
      <c r="C14" s="232"/>
      <c r="D14" s="232"/>
      <c r="E14" s="233" t="s">
        <v>1</v>
      </c>
      <c r="F14" s="233"/>
      <c r="I14" s="224"/>
      <c r="P14" s="224"/>
      <c r="R14" s="224"/>
      <c r="S14" s="230"/>
      <c r="T14" s="234"/>
      <c r="U14" s="232"/>
    </row>
    <row r="15" spans="1:21" ht="13">
      <c r="A15" s="218" t="s">
        <v>14</v>
      </c>
      <c r="C15" s="232"/>
      <c r="D15" s="232"/>
      <c r="E15" s="235" t="s">
        <v>342</v>
      </c>
      <c r="F15" s="235"/>
      <c r="I15" s="236" t="s">
        <v>41</v>
      </c>
      <c r="L15" s="236" t="s">
        <v>23</v>
      </c>
      <c r="M15" s="236"/>
      <c r="N15" s="236"/>
      <c r="O15" s="236"/>
      <c r="P15" s="224"/>
      <c r="R15" s="222"/>
      <c r="S15" s="237"/>
      <c r="T15" s="234"/>
      <c r="U15" s="232"/>
    </row>
    <row r="16" spans="1:21" ht="13">
      <c r="A16" s="218" t="s">
        <v>16</v>
      </c>
      <c r="C16" s="238"/>
      <c r="D16" s="238"/>
      <c r="E16" s="224"/>
      <c r="F16" s="224"/>
      <c r="I16" s="224"/>
      <c r="L16" s="224"/>
      <c r="M16" s="224"/>
      <c r="N16" s="224"/>
      <c r="O16" s="224"/>
      <c r="P16" s="224"/>
      <c r="Q16" s="224"/>
      <c r="R16" s="222"/>
      <c r="S16" s="224"/>
      <c r="U16" s="232"/>
    </row>
    <row r="17" spans="1:21" ht="13">
      <c r="A17" s="239"/>
      <c r="C17" s="232"/>
      <c r="D17" s="232"/>
      <c r="E17" s="224"/>
      <c r="F17" s="224"/>
      <c r="I17" s="224"/>
      <c r="L17" s="224"/>
      <c r="M17" s="224"/>
      <c r="N17" s="224"/>
      <c r="O17" s="224"/>
      <c r="P17" s="224"/>
      <c r="Q17" s="224"/>
      <c r="R17" s="222"/>
      <c r="S17" s="224"/>
      <c r="U17" s="232"/>
    </row>
    <row r="18" spans="1:21" ht="13">
      <c r="A18" s="240">
        <v>1</v>
      </c>
      <c r="C18" s="232" t="s">
        <v>343</v>
      </c>
      <c r="D18" s="232"/>
      <c r="E18" s="241" t="s">
        <v>344</v>
      </c>
      <c r="F18" s="240"/>
      <c r="I18" s="85">
        <f>+'Attachment H'!I64</f>
        <v>382487.92</v>
      </c>
      <c r="P18" s="224"/>
      <c r="Q18" s="224"/>
      <c r="R18" s="222"/>
      <c r="S18" s="224"/>
      <c r="U18" s="232"/>
    </row>
    <row r="19" spans="1:21" ht="13">
      <c r="A19" s="240">
        <v>2</v>
      </c>
      <c r="C19" s="232" t="s">
        <v>345</v>
      </c>
      <c r="D19" s="232"/>
      <c r="E19" s="241" t="s">
        <v>346</v>
      </c>
      <c r="F19" s="240"/>
      <c r="I19" s="85">
        <f>+'Attachment H'!I80+'Attachment H'!I93+'Attachment H'!I95</f>
        <v>22589.764100256434</v>
      </c>
      <c r="P19" s="224"/>
      <c r="Q19" s="224"/>
      <c r="R19" s="222"/>
      <c r="S19" s="224"/>
      <c r="U19" s="232"/>
    </row>
    <row r="20" spans="1:21" ht="13">
      <c r="A20" s="240"/>
      <c r="E20" s="241"/>
      <c r="F20" s="240"/>
      <c r="P20" s="224"/>
      <c r="Q20" s="224"/>
      <c r="R20" s="222"/>
      <c r="S20" s="224"/>
      <c r="U20" s="232"/>
    </row>
    <row r="21" spans="1:21" ht="13">
      <c r="A21" s="240"/>
      <c r="C21" s="232" t="s">
        <v>347</v>
      </c>
      <c r="D21" s="232"/>
      <c r="E21" s="241"/>
      <c r="F21" s="240"/>
      <c r="I21" s="224"/>
      <c r="L21" s="224"/>
      <c r="M21" s="224"/>
      <c r="N21" s="224"/>
      <c r="O21" s="224"/>
      <c r="P21" s="224"/>
      <c r="Q21" s="224"/>
      <c r="R21" s="224"/>
      <c r="S21" s="224"/>
      <c r="U21" s="232"/>
    </row>
    <row r="22" spans="1:21" ht="13">
      <c r="A22" s="240">
        <v>3</v>
      </c>
      <c r="C22" s="232" t="s">
        <v>348</v>
      </c>
      <c r="D22" s="232"/>
      <c r="E22" s="241" t="s">
        <v>349</v>
      </c>
      <c r="F22" s="240"/>
      <c r="I22" s="242">
        <f>+'Attachment H'!I134</f>
        <v>114368.49708</v>
      </c>
      <c r="P22" s="224"/>
      <c r="Q22" s="224"/>
      <c r="R22" s="224"/>
      <c r="S22" s="224"/>
      <c r="U22" s="232"/>
    </row>
    <row r="23" spans="1:21" ht="13">
      <c r="A23" s="240">
        <v>4</v>
      </c>
      <c r="C23" s="232" t="s">
        <v>350</v>
      </c>
      <c r="D23" s="232"/>
      <c r="E23" s="241" t="s">
        <v>351</v>
      </c>
      <c r="F23" s="240"/>
      <c r="I23" s="243">
        <f>IF(I18=0,0,I22/I18)</f>
        <v>0.2990120500537638</v>
      </c>
      <c r="L23" s="244">
        <f>I23</f>
        <v>0.2990120500537638</v>
      </c>
      <c r="M23" s="245"/>
      <c r="N23" s="245"/>
      <c r="O23" s="245"/>
      <c r="P23" s="224"/>
      <c r="Q23" s="246"/>
      <c r="R23" s="247"/>
      <c r="S23" s="248"/>
      <c r="U23" s="232"/>
    </row>
    <row r="24" spans="1:21" ht="13">
      <c r="A24" s="240"/>
      <c r="C24" s="232"/>
      <c r="D24" s="232"/>
      <c r="E24" s="241"/>
      <c r="F24" s="240"/>
      <c r="I24" s="249"/>
      <c r="L24" s="245"/>
      <c r="M24" s="245"/>
      <c r="N24" s="245"/>
      <c r="O24" s="245"/>
      <c r="P24" s="224"/>
      <c r="Q24" s="246"/>
      <c r="R24" s="247"/>
      <c r="S24" s="248"/>
      <c r="U24" s="232"/>
    </row>
    <row r="25" spans="1:21" ht="13">
      <c r="A25" s="231"/>
      <c r="C25" s="232" t="s">
        <v>352</v>
      </c>
      <c r="D25" s="232"/>
      <c r="E25" s="250"/>
      <c r="F25" s="251"/>
      <c r="I25" s="224"/>
      <c r="L25" s="224"/>
      <c r="M25" s="224"/>
      <c r="N25" s="224"/>
      <c r="O25" s="224"/>
      <c r="P25" s="224"/>
      <c r="Q25" s="246"/>
      <c r="R25" s="247"/>
      <c r="S25" s="248"/>
      <c r="U25" s="232"/>
    </row>
    <row r="26" spans="1:21" ht="13">
      <c r="A26" s="231" t="s">
        <v>353</v>
      </c>
      <c r="C26" s="232" t="s">
        <v>354</v>
      </c>
      <c r="D26" s="232"/>
      <c r="E26" s="241" t="s">
        <v>355</v>
      </c>
      <c r="F26" s="240"/>
      <c r="I26" s="242">
        <f>+'Attachment H'!I138+'Attachment H'!I139</f>
        <v>0</v>
      </c>
      <c r="P26" s="224"/>
      <c r="Q26" s="246"/>
      <c r="R26" s="247"/>
      <c r="S26" s="248"/>
      <c r="U26" s="232"/>
    </row>
    <row r="27" spans="1:21" ht="13">
      <c r="A27" s="231" t="s">
        <v>356</v>
      </c>
      <c r="C27" s="232" t="s">
        <v>357</v>
      </c>
      <c r="D27" s="232"/>
      <c r="E27" s="241" t="s">
        <v>358</v>
      </c>
      <c r="F27" s="240"/>
      <c r="I27" s="252">
        <f>IF(I26=0,0,I26/I18)</f>
        <v>0</v>
      </c>
      <c r="J27" s="252"/>
      <c r="K27" s="252"/>
      <c r="L27" s="253">
        <f>I27</f>
        <v>0</v>
      </c>
      <c r="M27" s="245"/>
      <c r="N27" s="245"/>
      <c r="O27" s="245"/>
      <c r="P27" s="224"/>
      <c r="Q27" s="246"/>
      <c r="R27" s="247"/>
      <c r="S27" s="248"/>
      <c r="U27" s="232"/>
    </row>
    <row r="28" spans="1:21" ht="13">
      <c r="A28" s="240"/>
      <c r="C28" s="232"/>
      <c r="D28" s="232"/>
      <c r="E28" s="241"/>
      <c r="F28" s="240"/>
      <c r="I28" s="252"/>
      <c r="J28" s="252"/>
      <c r="K28" s="252"/>
      <c r="L28" s="253"/>
      <c r="M28" s="245"/>
      <c r="N28" s="245"/>
      <c r="O28" s="245"/>
      <c r="P28" s="224"/>
      <c r="Q28" s="246"/>
      <c r="R28" s="247"/>
      <c r="S28" s="248"/>
      <c r="U28" s="232"/>
    </row>
    <row r="29" spans="1:21" ht="13">
      <c r="A29" s="231"/>
      <c r="C29" s="232" t="s">
        <v>359</v>
      </c>
      <c r="D29" s="232"/>
      <c r="E29" s="250"/>
      <c r="F29" s="251"/>
      <c r="I29" s="252"/>
      <c r="J29" s="252"/>
      <c r="K29" s="252"/>
      <c r="L29" s="252"/>
      <c r="M29" s="224"/>
      <c r="N29" s="224"/>
      <c r="O29" s="224"/>
      <c r="P29" s="224"/>
      <c r="Q29" s="224"/>
      <c r="R29" s="224"/>
      <c r="S29" s="224"/>
      <c r="U29" s="232"/>
    </row>
    <row r="30" spans="1:21" ht="13">
      <c r="A30" s="231" t="s">
        <v>360</v>
      </c>
      <c r="C30" s="232" t="s">
        <v>361</v>
      </c>
      <c r="D30" s="232"/>
      <c r="E30" s="241" t="s">
        <v>362</v>
      </c>
      <c r="F30" s="240"/>
      <c r="I30" s="252">
        <f>+'Attachment H'!I152</f>
        <v>681.02763805852931</v>
      </c>
      <c r="J30" s="252"/>
      <c r="K30" s="252"/>
      <c r="L30" s="252"/>
      <c r="P30" s="224"/>
      <c r="Q30" s="237"/>
      <c r="R30" s="224"/>
      <c r="S30" s="240"/>
      <c r="T30" s="234"/>
      <c r="U30" s="232"/>
    </row>
    <row r="31" spans="1:21" ht="13">
      <c r="A31" s="231" t="s">
        <v>363</v>
      </c>
      <c r="C31" s="232" t="s">
        <v>364</v>
      </c>
      <c r="D31" s="232"/>
      <c r="E31" s="241" t="s">
        <v>365</v>
      </c>
      <c r="F31" s="240"/>
      <c r="I31" s="252">
        <f>IF(I30=0,0,I30/I18)</f>
        <v>0.0017805206450926068</v>
      </c>
      <c r="J31" s="252"/>
      <c r="K31" s="252"/>
      <c r="L31" s="253">
        <f>I31</f>
        <v>0.0017805206450926068</v>
      </c>
      <c r="M31" s="245"/>
      <c r="N31" s="245"/>
      <c r="O31" s="245"/>
      <c r="P31" s="224"/>
      <c r="Q31" s="246"/>
      <c r="R31" s="224"/>
      <c r="S31" s="248"/>
      <c r="T31" s="234"/>
      <c r="U31" s="232"/>
    </row>
    <row r="32" spans="1:21" ht="13">
      <c r="A32" s="231"/>
      <c r="C32" s="232"/>
      <c r="D32" s="232"/>
      <c r="E32" s="241"/>
      <c r="F32" s="240"/>
      <c r="I32" s="224"/>
      <c r="L32" s="224"/>
      <c r="M32" s="224"/>
      <c r="N32" s="224"/>
      <c r="O32" s="224"/>
      <c r="P32" s="224"/>
      <c r="U32" s="232"/>
    </row>
    <row r="33" spans="1:21" ht="13">
      <c r="A33" s="231" t="s">
        <v>366</v>
      </c>
      <c r="C33" s="232" t="s">
        <v>367</v>
      </c>
      <c r="D33" s="232"/>
      <c r="E33" s="241" t="s">
        <v>368</v>
      </c>
      <c r="F33" s="240"/>
      <c r="I33" s="85">
        <f>-'Attachment H'!I19</f>
        <v>0</v>
      </c>
      <c r="L33" s="224"/>
      <c r="M33" s="224"/>
      <c r="N33" s="224"/>
      <c r="O33" s="224"/>
      <c r="P33" s="224"/>
      <c r="U33" s="232"/>
    </row>
    <row r="34" spans="1:21" ht="13">
      <c r="A34" s="231" t="s">
        <v>369</v>
      </c>
      <c r="C34" s="232" t="s">
        <v>370</v>
      </c>
      <c r="D34" s="232"/>
      <c r="E34" s="241" t="s">
        <v>371</v>
      </c>
      <c r="F34" s="240"/>
      <c r="I34" s="254">
        <f>IF(L18=0,0,I33/I18)</f>
        <v>0</v>
      </c>
      <c r="L34" s="252">
        <f>+I34</f>
        <v>0</v>
      </c>
      <c r="M34" s="224"/>
      <c r="N34" s="224"/>
      <c r="O34" s="224"/>
      <c r="P34" s="224"/>
      <c r="U34" s="232"/>
    </row>
    <row r="35" spans="1:21" ht="13">
      <c r="A35" s="231"/>
      <c r="C35" s="232"/>
      <c r="D35" s="232"/>
      <c r="E35" s="241"/>
      <c r="F35" s="240"/>
      <c r="I35" s="224"/>
      <c r="L35" s="224"/>
      <c r="M35" s="224"/>
      <c r="N35" s="224"/>
      <c r="O35" s="224"/>
      <c r="P35" s="224"/>
      <c r="U35" s="232"/>
    </row>
    <row r="36" spans="1:21" ht="13">
      <c r="A36" s="255" t="s">
        <v>372</v>
      </c>
      <c r="B36" s="256"/>
      <c r="C36" s="238" t="s">
        <v>373</v>
      </c>
      <c r="D36" s="238"/>
      <c r="E36" s="257" t="s">
        <v>374</v>
      </c>
      <c r="F36" s="233"/>
      <c r="I36" s="247"/>
      <c r="L36" s="258">
        <f>L23+L27+L31+L34</f>
        <v>0.3007925706988564</v>
      </c>
      <c r="M36" s="259"/>
      <c r="N36" s="259"/>
      <c r="O36" s="259"/>
      <c r="P36" s="224"/>
      <c r="U36" s="232"/>
    </row>
    <row r="37" spans="1:21" ht="13">
      <c r="A37" s="231"/>
      <c r="C37" s="232"/>
      <c r="D37" s="232"/>
      <c r="E37" s="241"/>
      <c r="F37" s="240"/>
      <c r="I37" s="224"/>
      <c r="L37" s="224"/>
      <c r="M37" s="224"/>
      <c r="N37" s="224"/>
      <c r="O37" s="224"/>
      <c r="P37" s="224"/>
      <c r="Q37" s="224"/>
      <c r="R37" s="224"/>
      <c r="S37" s="260"/>
      <c r="U37" s="232"/>
    </row>
    <row r="38" spans="1:21" ht="13">
      <c r="A38" s="231"/>
      <c r="B38" s="261"/>
      <c r="C38" s="224" t="s">
        <v>375</v>
      </c>
      <c r="D38" s="224"/>
      <c r="E38" s="241"/>
      <c r="F38" s="240"/>
      <c r="I38" s="224"/>
      <c r="L38" s="224"/>
      <c r="M38" s="224"/>
      <c r="N38" s="224"/>
      <c r="O38" s="224"/>
      <c r="P38" s="262"/>
      <c r="Q38" s="261"/>
      <c r="T38" s="234"/>
      <c r="U38" s="224" t="s">
        <v>11</v>
      </c>
    </row>
    <row r="39" spans="1:21" ht="13">
      <c r="A39" s="231" t="s">
        <v>376</v>
      </c>
      <c r="B39" s="261"/>
      <c r="C39" s="224" t="s">
        <v>377</v>
      </c>
      <c r="D39" s="224"/>
      <c r="E39" s="241" t="s">
        <v>378</v>
      </c>
      <c r="F39" s="240"/>
      <c r="I39" s="85">
        <f>+'Attachment H'!I167</f>
        <v>751.46972694522947</v>
      </c>
      <c r="L39" s="224"/>
      <c r="M39" s="224"/>
      <c r="N39" s="224"/>
      <c r="O39" s="224"/>
      <c r="P39" s="262"/>
      <c r="Q39" s="261"/>
      <c r="T39" s="234"/>
      <c r="U39" s="224"/>
    </row>
    <row r="40" spans="1:21" ht="13">
      <c r="A40" s="231" t="s">
        <v>379</v>
      </c>
      <c r="B40" s="261"/>
      <c r="C40" s="224" t="s">
        <v>380</v>
      </c>
      <c r="D40" s="224"/>
      <c r="E40" s="241" t="s">
        <v>381</v>
      </c>
      <c r="F40" s="240"/>
      <c r="I40" s="252">
        <f>IF(I19=0,0,I39/I19)</f>
        <v>0.033265939547226127</v>
      </c>
      <c r="L40" s="253">
        <f>I40</f>
        <v>0.033265939547226127</v>
      </c>
      <c r="M40" s="245"/>
      <c r="N40" s="245"/>
      <c r="O40" s="245"/>
      <c r="P40" s="262"/>
      <c r="Q40" s="261"/>
      <c r="R40" s="224"/>
      <c r="S40" s="224"/>
      <c r="T40" s="234"/>
      <c r="U40" s="224"/>
    </row>
    <row r="41" spans="1:21" ht="13">
      <c r="A41" s="231"/>
      <c r="C41" s="224"/>
      <c r="D41" s="224"/>
      <c r="E41" s="241"/>
      <c r="F41" s="240"/>
      <c r="I41" s="224"/>
      <c r="L41" s="224"/>
      <c r="M41" s="224"/>
      <c r="N41" s="224"/>
      <c r="O41" s="224"/>
      <c r="P41" s="224"/>
      <c r="R41" s="222"/>
      <c r="S41" s="224"/>
      <c r="T41" s="228"/>
      <c r="U41" s="232"/>
    </row>
    <row r="42" spans="1:21" ht="13">
      <c r="A42" s="231"/>
      <c r="C42" s="232" t="s">
        <v>199</v>
      </c>
      <c r="D42" s="232"/>
      <c r="E42" s="263"/>
      <c r="F42" s="264"/>
      <c r="P42" s="224"/>
      <c r="R42" s="224"/>
      <c r="S42" s="224"/>
      <c r="U42" s="232"/>
    </row>
    <row r="43" spans="1:21" ht="13">
      <c r="A43" s="231" t="s">
        <v>382</v>
      </c>
      <c r="C43" s="232" t="s">
        <v>383</v>
      </c>
      <c r="D43" s="232"/>
      <c r="E43" s="241" t="s">
        <v>384</v>
      </c>
      <c r="F43" s="240"/>
      <c r="I43" s="85">
        <f>+'Attachment H'!I170</f>
        <v>2788.9601433029206</v>
      </c>
      <c r="L43" s="224"/>
      <c r="M43" s="224"/>
      <c r="N43" s="224"/>
      <c r="O43" s="224"/>
      <c r="P43" s="224"/>
      <c r="R43" s="224"/>
      <c r="S43" s="224"/>
      <c r="U43" s="232"/>
    </row>
    <row r="44" spans="1:21" ht="13">
      <c r="A44" s="231" t="s">
        <v>385</v>
      </c>
      <c r="B44" s="261"/>
      <c r="C44" s="224" t="s">
        <v>386</v>
      </c>
      <c r="D44" s="224"/>
      <c r="E44" s="241" t="s">
        <v>387</v>
      </c>
      <c r="F44" s="240"/>
      <c r="I44" s="252">
        <f>IF(I19=0,0,I43/I19)</f>
        <v>0.12346123363330125</v>
      </c>
      <c r="L44" s="253">
        <f>I44</f>
        <v>0.12346123363330125</v>
      </c>
      <c r="M44" s="245"/>
      <c r="N44" s="245"/>
      <c r="O44" s="245"/>
      <c r="P44" s="224"/>
      <c r="S44" s="265"/>
      <c r="T44" s="234"/>
      <c r="U44" s="224"/>
    </row>
    <row r="45" spans="1:21" ht="13">
      <c r="A45" s="231"/>
      <c r="C45" s="232"/>
      <c r="D45" s="232"/>
      <c r="E45" s="241"/>
      <c r="F45" s="240"/>
      <c r="I45" s="224"/>
      <c r="L45" s="224"/>
      <c r="M45" s="224"/>
      <c r="N45" s="224"/>
      <c r="O45" s="224"/>
      <c r="P45" s="224"/>
      <c r="Q45" s="264"/>
      <c r="R45" s="224"/>
      <c r="S45" s="224"/>
      <c r="U45" s="232"/>
    </row>
    <row r="46" spans="1:21" ht="13">
      <c r="A46" s="255" t="s">
        <v>388</v>
      </c>
      <c r="B46" s="256"/>
      <c r="C46" s="238" t="s">
        <v>389</v>
      </c>
      <c r="D46" s="238"/>
      <c r="E46" s="257" t="s">
        <v>390</v>
      </c>
      <c r="F46" s="233"/>
      <c r="I46" s="252">
        <f>+I44+I40</f>
        <v>0.15672717318052737</v>
      </c>
      <c r="L46" s="266">
        <f>L40+L44</f>
        <v>0.15672717318052737</v>
      </c>
      <c r="M46" s="259"/>
      <c r="N46" s="259"/>
      <c r="O46" s="259"/>
      <c r="P46" s="224"/>
      <c r="Q46" s="264"/>
      <c r="R46" s="224"/>
      <c r="S46" s="224"/>
      <c r="U46" s="232"/>
    </row>
    <row r="47" spans="16:21" ht="13">
      <c r="P47" s="267"/>
      <c r="Q47" s="267"/>
      <c r="R47" s="224"/>
      <c r="S47" s="224"/>
      <c r="U47" s="232"/>
    </row>
    <row r="48" spans="16:21" ht="13">
      <c r="P48" s="267"/>
      <c r="Q48" s="267"/>
      <c r="R48" s="224"/>
      <c r="S48" s="224"/>
      <c r="U48" s="232"/>
    </row>
    <row r="49" spans="1:21" ht="13">
      <c r="A49" s="268"/>
      <c r="C49" s="231"/>
      <c r="D49" s="231"/>
      <c r="E49" s="251"/>
      <c r="F49" s="251"/>
      <c r="G49" s="224"/>
      <c r="J49" s="249"/>
      <c r="P49" s="224"/>
      <c r="Q49" s="246"/>
      <c r="R49" s="269"/>
      <c r="S49" s="224"/>
      <c r="T49" s="234"/>
      <c r="U49" s="224"/>
    </row>
    <row r="50" spans="1:21" ht="13">
      <c r="A50" s="218"/>
      <c r="G50" s="224"/>
      <c r="P50" s="224"/>
      <c r="Q50" s="224"/>
      <c r="R50" s="224"/>
      <c r="S50" s="224"/>
      <c r="T50" s="234"/>
      <c r="U50" s="224" t="s">
        <v>11</v>
      </c>
    </row>
    <row r="51" spans="17:17" ht="13">
      <c r="Q51" s="216"/>
    </row>
    <row r="52" spans="17:17" ht="13">
      <c r="Q52" s="216"/>
    </row>
    <row r="53" ht="13"/>
    <row r="54" spans="1:21" ht="13">
      <c r="A54" s="218"/>
      <c r="G54" s="224"/>
      <c r="P54" s="224"/>
      <c r="Q54" s="216"/>
      <c r="R54" s="224"/>
      <c r="S54" s="222"/>
      <c r="U54" s="232"/>
    </row>
    <row r="55" spans="1:21" ht="13">
      <c r="A55" s="218"/>
      <c r="C55" s="232"/>
      <c r="D55" s="232"/>
      <c r="G55" s="251" t="str">
        <f>+G5</f>
        <v>Attachment 1</v>
      </c>
      <c r="H55" s="251"/>
      <c r="P55" s="224"/>
      <c r="Q55" s="216"/>
      <c r="R55" s="224"/>
      <c r="S55" s="215" t="s">
        <v>391</v>
      </c>
      <c r="U55" s="232"/>
    </row>
    <row r="56" spans="1:21" ht="13">
      <c r="A56" s="218"/>
      <c r="C56" s="232"/>
      <c r="D56" s="232"/>
      <c r="G56" s="251" t="str">
        <f>+G6</f>
        <v>Project Revenue Requirement Worksheet</v>
      </c>
      <c r="H56" s="251"/>
      <c r="L56" s="224"/>
      <c r="M56" s="224"/>
      <c r="N56" s="224"/>
      <c r="O56" s="224"/>
      <c r="P56" s="224"/>
      <c r="R56" s="224"/>
      <c r="S56" s="222"/>
      <c r="U56" s="232"/>
    </row>
    <row r="57" spans="1:21" ht="14.25" customHeight="1">
      <c r="A57" s="218"/>
      <c r="G57" s="72" t="str">
        <f>'Attachment H'!$D$5</f>
        <v>NextEra Energy Transmission MidAtlantic Indiana, Inc.</v>
      </c>
      <c r="P57" s="224"/>
      <c r="R57" s="224"/>
      <c r="S57" s="222"/>
      <c r="U57" s="232"/>
    </row>
    <row r="58" spans="1:21" ht="13">
      <c r="A58" s="218"/>
      <c r="H58" s="251"/>
      <c r="P58" s="224"/>
      <c r="Q58" s="224"/>
      <c r="R58" s="224"/>
      <c r="S58" s="222"/>
      <c r="U58" s="232"/>
    </row>
    <row r="59" spans="1:21" ht="13">
      <c r="A59" s="218"/>
      <c r="E59" s="232"/>
      <c r="F59" s="232"/>
      <c r="G59" s="232"/>
      <c r="H59" s="232"/>
      <c r="I59" s="232"/>
      <c r="J59" s="232"/>
      <c r="K59" s="232"/>
      <c r="L59" s="232"/>
      <c r="M59" s="232"/>
      <c r="N59" s="232"/>
      <c r="O59" s="232"/>
      <c r="P59" s="232"/>
      <c r="Q59" s="232"/>
      <c r="R59" s="224"/>
      <c r="S59" s="222"/>
      <c r="U59" s="232"/>
    </row>
    <row r="60" spans="1:21" ht="13">
      <c r="A60" s="218"/>
      <c r="E60" s="238"/>
      <c r="F60" s="238"/>
      <c r="H60" s="222"/>
      <c r="I60" s="222"/>
      <c r="J60" s="222"/>
      <c r="K60" s="222"/>
      <c r="L60" s="222"/>
      <c r="M60" s="222"/>
      <c r="N60" s="222"/>
      <c r="O60" s="222"/>
      <c r="P60" s="224"/>
      <c r="Q60" s="224"/>
      <c r="R60" s="224"/>
      <c r="S60" s="222"/>
      <c r="U60" s="232"/>
    </row>
    <row r="61" spans="1:21" ht="13">
      <c r="A61" s="218"/>
      <c r="E61" s="238"/>
      <c r="F61" s="238"/>
      <c r="H61" s="222"/>
      <c r="I61" s="222"/>
      <c r="J61" s="222"/>
      <c r="K61" s="222"/>
      <c r="L61" s="222"/>
      <c r="M61" s="222"/>
      <c r="N61" s="222"/>
      <c r="O61" s="222"/>
      <c r="P61" s="224"/>
      <c r="Q61" s="224"/>
      <c r="R61" s="224"/>
      <c r="S61" s="222"/>
      <c r="U61" s="232"/>
    </row>
    <row r="62" spans="1:21" ht="13">
      <c r="A62" s="218"/>
      <c r="C62" s="270">
        <v>-1</v>
      </c>
      <c r="D62" s="270">
        <v>-2</v>
      </c>
      <c r="E62" s="270">
        <v>-3</v>
      </c>
      <c r="F62" s="270">
        <v>-4</v>
      </c>
      <c r="G62" s="270">
        <v>-5</v>
      </c>
      <c r="H62" s="270">
        <v>-6</v>
      </c>
      <c r="I62" s="270">
        <v>-7</v>
      </c>
      <c r="J62" s="270">
        <v>-8</v>
      </c>
      <c r="K62" s="270">
        <v>-9</v>
      </c>
      <c r="L62" s="270">
        <v>-10</v>
      </c>
      <c r="M62" s="270">
        <v>-11</v>
      </c>
      <c r="N62" s="270">
        <v>-12</v>
      </c>
      <c r="O62" s="270" t="s">
        <v>392</v>
      </c>
      <c r="P62" s="270">
        <v>-13</v>
      </c>
      <c r="Q62" s="271" t="s">
        <v>393</v>
      </c>
      <c r="R62" s="271" t="s">
        <v>394</v>
      </c>
      <c r="S62" s="271" t="s">
        <v>395</v>
      </c>
      <c r="U62" s="232"/>
    </row>
    <row r="63" spans="1:21" ht="53.25" customHeight="1">
      <c r="A63" s="272" t="s">
        <v>396</v>
      </c>
      <c r="B63" s="273"/>
      <c r="C63" s="274" t="s">
        <v>397</v>
      </c>
      <c r="D63" s="275" t="s">
        <v>398</v>
      </c>
      <c r="E63" s="276" t="s">
        <v>399</v>
      </c>
      <c r="F63" s="276" t="s">
        <v>373</v>
      </c>
      <c r="G63" s="277" t="s">
        <v>400</v>
      </c>
      <c r="H63" s="276" t="s">
        <v>401</v>
      </c>
      <c r="I63" s="276" t="s">
        <v>389</v>
      </c>
      <c r="J63" s="277" t="s">
        <v>402</v>
      </c>
      <c r="K63" s="276" t="s">
        <v>403</v>
      </c>
      <c r="L63" s="278" t="s">
        <v>404</v>
      </c>
      <c r="M63" s="278" t="s">
        <v>405</v>
      </c>
      <c r="N63" s="278" t="s">
        <v>406</v>
      </c>
      <c r="O63" s="278" t="s">
        <v>407</v>
      </c>
      <c r="P63" s="278" t="s">
        <v>408</v>
      </c>
      <c r="Q63" s="278" t="s">
        <v>409</v>
      </c>
      <c r="R63" s="278" t="s">
        <v>410</v>
      </c>
      <c r="S63" s="278" t="s">
        <v>411</v>
      </c>
      <c r="U63" s="232"/>
    </row>
    <row r="64" spans="1:21" ht="46.5" customHeight="1">
      <c r="A64" s="279"/>
      <c r="B64" s="280"/>
      <c r="C64" s="280"/>
      <c r="D64" s="280"/>
      <c r="E64" s="281" t="s">
        <v>412</v>
      </c>
      <c r="F64" s="281" t="s">
        <v>413</v>
      </c>
      <c r="G64" s="282" t="s">
        <v>414</v>
      </c>
      <c r="H64" s="281" t="s">
        <v>415</v>
      </c>
      <c r="I64" s="281" t="s">
        <v>416</v>
      </c>
      <c r="J64" s="282" t="s">
        <v>417</v>
      </c>
      <c r="K64" s="281" t="s">
        <v>418</v>
      </c>
      <c r="L64" s="282" t="s">
        <v>419</v>
      </c>
      <c r="M64" s="281" t="s">
        <v>420</v>
      </c>
      <c r="N64" s="283" t="s">
        <v>421</v>
      </c>
      <c r="O64" s="284" t="s">
        <v>422</v>
      </c>
      <c r="P64" s="285" t="s">
        <v>423</v>
      </c>
      <c r="Q64" s="284" t="s">
        <v>424</v>
      </c>
      <c r="R64" s="286" t="s">
        <v>159</v>
      </c>
      <c r="S64" s="284" t="s">
        <v>425</v>
      </c>
      <c r="U64" s="232"/>
    </row>
    <row r="65" spans="1:21" ht="13">
      <c r="A65" s="287"/>
      <c r="B65" s="222"/>
      <c r="C65" s="222"/>
      <c r="D65" s="222"/>
      <c r="E65" s="222"/>
      <c r="F65" s="222"/>
      <c r="G65" s="288"/>
      <c r="H65" s="222"/>
      <c r="I65" s="222"/>
      <c r="J65" s="288"/>
      <c r="K65" s="222"/>
      <c r="L65" s="288"/>
      <c r="M65" s="289"/>
      <c r="N65" s="288"/>
      <c r="O65" s="288"/>
      <c r="P65" s="222"/>
      <c r="Q65" s="290"/>
      <c r="R65" s="224"/>
      <c r="S65" s="291"/>
      <c r="U65" s="232"/>
    </row>
    <row r="66" spans="1:19" ht="13">
      <c r="A66" s="292" t="s">
        <v>426</v>
      </c>
      <c r="B66" s="293"/>
      <c r="C66" s="294" t="s">
        <v>427</v>
      </c>
      <c r="D66" s="295"/>
      <c r="E66" s="296">
        <f>+'4- Rate Base'!C24</f>
        <v>382487.92</v>
      </c>
      <c r="F66" s="252">
        <f t="shared" si="0" ref="F66:F84">$L$36</f>
        <v>0.3007925706988564</v>
      </c>
      <c r="G66" s="297">
        <f t="shared" si="1" ref="G66:G84">E66*F66</f>
        <v>115049.52471805853</v>
      </c>
      <c r="H66" s="296">
        <f>+'4- Rate Base'!C24-'4- Rate Base'!I24</f>
        <v>22589.764100256434</v>
      </c>
      <c r="I66" s="252">
        <f>$L$46</f>
        <v>0.15672717318052737</v>
      </c>
      <c r="J66" s="298">
        <f>H66*I66</f>
        <v>3540.4298702481501</v>
      </c>
      <c r="K66" s="120">
        <f>+'5-P3 Support'!M24</f>
        <v>3166.0233483333327</v>
      </c>
      <c r="L66" s="298">
        <f>G66+J66+K66</f>
        <v>121755.97793664</v>
      </c>
      <c r="M66" s="299">
        <v>0</v>
      </c>
      <c r="N66" s="298">
        <f>+'2-Incentive ROE'!K$40*'1-Project Rev Req'!M66/100</f>
        <v>0</v>
      </c>
      <c r="O66" s="298">
        <f>+L66+N66</f>
        <v>121755.97793664</v>
      </c>
      <c r="P66" s="120">
        <v>0</v>
      </c>
      <c r="Q66" s="298">
        <f t="shared" si="2" ref="Q66:Q84">+L66+N66-P66</f>
        <v>121755.97793664</v>
      </c>
      <c r="R66" s="120">
        <v>0</v>
      </c>
      <c r="S66" s="298">
        <f>+Q66+R66</f>
        <v>121755.97793664</v>
      </c>
    </row>
    <row r="67" spans="1:19" ht="13">
      <c r="A67" s="292" t="s">
        <v>428</v>
      </c>
      <c r="B67" s="293"/>
      <c r="C67" s="294"/>
      <c r="D67" s="295"/>
      <c r="E67" s="296">
        <v>0</v>
      </c>
      <c r="F67" s="252">
        <f>$L$36</f>
        <v>0.3007925706988564</v>
      </c>
      <c r="G67" s="297">
        <f>E67*F67</f>
        <v>0</v>
      </c>
      <c r="H67" s="296">
        <f>+'4- Rate Base'!E24</f>
        <v>0</v>
      </c>
      <c r="I67" s="252">
        <f t="shared" si="3" ref="I67:I84">$L$46</f>
        <v>0.15672717318052737</v>
      </c>
      <c r="J67" s="298">
        <f t="shared" si="4" ref="J67:J84">H67*I67</f>
        <v>0</v>
      </c>
      <c r="K67" s="120">
        <v>0</v>
      </c>
      <c r="L67" s="298">
        <f t="shared" si="5" ref="L67:L84">G67+J67+K67</f>
        <v>0</v>
      </c>
      <c r="M67" s="299">
        <v>0</v>
      </c>
      <c r="N67" s="298">
        <f>+'2-Incentive ROE'!K$40*'1-Project Rev Req'!M67/100</f>
        <v>0</v>
      </c>
      <c r="O67" s="298">
        <f t="shared" si="6" ref="O67:O84">+L67+N67</f>
        <v>0</v>
      </c>
      <c r="P67" s="120">
        <v>0</v>
      </c>
      <c r="Q67" s="298">
        <f>+L67+N67-P67</f>
        <v>0</v>
      </c>
      <c r="R67" s="120">
        <v>0</v>
      </c>
      <c r="S67" s="298">
        <f>+Q67+R67</f>
        <v>0</v>
      </c>
    </row>
    <row r="68" spans="1:19" ht="13">
      <c r="A68" s="292" t="s">
        <v>429</v>
      </c>
      <c r="B68" s="293"/>
      <c r="C68" s="294"/>
      <c r="D68" s="295"/>
      <c r="E68" s="296">
        <v>0</v>
      </c>
      <c r="F68" s="252">
        <f>$L$36</f>
        <v>0.3007925706988564</v>
      </c>
      <c r="G68" s="297">
        <f>E68*F68</f>
        <v>0</v>
      </c>
      <c r="H68" s="296">
        <v>0</v>
      </c>
      <c r="I68" s="252">
        <f>$L$46</f>
        <v>0.15672717318052737</v>
      </c>
      <c r="J68" s="298">
        <f>H68*I68</f>
        <v>0</v>
      </c>
      <c r="K68" s="120">
        <v>0</v>
      </c>
      <c r="L68" s="298">
        <f>G68+J68+K68</f>
        <v>0</v>
      </c>
      <c r="M68" s="299">
        <v>0</v>
      </c>
      <c r="N68" s="298">
        <f>+'2-Incentive ROE'!K$40*'1-Project Rev Req'!M68/100</f>
        <v>0</v>
      </c>
      <c r="O68" s="298">
        <f>+L68+N68</f>
        <v>0</v>
      </c>
      <c r="P68" s="120">
        <v>0</v>
      </c>
      <c r="Q68" s="298">
        <f>+L68+N68-P68</f>
        <v>0</v>
      </c>
      <c r="R68" s="120">
        <v>0</v>
      </c>
      <c r="S68" s="298">
        <f>+Q68+R68</f>
        <v>0</v>
      </c>
    </row>
    <row r="69" spans="1:19" ht="13">
      <c r="A69" s="292"/>
      <c r="B69" s="293"/>
      <c r="C69" s="294"/>
      <c r="D69" s="295"/>
      <c r="E69" s="296">
        <v>0</v>
      </c>
      <c r="F69" s="252">
        <f>$L$36</f>
        <v>0.3007925706988564</v>
      </c>
      <c r="G69" s="297">
        <f>E69*F69</f>
        <v>0</v>
      </c>
      <c r="H69" s="296">
        <v>0</v>
      </c>
      <c r="I69" s="252">
        <f>$L$46</f>
        <v>0.15672717318052737</v>
      </c>
      <c r="J69" s="298">
        <f>H69*I69</f>
        <v>0</v>
      </c>
      <c r="K69" s="120">
        <v>0</v>
      </c>
      <c r="L69" s="298">
        <f>G69+J69+K69</f>
        <v>0</v>
      </c>
      <c r="M69" s="299">
        <v>0</v>
      </c>
      <c r="N69" s="298">
        <f>+'2-Incentive ROE'!K$40*'1-Project Rev Req'!M69/100</f>
        <v>0</v>
      </c>
      <c r="O69" s="298">
        <f>+L69+N69</f>
        <v>0</v>
      </c>
      <c r="P69" s="120">
        <v>0</v>
      </c>
      <c r="Q69" s="298">
        <f>+L69+N69-P69</f>
        <v>0</v>
      </c>
      <c r="R69" s="120">
        <v>0</v>
      </c>
      <c r="S69" s="298">
        <f>+Q69+R69</f>
        <v>0</v>
      </c>
    </row>
    <row r="70" spans="1:19" ht="13">
      <c r="A70" s="292"/>
      <c r="B70" s="293"/>
      <c r="C70" s="294"/>
      <c r="D70" s="295"/>
      <c r="E70" s="296">
        <v>0</v>
      </c>
      <c r="F70" s="252">
        <f>$L$36</f>
        <v>0.3007925706988564</v>
      </c>
      <c r="G70" s="297">
        <f>E70*F70</f>
        <v>0</v>
      </c>
      <c r="H70" s="296">
        <v>0</v>
      </c>
      <c r="I70" s="252">
        <f>$L$46</f>
        <v>0.15672717318052737</v>
      </c>
      <c r="J70" s="298">
        <f>H70*I70</f>
        <v>0</v>
      </c>
      <c r="K70" s="120">
        <v>0</v>
      </c>
      <c r="L70" s="298">
        <f>G70+J70+K70</f>
        <v>0</v>
      </c>
      <c r="M70" s="299">
        <v>0</v>
      </c>
      <c r="N70" s="298">
        <f>+'2-Incentive ROE'!K$40*'1-Project Rev Req'!M70/100</f>
        <v>0</v>
      </c>
      <c r="O70" s="298">
        <f>+L70+N70</f>
        <v>0</v>
      </c>
      <c r="P70" s="120">
        <v>0</v>
      </c>
      <c r="Q70" s="298">
        <f>+L70+N70-P70</f>
        <v>0</v>
      </c>
      <c r="R70" s="120">
        <v>0</v>
      </c>
      <c r="S70" s="298">
        <f>+Q70+R70</f>
        <v>0</v>
      </c>
    </row>
    <row r="71" spans="1:19" ht="13">
      <c r="A71" s="292"/>
      <c r="B71" s="293"/>
      <c r="C71" s="294"/>
      <c r="D71" s="295"/>
      <c r="E71" s="296">
        <v>0</v>
      </c>
      <c r="F71" s="252">
        <f>$L$36</f>
        <v>0.3007925706988564</v>
      </c>
      <c r="G71" s="297">
        <f>E71*F71</f>
        <v>0</v>
      </c>
      <c r="H71" s="296">
        <v>0</v>
      </c>
      <c r="I71" s="252">
        <f>$L$46</f>
        <v>0.15672717318052737</v>
      </c>
      <c r="J71" s="298">
        <f>H71*I71</f>
        <v>0</v>
      </c>
      <c r="K71" s="120">
        <v>0</v>
      </c>
      <c r="L71" s="298">
        <f>G71+J71+K71</f>
        <v>0</v>
      </c>
      <c r="M71" s="299">
        <v>0</v>
      </c>
      <c r="N71" s="298">
        <f>+'2-Incentive ROE'!K$40*'1-Project Rev Req'!M71/100</f>
        <v>0</v>
      </c>
      <c r="O71" s="298">
        <f>+L71+N71</f>
        <v>0</v>
      </c>
      <c r="P71" s="120">
        <v>0</v>
      </c>
      <c r="Q71" s="298">
        <f>+L71+N71-P71</f>
        <v>0</v>
      </c>
      <c r="R71" s="120">
        <v>0</v>
      </c>
      <c r="S71" s="298">
        <f t="shared" si="7" ref="S71:S85">L71+R71</f>
        <v>0</v>
      </c>
    </row>
    <row r="72" spans="1:19" ht="13">
      <c r="A72" s="292"/>
      <c r="B72" s="293"/>
      <c r="C72" s="294"/>
      <c r="D72" s="295"/>
      <c r="E72" s="296">
        <v>0</v>
      </c>
      <c r="F72" s="252">
        <f>$L$36</f>
        <v>0.3007925706988564</v>
      </c>
      <c r="G72" s="297">
        <f>E72*F72</f>
        <v>0</v>
      </c>
      <c r="H72" s="296">
        <v>0</v>
      </c>
      <c r="I72" s="252">
        <f>$L$46</f>
        <v>0.15672717318052737</v>
      </c>
      <c r="J72" s="298">
        <f>H72*I72</f>
        <v>0</v>
      </c>
      <c r="K72" s="120">
        <v>0</v>
      </c>
      <c r="L72" s="298">
        <f>G72+J72+K72</f>
        <v>0</v>
      </c>
      <c r="M72" s="299">
        <v>0</v>
      </c>
      <c r="N72" s="298">
        <f>+'2-Incentive ROE'!K$40*'1-Project Rev Req'!M72/100</f>
        <v>0</v>
      </c>
      <c r="O72" s="298">
        <f>+L72+N72</f>
        <v>0</v>
      </c>
      <c r="P72" s="120">
        <v>0</v>
      </c>
      <c r="Q72" s="298">
        <f>+L72+N72-P72</f>
        <v>0</v>
      </c>
      <c r="R72" s="120">
        <v>0</v>
      </c>
      <c r="S72" s="298">
        <f>L72+R72</f>
        <v>0</v>
      </c>
    </row>
    <row r="73" spans="1:19" ht="13">
      <c r="A73" s="292"/>
      <c r="B73" s="293"/>
      <c r="C73" s="294"/>
      <c r="D73" s="300"/>
      <c r="E73" s="296">
        <v>0</v>
      </c>
      <c r="F73" s="252">
        <f>$L$36</f>
        <v>0.3007925706988564</v>
      </c>
      <c r="G73" s="297">
        <f>E73*F73</f>
        <v>0</v>
      </c>
      <c r="H73" s="296">
        <v>0</v>
      </c>
      <c r="I73" s="252">
        <f>$L$46</f>
        <v>0.15672717318052737</v>
      </c>
      <c r="J73" s="298">
        <f>H73*I73</f>
        <v>0</v>
      </c>
      <c r="K73" s="120">
        <v>0</v>
      </c>
      <c r="L73" s="298">
        <f>G73+J73+K73</f>
        <v>0</v>
      </c>
      <c r="M73" s="299">
        <v>0</v>
      </c>
      <c r="N73" s="298">
        <f>+'2-Incentive ROE'!K$40*'1-Project Rev Req'!M73/100</f>
        <v>0</v>
      </c>
      <c r="O73" s="298">
        <f>+L73+N73</f>
        <v>0</v>
      </c>
      <c r="P73" s="120">
        <v>0</v>
      </c>
      <c r="Q73" s="298">
        <f>+L73+N73-P73</f>
        <v>0</v>
      </c>
      <c r="R73" s="120">
        <v>0</v>
      </c>
      <c r="S73" s="298">
        <f>L73+R73</f>
        <v>0</v>
      </c>
    </row>
    <row r="74" spans="1:19" ht="13">
      <c r="A74" s="292"/>
      <c r="B74" s="293"/>
      <c r="C74" s="294"/>
      <c r="D74" s="295"/>
      <c r="E74" s="296">
        <v>0</v>
      </c>
      <c r="F74" s="252">
        <f>$L$36</f>
        <v>0.3007925706988564</v>
      </c>
      <c r="G74" s="297">
        <f>E74*F74</f>
        <v>0</v>
      </c>
      <c r="H74" s="296">
        <v>0</v>
      </c>
      <c r="I74" s="252">
        <f>$L$46</f>
        <v>0.15672717318052737</v>
      </c>
      <c r="J74" s="298">
        <f>H74*I74</f>
        <v>0</v>
      </c>
      <c r="K74" s="120">
        <v>0</v>
      </c>
      <c r="L74" s="298">
        <f>G74+J74+K74</f>
        <v>0</v>
      </c>
      <c r="M74" s="299">
        <v>0</v>
      </c>
      <c r="N74" s="298">
        <f>+'2-Incentive ROE'!K$40*'1-Project Rev Req'!M74/100</f>
        <v>0</v>
      </c>
      <c r="O74" s="298">
        <f>+L74+N74</f>
        <v>0</v>
      </c>
      <c r="P74" s="120">
        <v>0</v>
      </c>
      <c r="Q74" s="298">
        <f>+L74+N74-P74</f>
        <v>0</v>
      </c>
      <c r="R74" s="120">
        <v>0</v>
      </c>
      <c r="S74" s="298">
        <f>L74+R74</f>
        <v>0</v>
      </c>
    </row>
    <row r="75" spans="1:19" ht="13">
      <c r="A75" s="292"/>
      <c r="B75" s="293"/>
      <c r="C75" s="294"/>
      <c r="D75" s="295"/>
      <c r="E75" s="296">
        <v>0</v>
      </c>
      <c r="F75" s="252">
        <f>$L$36</f>
        <v>0.3007925706988564</v>
      </c>
      <c r="G75" s="297">
        <f>E75*F75</f>
        <v>0</v>
      </c>
      <c r="H75" s="296">
        <v>0</v>
      </c>
      <c r="I75" s="252">
        <f>$L$46</f>
        <v>0.15672717318052737</v>
      </c>
      <c r="J75" s="298">
        <f>H75*I75</f>
        <v>0</v>
      </c>
      <c r="K75" s="120">
        <v>0</v>
      </c>
      <c r="L75" s="298">
        <f>G75+J75+K75</f>
        <v>0</v>
      </c>
      <c r="M75" s="299">
        <v>0</v>
      </c>
      <c r="N75" s="298">
        <f>+'2-Incentive ROE'!K$40*'1-Project Rev Req'!M75/100</f>
        <v>0</v>
      </c>
      <c r="O75" s="298">
        <f>+L75+N75</f>
        <v>0</v>
      </c>
      <c r="P75" s="120">
        <v>0</v>
      </c>
      <c r="Q75" s="298">
        <f>+L75+N75-P75</f>
        <v>0</v>
      </c>
      <c r="R75" s="120">
        <v>0</v>
      </c>
      <c r="S75" s="298">
        <f>L75+R75</f>
        <v>0</v>
      </c>
    </row>
    <row r="76" spans="1:19" ht="13">
      <c r="A76" s="292"/>
      <c r="B76" s="293"/>
      <c r="C76" s="294"/>
      <c r="D76" s="295"/>
      <c r="E76" s="296">
        <v>0</v>
      </c>
      <c r="F76" s="252">
        <f>$L$36</f>
        <v>0.3007925706988564</v>
      </c>
      <c r="G76" s="297">
        <f>E76*F76</f>
        <v>0</v>
      </c>
      <c r="H76" s="296">
        <v>0</v>
      </c>
      <c r="I76" s="252">
        <f>$L$46</f>
        <v>0.15672717318052737</v>
      </c>
      <c r="J76" s="298">
        <f>H76*I76</f>
        <v>0</v>
      </c>
      <c r="K76" s="120">
        <v>0</v>
      </c>
      <c r="L76" s="298">
        <f>G76+J76+K76</f>
        <v>0</v>
      </c>
      <c r="M76" s="299">
        <v>0</v>
      </c>
      <c r="N76" s="298">
        <f>+'2-Incentive ROE'!K$40*'1-Project Rev Req'!M76/100</f>
        <v>0</v>
      </c>
      <c r="O76" s="298">
        <f>+L76+N76</f>
        <v>0</v>
      </c>
      <c r="P76" s="120">
        <v>0</v>
      </c>
      <c r="Q76" s="298">
        <f>+L76+N76-P76</f>
        <v>0</v>
      </c>
      <c r="R76" s="120">
        <v>0</v>
      </c>
      <c r="S76" s="298">
        <f>L76+R76</f>
        <v>0</v>
      </c>
    </row>
    <row r="77" spans="1:19" ht="13">
      <c r="A77" s="292"/>
      <c r="B77" s="293"/>
      <c r="C77" s="294"/>
      <c r="D77" s="295"/>
      <c r="E77" s="296">
        <v>0</v>
      </c>
      <c r="F77" s="252">
        <f>$L$36</f>
        <v>0.3007925706988564</v>
      </c>
      <c r="G77" s="297">
        <f>E77*F77</f>
        <v>0</v>
      </c>
      <c r="H77" s="296">
        <v>0</v>
      </c>
      <c r="I77" s="252">
        <f>$L$46</f>
        <v>0.15672717318052737</v>
      </c>
      <c r="J77" s="298">
        <f>H77*I77</f>
        <v>0</v>
      </c>
      <c r="K77" s="120">
        <v>0</v>
      </c>
      <c r="L77" s="298">
        <f>G77+J77+K77</f>
        <v>0</v>
      </c>
      <c r="M77" s="299">
        <v>0</v>
      </c>
      <c r="N77" s="298">
        <f>+'2-Incentive ROE'!K$40*'1-Project Rev Req'!M77/100</f>
        <v>0</v>
      </c>
      <c r="O77" s="298">
        <f>+L77+N77</f>
        <v>0</v>
      </c>
      <c r="P77" s="120">
        <v>0</v>
      </c>
      <c r="Q77" s="298">
        <f>+L77+N77-P77</f>
        <v>0</v>
      </c>
      <c r="R77" s="120">
        <v>0</v>
      </c>
      <c r="S77" s="298">
        <f>L77+R77</f>
        <v>0</v>
      </c>
    </row>
    <row r="78" spans="1:19" ht="13">
      <c r="A78" s="292"/>
      <c r="B78" s="293"/>
      <c r="C78" s="294"/>
      <c r="D78" s="295"/>
      <c r="E78" s="296">
        <v>0</v>
      </c>
      <c r="F78" s="252">
        <f>$L$36</f>
        <v>0.3007925706988564</v>
      </c>
      <c r="G78" s="297">
        <f>E78*F78</f>
        <v>0</v>
      </c>
      <c r="H78" s="296">
        <v>0</v>
      </c>
      <c r="I78" s="252">
        <f>$L$46</f>
        <v>0.15672717318052737</v>
      </c>
      <c r="J78" s="298">
        <f>H78*I78</f>
        <v>0</v>
      </c>
      <c r="K78" s="120">
        <v>0</v>
      </c>
      <c r="L78" s="298">
        <f>G78+J78+K78</f>
        <v>0</v>
      </c>
      <c r="M78" s="299">
        <v>0</v>
      </c>
      <c r="N78" s="298">
        <f>+'2-Incentive ROE'!K$40*'1-Project Rev Req'!M78/100</f>
        <v>0</v>
      </c>
      <c r="O78" s="298">
        <f>+L78+N78</f>
        <v>0</v>
      </c>
      <c r="P78" s="120">
        <v>0</v>
      </c>
      <c r="Q78" s="298">
        <f>+L78+N78-P78</f>
        <v>0</v>
      </c>
      <c r="R78" s="120">
        <v>0</v>
      </c>
      <c r="S78" s="298">
        <f>L78+R78</f>
        <v>0</v>
      </c>
    </row>
    <row r="79" spans="1:19" ht="13">
      <c r="A79" s="292"/>
      <c r="B79" s="293"/>
      <c r="C79" s="294"/>
      <c r="D79" s="295"/>
      <c r="E79" s="296">
        <v>0</v>
      </c>
      <c r="F79" s="252">
        <f>$L$36</f>
        <v>0.3007925706988564</v>
      </c>
      <c r="G79" s="297">
        <f>E79*F79</f>
        <v>0</v>
      </c>
      <c r="H79" s="296">
        <v>0</v>
      </c>
      <c r="I79" s="252">
        <f>$L$46</f>
        <v>0.15672717318052737</v>
      </c>
      <c r="J79" s="298">
        <f>H79*I79</f>
        <v>0</v>
      </c>
      <c r="K79" s="120">
        <v>0</v>
      </c>
      <c r="L79" s="298">
        <f>G79+J79+K79</f>
        <v>0</v>
      </c>
      <c r="M79" s="299">
        <v>0</v>
      </c>
      <c r="N79" s="298">
        <f>+'2-Incentive ROE'!K$40*'1-Project Rev Req'!M79/100</f>
        <v>0</v>
      </c>
      <c r="O79" s="298">
        <f>+L79+N79</f>
        <v>0</v>
      </c>
      <c r="P79" s="120">
        <v>0</v>
      </c>
      <c r="Q79" s="298">
        <f>+L79+N79-P79</f>
        <v>0</v>
      </c>
      <c r="R79" s="120">
        <v>0</v>
      </c>
      <c r="S79" s="298">
        <f>L79+R79</f>
        <v>0</v>
      </c>
    </row>
    <row r="80" spans="1:19" ht="13">
      <c r="A80" s="292"/>
      <c r="B80" s="293"/>
      <c r="C80" s="294"/>
      <c r="D80" s="295"/>
      <c r="E80" s="296">
        <v>0</v>
      </c>
      <c r="F80" s="252">
        <f>$L$36</f>
        <v>0.3007925706988564</v>
      </c>
      <c r="G80" s="297">
        <f>E80*F80</f>
        <v>0</v>
      </c>
      <c r="H80" s="296">
        <v>0</v>
      </c>
      <c r="I80" s="252">
        <f>$L$46</f>
        <v>0.15672717318052737</v>
      </c>
      <c r="J80" s="298">
        <f>H80*I80</f>
        <v>0</v>
      </c>
      <c r="K80" s="120">
        <v>0</v>
      </c>
      <c r="L80" s="298">
        <f>G80+J80+K80</f>
        <v>0</v>
      </c>
      <c r="M80" s="299">
        <v>0</v>
      </c>
      <c r="N80" s="298">
        <f>+'2-Incentive ROE'!K$40*'1-Project Rev Req'!M80/100</f>
        <v>0</v>
      </c>
      <c r="O80" s="298">
        <f>+L80+N80</f>
        <v>0</v>
      </c>
      <c r="P80" s="120">
        <v>0</v>
      </c>
      <c r="Q80" s="298">
        <f>+L80+N80-P80</f>
        <v>0</v>
      </c>
      <c r="R80" s="120">
        <v>0</v>
      </c>
      <c r="S80" s="298">
        <f>L80+R80</f>
        <v>0</v>
      </c>
    </row>
    <row r="81" spans="1:19" ht="13">
      <c r="A81" s="301"/>
      <c r="C81" s="302"/>
      <c r="D81" s="302"/>
      <c r="E81" s="296">
        <v>0</v>
      </c>
      <c r="F81" s="252">
        <f>$L$36</f>
        <v>0.3007925706988564</v>
      </c>
      <c r="G81" s="297">
        <f>E81*F81</f>
        <v>0</v>
      </c>
      <c r="H81" s="296">
        <v>0</v>
      </c>
      <c r="I81" s="252">
        <f>$L$46</f>
        <v>0.15672717318052737</v>
      </c>
      <c r="J81" s="298">
        <f>H81*I81</f>
        <v>0</v>
      </c>
      <c r="K81" s="120">
        <v>0</v>
      </c>
      <c r="L81" s="298">
        <f>G81+J81+K81</f>
        <v>0</v>
      </c>
      <c r="M81" s="299">
        <v>0</v>
      </c>
      <c r="N81" s="298">
        <f>+'2-Incentive ROE'!K$40*'1-Project Rev Req'!M81/100</f>
        <v>0</v>
      </c>
      <c r="O81" s="298">
        <f>+L81+N81</f>
        <v>0</v>
      </c>
      <c r="P81" s="120">
        <v>0</v>
      </c>
      <c r="Q81" s="298">
        <f>+L81+N81-P81</f>
        <v>0</v>
      </c>
      <c r="R81" s="120">
        <v>0</v>
      </c>
      <c r="S81" s="298">
        <f>L81+R81</f>
        <v>0</v>
      </c>
    </row>
    <row r="82" spans="1:19" ht="13">
      <c r="A82" s="301"/>
      <c r="C82" s="302"/>
      <c r="D82" s="302"/>
      <c r="E82" s="296">
        <v>0</v>
      </c>
      <c r="F82" s="252">
        <f>$L$36</f>
        <v>0.3007925706988564</v>
      </c>
      <c r="G82" s="297">
        <f>E82*F82</f>
        <v>0</v>
      </c>
      <c r="H82" s="296">
        <v>0</v>
      </c>
      <c r="I82" s="252">
        <f>$L$46</f>
        <v>0.15672717318052737</v>
      </c>
      <c r="J82" s="298">
        <f>H82*I82</f>
        <v>0</v>
      </c>
      <c r="K82" s="120">
        <v>0</v>
      </c>
      <c r="L82" s="298">
        <f>G82+J82+K82</f>
        <v>0</v>
      </c>
      <c r="M82" s="299">
        <v>0</v>
      </c>
      <c r="N82" s="298">
        <f>+'2-Incentive ROE'!K$40*'1-Project Rev Req'!M82/100</f>
        <v>0</v>
      </c>
      <c r="O82" s="298">
        <f>+L82+N82</f>
        <v>0</v>
      </c>
      <c r="P82" s="120">
        <v>0</v>
      </c>
      <c r="Q82" s="298">
        <f>+L82+N82-P82</f>
        <v>0</v>
      </c>
      <c r="R82" s="120">
        <v>0</v>
      </c>
      <c r="S82" s="298">
        <f>L82+R82</f>
        <v>0</v>
      </c>
    </row>
    <row r="83" spans="1:19" ht="13">
      <c r="A83" s="301"/>
      <c r="C83" s="302"/>
      <c r="D83" s="302"/>
      <c r="E83" s="296">
        <v>0</v>
      </c>
      <c r="F83" s="252">
        <f>$L$36</f>
        <v>0.3007925706988564</v>
      </c>
      <c r="G83" s="297">
        <f>E83*F83</f>
        <v>0</v>
      </c>
      <c r="H83" s="296">
        <v>0</v>
      </c>
      <c r="I83" s="252">
        <f>$L$46</f>
        <v>0.15672717318052737</v>
      </c>
      <c r="J83" s="298">
        <f>H83*I83</f>
        <v>0</v>
      </c>
      <c r="K83" s="120">
        <v>0</v>
      </c>
      <c r="L83" s="298">
        <f>G83+J83+K83</f>
        <v>0</v>
      </c>
      <c r="M83" s="299">
        <v>0</v>
      </c>
      <c r="N83" s="298">
        <f>+'2-Incentive ROE'!K$40*'1-Project Rev Req'!M83/100</f>
        <v>0</v>
      </c>
      <c r="O83" s="298">
        <f>+L83+N83</f>
        <v>0</v>
      </c>
      <c r="P83" s="120">
        <v>0</v>
      </c>
      <c r="Q83" s="298">
        <f>+L83+N83-P83</f>
        <v>0</v>
      </c>
      <c r="R83" s="120">
        <v>0</v>
      </c>
      <c r="S83" s="298">
        <f>L83+R83</f>
        <v>0</v>
      </c>
    </row>
    <row r="84" spans="1:19" ht="13">
      <c r="A84" s="301"/>
      <c r="C84" s="302"/>
      <c r="D84" s="302"/>
      <c r="E84" s="296">
        <v>0</v>
      </c>
      <c r="F84" s="252">
        <f>$L$36</f>
        <v>0.3007925706988564</v>
      </c>
      <c r="G84" s="297">
        <f>E84*F84</f>
        <v>0</v>
      </c>
      <c r="H84" s="296">
        <v>0</v>
      </c>
      <c r="I84" s="252">
        <f>$L$46</f>
        <v>0.15672717318052737</v>
      </c>
      <c r="J84" s="298">
        <f>H84*I84</f>
        <v>0</v>
      </c>
      <c r="K84" s="120">
        <v>0</v>
      </c>
      <c r="L84" s="298">
        <f>G84+J84+K84</f>
        <v>0</v>
      </c>
      <c r="M84" s="299">
        <v>0</v>
      </c>
      <c r="N84" s="298">
        <f>+'2-Incentive ROE'!K$40*'1-Project Rev Req'!M84/100</f>
        <v>0</v>
      </c>
      <c r="O84" s="298">
        <f>+L84+N84</f>
        <v>0</v>
      </c>
      <c r="P84" s="120">
        <v>0</v>
      </c>
      <c r="Q84" s="298">
        <f>+L84+N84-P84</f>
        <v>0</v>
      </c>
      <c r="R84" s="120">
        <v>0</v>
      </c>
      <c r="S84" s="298">
        <f>L84+R84</f>
        <v>0</v>
      </c>
    </row>
    <row r="85" spans="1:19" ht="13">
      <c r="A85" s="303"/>
      <c r="B85" s="304"/>
      <c r="C85" s="304"/>
      <c r="D85" s="304"/>
      <c r="E85" s="304"/>
      <c r="F85" s="304"/>
      <c r="G85" s="305"/>
      <c r="H85" s="304"/>
      <c r="I85" s="304"/>
      <c r="J85" s="306"/>
      <c r="K85" s="307"/>
      <c r="L85" s="306"/>
      <c r="M85" s="308"/>
      <c r="N85" s="309"/>
      <c r="O85" s="309"/>
      <c r="P85" s="310"/>
      <c r="Q85" s="309"/>
      <c r="R85" s="307"/>
      <c r="S85" s="306">
        <f>L85+R85</f>
        <v>0</v>
      </c>
    </row>
    <row r="86" spans="1:19" ht="13">
      <c r="A86" s="231" t="s">
        <v>388</v>
      </c>
      <c r="B86" s="261"/>
      <c r="C86" s="232" t="s">
        <v>430</v>
      </c>
      <c r="D86" s="232"/>
      <c r="E86" s="234"/>
      <c r="F86" s="251"/>
      <c r="G86" s="224"/>
      <c r="H86" s="234"/>
      <c r="I86" s="224"/>
      <c r="J86" s="85"/>
      <c r="K86" s="85"/>
      <c r="L86" s="85"/>
      <c r="M86" s="85"/>
      <c r="N86" s="85"/>
      <c r="O86" s="85"/>
      <c r="P86" s="85">
        <f>SUM(P66:P85)</f>
        <v>0</v>
      </c>
      <c r="Q86" s="85"/>
      <c r="R86" s="85"/>
      <c r="S86" s="85">
        <f>SUM(S66:S85)</f>
        <v>121755.97793664</v>
      </c>
    </row>
    <row r="87" spans="5:12" ht="13">
      <c r="E87" s="85"/>
      <c r="F87" s="85"/>
      <c r="G87" s="85"/>
      <c r="H87" s="85"/>
      <c r="I87" s="85"/>
      <c r="J87" s="85"/>
      <c r="K87" s="85"/>
      <c r="L87" s="252"/>
    </row>
    <row r="88" spans="1:20" ht="13">
      <c r="A88" s="311"/>
      <c r="E88" s="85"/>
      <c r="F88" s="85"/>
      <c r="G88" s="85"/>
      <c r="H88" s="85"/>
      <c r="I88" s="85"/>
      <c r="J88" s="85"/>
      <c r="K88" s="85"/>
      <c r="L88" s="252"/>
      <c r="M88" s="265"/>
      <c r="N88" s="265"/>
      <c r="O88" s="265"/>
      <c r="T88" s="312">
        <f>+'Attachment H'!I172</f>
        <v>121755.97793664002</v>
      </c>
    </row>
    <row r="89" spans="11:20" ht="13">
      <c r="K89" s="261"/>
      <c r="L89" s="261"/>
      <c r="M89" s="261"/>
      <c r="N89" s="261"/>
      <c r="O89" s="261"/>
      <c r="T89" s="312">
        <f>+S86</f>
        <v>121755.97793664</v>
      </c>
    </row>
    <row r="90" spans="11:20" ht="13">
      <c r="K90" s="261"/>
      <c r="L90" s="261"/>
      <c r="M90" s="261"/>
      <c r="N90" s="261"/>
      <c r="O90" s="261"/>
      <c r="T90" s="312">
        <f>+T88-T89</f>
        <v>0</v>
      </c>
    </row>
    <row r="91" spans="1:20" ht="13">
      <c r="A91" s="215" t="s">
        <v>280</v>
      </c>
      <c r="T91" s="312"/>
    </row>
    <row r="92" spans="1:20" ht="13.5" thickBot="1">
      <c r="A92" s="313" t="s">
        <v>281</v>
      </c>
      <c r="T92" s="312"/>
    </row>
    <row r="93" spans="1:20" ht="13">
      <c r="A93" s="314" t="s">
        <v>431</v>
      </c>
      <c r="C93" s="731" t="s">
        <v>432</v>
      </c>
      <c r="D93" s="731"/>
      <c r="E93" s="731"/>
      <c r="F93" s="731"/>
      <c r="G93" s="731"/>
      <c r="H93" s="731"/>
      <c r="I93" s="731"/>
      <c r="J93" s="731"/>
      <c r="K93" s="731"/>
      <c r="L93" s="731"/>
      <c r="M93" s="731"/>
      <c r="N93" s="731"/>
      <c r="O93" s="731"/>
      <c r="P93" s="731"/>
      <c r="Q93" s="731"/>
      <c r="T93" s="312"/>
    </row>
    <row r="94" spans="1:17" ht="13">
      <c r="A94" s="314" t="s">
        <v>433</v>
      </c>
      <c r="C94" s="731" t="s">
        <v>434</v>
      </c>
      <c r="D94" s="731"/>
      <c r="E94" s="731"/>
      <c r="F94" s="731"/>
      <c r="G94" s="731"/>
      <c r="H94" s="731"/>
      <c r="I94" s="731"/>
      <c r="J94" s="731"/>
      <c r="K94" s="731"/>
      <c r="L94" s="731"/>
      <c r="M94" s="731"/>
      <c r="N94" s="731"/>
      <c r="O94" s="731"/>
      <c r="P94" s="731"/>
      <c r="Q94" s="731"/>
    </row>
    <row r="95" spans="1:17" ht="13">
      <c r="A95" s="314" t="s">
        <v>286</v>
      </c>
      <c r="C95" s="732" t="s">
        <v>435</v>
      </c>
      <c r="D95" s="732"/>
      <c r="E95" s="732"/>
      <c r="F95" s="732"/>
      <c r="G95" s="732"/>
      <c r="H95" s="732"/>
      <c r="I95" s="732"/>
      <c r="J95" s="732"/>
      <c r="K95" s="732"/>
      <c r="L95" s="732"/>
      <c r="M95" s="732"/>
      <c r="N95" s="732"/>
      <c r="O95" s="732"/>
      <c r="P95" s="732"/>
      <c r="Q95" s="732"/>
    </row>
    <row r="96" spans="3:3" ht="13">
      <c r="C96" s="215" t="s">
        <v>436</v>
      </c>
    </row>
    <row r="97" spans="1:17" ht="13">
      <c r="A97" s="314" t="s">
        <v>288</v>
      </c>
      <c r="C97" s="732" t="s">
        <v>437</v>
      </c>
      <c r="D97" s="732"/>
      <c r="E97" s="732"/>
      <c r="F97" s="732"/>
      <c r="G97" s="732"/>
      <c r="H97" s="732"/>
      <c r="I97" s="732"/>
      <c r="J97" s="732"/>
      <c r="K97" s="732"/>
      <c r="L97" s="732"/>
      <c r="M97" s="732"/>
      <c r="N97" s="732"/>
      <c r="O97" s="732"/>
      <c r="P97" s="732"/>
      <c r="Q97" s="732"/>
    </row>
    <row r="98" spans="1:17" ht="13">
      <c r="A98" s="251" t="s">
        <v>290</v>
      </c>
      <c r="C98" s="729" t="s">
        <v>438</v>
      </c>
      <c r="D98" s="729"/>
      <c r="E98" s="729"/>
      <c r="F98" s="729"/>
      <c r="G98" s="729"/>
      <c r="H98" s="729"/>
      <c r="I98" s="729"/>
      <c r="J98" s="729"/>
      <c r="K98" s="729"/>
      <c r="L98" s="729"/>
      <c r="M98" s="729"/>
      <c r="N98" s="729"/>
      <c r="O98" s="729"/>
      <c r="P98" s="729"/>
      <c r="Q98" s="729"/>
    </row>
    <row r="99" spans="1:17" ht="13">
      <c r="A99" s="251" t="s">
        <v>292</v>
      </c>
      <c r="C99" s="729" t="s">
        <v>439</v>
      </c>
      <c r="D99" s="729"/>
      <c r="E99" s="729"/>
      <c r="F99" s="729"/>
      <c r="G99" s="729"/>
      <c r="H99" s="729"/>
      <c r="I99" s="729"/>
      <c r="J99" s="729"/>
      <c r="K99" s="729"/>
      <c r="L99" s="729"/>
      <c r="M99" s="729"/>
      <c r="N99" s="729"/>
      <c r="O99" s="729"/>
      <c r="P99" s="729"/>
      <c r="Q99" s="729"/>
    </row>
    <row r="100" spans="1:17" ht="13">
      <c r="A100" s="251" t="s">
        <v>294</v>
      </c>
      <c r="C100" s="729" t="s">
        <v>440</v>
      </c>
      <c r="D100" s="729"/>
      <c r="E100" s="729"/>
      <c r="F100" s="729"/>
      <c r="G100" s="729"/>
      <c r="H100" s="729"/>
      <c r="I100" s="729"/>
      <c r="J100" s="729"/>
      <c r="K100" s="729"/>
      <c r="L100" s="729"/>
      <c r="M100" s="729"/>
      <c r="N100" s="729"/>
      <c r="O100" s="729"/>
      <c r="P100" s="729"/>
      <c r="Q100" s="729"/>
    </row>
    <row r="101" spans="1:17" ht="13">
      <c r="A101" s="251" t="s">
        <v>302</v>
      </c>
      <c r="C101" s="729" t="s">
        <v>441</v>
      </c>
      <c r="D101" s="729"/>
      <c r="E101" s="729"/>
      <c r="F101" s="729"/>
      <c r="G101" s="729"/>
      <c r="H101" s="729"/>
      <c r="I101" s="729"/>
      <c r="J101" s="729"/>
      <c r="K101" s="729"/>
      <c r="L101" s="729"/>
      <c r="M101" s="729"/>
      <c r="N101" s="729"/>
      <c r="O101" s="729"/>
      <c r="P101" s="729"/>
      <c r="Q101" s="729"/>
    </row>
    <row r="102" spans="1:3" ht="13">
      <c r="A102" s="251" t="s">
        <v>304</v>
      </c>
      <c r="C102" s="215" t="s">
        <v>442</v>
      </c>
    </row>
    <row r="103" spans="1:17" ht="13">
      <c r="A103" s="231" t="s">
        <v>306</v>
      </c>
      <c r="C103" s="315" t="s">
        <v>443</v>
      </c>
      <c r="D103" s="315"/>
      <c r="E103" s="315"/>
      <c r="F103" s="315"/>
      <c r="G103" s="315"/>
      <c r="H103" s="315"/>
      <c r="I103" s="315"/>
      <c r="J103" s="315"/>
      <c r="K103" s="315"/>
      <c r="L103" s="315"/>
      <c r="M103" s="315"/>
      <c r="N103" s="315"/>
      <c r="O103" s="315"/>
      <c r="P103" s="224"/>
      <c r="Q103" s="269"/>
    </row>
    <row r="104" spans="1:17" ht="13">
      <c r="A104" s="231" t="s">
        <v>308</v>
      </c>
      <c r="C104" s="215" t="s">
        <v>444</v>
      </c>
      <c r="D104" s="231"/>
      <c r="E104" s="251"/>
      <c r="F104" s="251"/>
      <c r="G104" s="224"/>
      <c r="J104" s="249"/>
      <c r="P104" s="224"/>
      <c r="Q104" s="246"/>
    </row>
    <row r="105" spans="1:3" ht="13">
      <c r="A105" s="251" t="s">
        <v>312</v>
      </c>
      <c r="C105" s="3" t="s">
        <v>445</v>
      </c>
    </row>
    <row r="106" spans="1:3" ht="13">
      <c r="A106" s="251" t="s">
        <v>446</v>
      </c>
      <c r="C106" s="215" t="s">
        <v>447</v>
      </c>
    </row>
    <row r="107" spans="1:3" ht="13">
      <c r="A107" s="251" t="s">
        <v>316</v>
      </c>
      <c r="C107" s="215" t="s">
        <v>448</v>
      </c>
    </row>
    <row r="108" spans="3:3" ht="13">
      <c r="C108" s="215" t="s">
        <v>449</v>
      </c>
    </row>
    <row r="109" spans="3:7" ht="15.5">
      <c r="C109" s="730"/>
      <c r="D109" s="730"/>
      <c r="E109" s="730"/>
      <c r="F109" s="730"/>
      <c r="G109" s="730"/>
    </row>
  </sheetData>
  <mergeCells count="9">
    <mergeCell ref="C100:Q100"/>
    <mergeCell ref="C101:Q101"/>
    <mergeCell ref="C109:G109"/>
    <mergeCell ref="C93:Q93"/>
    <mergeCell ref="C94:Q94"/>
    <mergeCell ref="C95:Q95"/>
    <mergeCell ref="C97:Q97"/>
    <mergeCell ref="C98:Q98"/>
    <mergeCell ref="C99:Q99"/>
  </mergeCells>
  <pageMargins left="0.25" right="0.25" top="0.75" bottom="0.75" header="0.3" footer="0.3"/>
  <pageSetup fitToHeight="2" fitToWidth="2" horizontalDpi="300" verticalDpi="300" orientation="landscape" scale="41" r:id="rId1"/>
  <rowBreaks count="1" manualBreakCount="1">
    <brk id="50" max="18"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K48"/>
  <sheetViews>
    <sheetView zoomScale="70" zoomScaleNormal="70" zoomScaleSheetLayoutView="75" workbookViewId="0" topLeftCell="A1"/>
  </sheetViews>
  <sheetFormatPr defaultColWidth="8.84555555555555" defaultRowHeight="15.75"/>
  <cols>
    <col min="1" max="1" width="5.55555555555556" style="316" customWidth="1"/>
    <col min="2" max="2" width="21.5555555555556" style="317" customWidth="1"/>
    <col min="3" max="3" width="32.4444444444444" style="317" customWidth="1"/>
    <col min="4" max="4" width="25.2222222222222" style="317" customWidth="1"/>
    <col min="5" max="5" width="9.77777777777778" style="317" customWidth="1"/>
    <col min="6" max="6" width="6.55555555555556" style="317" customWidth="1"/>
    <col min="7" max="7" width="9" style="317" bestFit="1" customWidth="1"/>
    <col min="8" max="8" width="5.77777777777778" style="317" bestFit="1" customWidth="1"/>
    <col min="9" max="9" width="12.2222222222222" style="317" customWidth="1"/>
    <col min="10" max="10" width="24.1111111111111" style="330" bestFit="1" customWidth="1"/>
    <col min="11" max="11" width="12.5555555555556" style="321" customWidth="1"/>
    <col min="12" max="16384" width="8.88888888888889" style="321"/>
  </cols>
  <sheetData>
    <row r="1" spans="3:10" ht="15.5">
      <c r="C1" s="318"/>
      <c r="D1" s="318"/>
      <c r="E1" s="318"/>
      <c r="F1" s="319"/>
      <c r="G1" s="318"/>
      <c r="H1" s="318"/>
      <c r="I1" s="318"/>
      <c r="J1" s="320"/>
    </row>
    <row r="2" spans="2:10" ht="15.5">
      <c r="B2" s="316"/>
      <c r="C2" s="318"/>
      <c r="D2" s="318"/>
      <c r="E2" s="318"/>
      <c r="F2" s="319"/>
      <c r="G2" s="318"/>
      <c r="H2" s="318"/>
      <c r="I2" s="318"/>
      <c r="J2" s="320"/>
    </row>
    <row r="3" spans="3:11" ht="15.5">
      <c r="C3" s="318"/>
      <c r="D3" s="322" t="s">
        <v>11</v>
      </c>
      <c r="E3" s="322"/>
      <c r="F3" s="319" t="s">
        <v>450</v>
      </c>
      <c r="H3" s="322"/>
      <c r="I3" s="322"/>
      <c r="J3" s="323"/>
      <c r="K3" s="324" t="s">
        <v>451</v>
      </c>
    </row>
    <row r="4" spans="2:11" ht="15.5">
      <c r="B4" s="325"/>
      <c r="C4" s="325"/>
      <c r="D4" s="325"/>
      <c r="E4" s="325"/>
      <c r="F4" s="326" t="s">
        <v>452</v>
      </c>
      <c r="H4" s="325"/>
      <c r="I4" s="325"/>
      <c r="J4" s="325"/>
      <c r="K4" s="327"/>
    </row>
    <row r="5" spans="2:11" ht="15.5">
      <c r="B5" s="325"/>
      <c r="C5" s="325"/>
      <c r="D5" s="325"/>
      <c r="F5" s="328" t="str">
        <f>'Attachment H'!$D$5</f>
        <v>NextEra Energy Transmission MidAtlantic Indiana, Inc.</v>
      </c>
      <c r="H5" s="325"/>
      <c r="I5" s="325"/>
      <c r="J5" s="325"/>
      <c r="K5" s="325"/>
    </row>
    <row r="6" ht="15.5"/>
    <row r="7" spans="1:11" ht="15.5">
      <c r="A7" s="316">
        <v>1</v>
      </c>
      <c r="B7" s="317" t="s">
        <v>453</v>
      </c>
      <c r="C7" s="317" t="s">
        <v>454</v>
      </c>
      <c r="J7" s="317"/>
      <c r="K7" s="329">
        <f>+'Attachment H'!I106</f>
        <v>36910.536570975659</v>
      </c>
    </row>
    <row r="8" spans="10:11" ht="15.5">
      <c r="J8" s="317"/>
      <c r="K8" s="330"/>
    </row>
    <row r="9" spans="1:11" ht="16" thickBot="1">
      <c r="A9" s="331">
        <f>+A7+1</f>
        <v>2</v>
      </c>
      <c r="B9" s="332" t="s">
        <v>455</v>
      </c>
      <c r="C9" s="333"/>
      <c r="D9" s="333"/>
      <c r="E9" s="333"/>
      <c r="F9" s="333"/>
      <c r="G9" s="333"/>
      <c r="H9" s="333"/>
      <c r="I9" s="333"/>
      <c r="J9" s="334" t="s">
        <v>220</v>
      </c>
      <c r="K9" s="330"/>
    </row>
    <row r="10" spans="1:11" ht="15.5">
      <c r="A10" s="331"/>
      <c r="B10" s="335"/>
      <c r="C10" s="333"/>
      <c r="D10" s="333"/>
      <c r="E10" s="333"/>
      <c r="F10" s="333"/>
      <c r="G10" s="333"/>
      <c r="H10" s="336" t="s">
        <v>248</v>
      </c>
      <c r="I10" s="333"/>
      <c r="J10" s="333"/>
      <c r="K10" s="330"/>
    </row>
    <row r="11" spans="1:11" ht="16" thickBot="1">
      <c r="A11" s="331"/>
      <c r="B11" s="335"/>
      <c r="C11" s="333"/>
      <c r="D11" s="333"/>
      <c r="E11" s="337" t="s">
        <v>220</v>
      </c>
      <c r="F11" s="337" t="s">
        <v>249</v>
      </c>
      <c r="G11" s="333"/>
      <c r="H11" s="337"/>
      <c r="I11" s="333"/>
      <c r="J11" s="337" t="s">
        <v>250</v>
      </c>
      <c r="K11" s="330"/>
    </row>
    <row r="12" spans="1:11" ht="15.5">
      <c r="A12" s="331">
        <f>+A9+1</f>
        <v>3</v>
      </c>
      <c r="B12" s="332" t="s">
        <v>251</v>
      </c>
      <c r="C12" s="338" t="s">
        <v>456</v>
      </c>
      <c r="D12" s="338"/>
      <c r="E12" s="339">
        <v>0</v>
      </c>
      <c r="F12" s="340">
        <v>0</v>
      </c>
      <c r="G12" s="341"/>
      <c r="H12" s="340">
        <v>0</v>
      </c>
      <c r="I12" s="341"/>
      <c r="J12" s="341">
        <f>F12*H12</f>
        <v>0</v>
      </c>
      <c r="K12" s="330"/>
    </row>
    <row r="13" spans="1:11" ht="15.5">
      <c r="A13" s="331">
        <f>+A12+1</f>
        <v>4</v>
      </c>
      <c r="B13" s="332" t="s">
        <v>457</v>
      </c>
      <c r="C13" s="338" t="s">
        <v>456</v>
      </c>
      <c r="D13" s="338"/>
      <c r="E13" s="339">
        <v>0</v>
      </c>
      <c r="F13" s="340">
        <v>0</v>
      </c>
      <c r="G13" s="341"/>
      <c r="H13" s="341">
        <v>0</v>
      </c>
      <c r="I13" s="341"/>
      <c r="J13" s="341">
        <f>F13*H13</f>
        <v>0</v>
      </c>
      <c r="K13" s="330"/>
    </row>
    <row r="14" spans="1:11" ht="31.5" thickBot="1">
      <c r="A14" s="331">
        <f>+A13+1</f>
        <v>5</v>
      </c>
      <c r="B14" s="332" t="s">
        <v>256</v>
      </c>
      <c r="C14" s="338" t="s">
        <v>458</v>
      </c>
      <c r="D14" s="342" t="s">
        <v>459</v>
      </c>
      <c r="E14" s="343">
        <v>0</v>
      </c>
      <c r="F14" s="340">
        <v>0</v>
      </c>
      <c r="G14" s="341"/>
      <c r="H14" s="344">
        <f>+'Attachment H'!G212+0.01</f>
        <v>0.111</v>
      </c>
      <c r="I14" s="341"/>
      <c r="J14" s="345">
        <f>F14*H14</f>
        <v>0</v>
      </c>
      <c r="K14" s="330"/>
    </row>
    <row r="15" spans="1:11" ht="15.5">
      <c r="A15" s="331">
        <f>+A14+1</f>
        <v>6</v>
      </c>
      <c r="B15" s="335" t="s">
        <v>460</v>
      </c>
      <c r="C15" s="346"/>
      <c r="D15" s="346"/>
      <c r="E15" s="347">
        <f>SUM(E12:E14)</f>
        <v>0</v>
      </c>
      <c r="F15" s="341" t="s">
        <v>11</v>
      </c>
      <c r="G15" s="341"/>
      <c r="H15" s="341"/>
      <c r="I15" s="341"/>
      <c r="J15" s="341">
        <f>SUM(J12:J14)</f>
        <v>0</v>
      </c>
      <c r="K15" s="330"/>
    </row>
    <row r="16" spans="1:11" ht="15.5">
      <c r="A16" s="331">
        <f t="shared" si="0" ref="A16:A40">+A15+1</f>
        <v>7</v>
      </c>
      <c r="B16" s="335" t="s">
        <v>461</v>
      </c>
      <c r="C16" s="346"/>
      <c r="D16" s="346"/>
      <c r="E16" s="347"/>
      <c r="F16" s="333"/>
      <c r="G16" s="333"/>
      <c r="H16" s="333"/>
      <c r="I16" s="333"/>
      <c r="J16" s="341"/>
      <c r="K16" s="341">
        <f>+J15*K7</f>
        <v>0</v>
      </c>
    </row>
    <row r="17" spans="1:11" ht="15.5">
      <c r="A17" s="331"/>
      <c r="J17" s="317"/>
      <c r="K17" s="330"/>
    </row>
    <row r="18" spans="1:11" ht="15.5">
      <c r="A18" s="331">
        <f>+A16+1</f>
        <v>8</v>
      </c>
      <c r="B18" s="335" t="s">
        <v>176</v>
      </c>
      <c r="C18" s="348"/>
      <c r="D18" s="348"/>
      <c r="E18" s="333"/>
      <c r="F18" s="333"/>
      <c r="G18" s="346"/>
      <c r="H18" s="349"/>
      <c r="I18" s="333"/>
      <c r="J18" s="346"/>
      <c r="K18" s="330"/>
    </row>
    <row r="19" spans="1:11" ht="15.5">
      <c r="A19" s="331">
        <f>+A18+1</f>
        <v>9</v>
      </c>
      <c r="B19" s="350" t="s">
        <v>462</v>
      </c>
      <c r="C19" s="333"/>
      <c r="D19" s="28"/>
      <c r="E19" s="351">
        <f>IF('Attachment H'!D252&gt;0,1-(((1-'Attachment H'!D253)*(1-'Attachment H'!D252))/(1-'Attachment H'!D252*'Attachment H'!D253*'Attachment H'!D254)),0)</f>
        <v>0.251475</v>
      </c>
      <c r="F19" s="351"/>
      <c r="G19" s="346"/>
      <c r="H19" s="349"/>
      <c r="I19" s="333"/>
      <c r="J19" s="346"/>
      <c r="K19" s="330"/>
    </row>
    <row r="20" spans="1:11" ht="15.5">
      <c r="A20" s="331">
        <f>+A19+1</f>
        <v>10</v>
      </c>
      <c r="B20" s="346" t="s">
        <v>179</v>
      </c>
      <c r="C20" s="333"/>
      <c r="D20" s="28"/>
      <c r="E20" s="351">
        <f>IF(J15&gt;0,(E19/(1-E19))*(1-J12/J15),0)</f>
        <v>0</v>
      </c>
      <c r="F20" s="333"/>
      <c r="G20" s="346"/>
      <c r="H20" s="349"/>
      <c r="I20" s="333"/>
      <c r="J20" s="346"/>
      <c r="K20" s="330"/>
    </row>
    <row r="21" spans="1:11" ht="15.5">
      <c r="A21" s="331">
        <f>+A20+1</f>
        <v>11</v>
      </c>
      <c r="B21" s="348" t="s">
        <v>463</v>
      </c>
      <c r="C21" s="348"/>
      <c r="D21" s="28"/>
      <c r="E21" s="333"/>
      <c r="F21" s="333"/>
      <c r="G21" s="346"/>
      <c r="H21" s="349"/>
      <c r="I21" s="333"/>
      <c r="J21" s="346"/>
      <c r="K21" s="330"/>
    </row>
    <row r="22" spans="1:11" ht="15.5">
      <c r="A22" s="331">
        <f>+A21+1</f>
        <v>12</v>
      </c>
      <c r="B22" s="352" t="s">
        <v>464</v>
      </c>
      <c r="C22" s="348"/>
      <c r="D22" s="348"/>
      <c r="E22" s="333"/>
      <c r="F22" s="333"/>
      <c r="G22" s="346"/>
      <c r="H22" s="349"/>
      <c r="I22" s="333"/>
      <c r="J22" s="346"/>
      <c r="K22" s="330"/>
    </row>
    <row r="23" spans="1:11" ht="15.5">
      <c r="A23" s="331">
        <f>+A22+1</f>
        <v>13</v>
      </c>
      <c r="B23" s="353" t="str">
        <f>"      1 / (1 - T)  =  (from line "&amp;A19&amp;")"</f>
        <v xml:space="preserve">      1 / (1 - T)  =  (from line 9)</v>
      </c>
      <c r="C23" s="348"/>
      <c r="D23" s="348"/>
      <c r="E23" s="351">
        <f>IF(E19&gt;0,1/(1-E19),0)</f>
        <v>1.335960722754751</v>
      </c>
      <c r="F23" s="333"/>
      <c r="G23" s="346"/>
      <c r="H23" s="349"/>
      <c r="I23" s="333"/>
      <c r="J23" s="346"/>
      <c r="K23" s="330"/>
    </row>
    <row r="24" spans="1:11" ht="15.5">
      <c r="A24" s="331">
        <f>+A23+1</f>
        <v>14</v>
      </c>
      <c r="B24" s="352" t="s">
        <v>465</v>
      </c>
      <c r="C24" s="348"/>
      <c r="D24" s="348" t="s">
        <v>466</v>
      </c>
      <c r="E24" s="354">
        <f>+'Attachment H'!D160</f>
        <v>0</v>
      </c>
      <c r="F24" s="333"/>
      <c r="G24" s="346"/>
      <c r="H24" s="349"/>
      <c r="I24" s="333"/>
      <c r="J24" s="346"/>
      <c r="K24" s="330"/>
    </row>
    <row r="25" spans="1:11" ht="15.5">
      <c r="A25" s="331">
        <f>+A24+1</f>
        <v>15</v>
      </c>
      <c r="B25" s="352" t="s">
        <v>467</v>
      </c>
      <c r="C25" s="348"/>
      <c r="D25" s="348" t="s">
        <v>468</v>
      </c>
      <c r="E25" s="354">
        <f>+'Attachment H'!D161</f>
        <v>0</v>
      </c>
      <c r="F25" s="333"/>
      <c r="G25" s="346"/>
      <c r="H25" s="355"/>
      <c r="I25" s="333"/>
      <c r="J25" s="346"/>
      <c r="K25" s="330"/>
    </row>
    <row r="26" spans="1:11" ht="15.5">
      <c r="A26" s="331">
        <f>+A25+1</f>
        <v>16</v>
      </c>
      <c r="B26" s="352" t="s">
        <v>469</v>
      </c>
      <c r="C26" s="348"/>
      <c r="D26" s="348" t="s">
        <v>470</v>
      </c>
      <c r="E26" s="354">
        <f>+'Attachment H'!D162</f>
        <v>0</v>
      </c>
      <c r="F26" s="333"/>
      <c r="G26" s="346"/>
      <c r="H26" s="349"/>
      <c r="I26" s="333"/>
      <c r="J26" s="346"/>
      <c r="K26" s="330"/>
    </row>
    <row r="27" spans="1:11" ht="15.5">
      <c r="A27" s="331">
        <f>+A26+1</f>
        <v>17</v>
      </c>
      <c r="B27" s="353" t="str">
        <f>"Income Tax Calculation = line "&amp;A20&amp;" * line "&amp;A16&amp;""</f>
        <v>Income Tax Calculation = line 10 * line 7</v>
      </c>
      <c r="C27" s="356"/>
      <c r="E27" s="357">
        <f>+E20*K33</f>
        <v>0</v>
      </c>
      <c r="F27" s="358"/>
      <c r="G27" s="358" t="s">
        <v>50</v>
      </c>
      <c r="H27" s="359"/>
      <c r="I27" s="358"/>
      <c r="J27" s="357">
        <f>+E20*K16</f>
        <v>0</v>
      </c>
      <c r="K27" s="330"/>
    </row>
    <row r="28" spans="1:11" ht="15.5">
      <c r="A28" s="331">
        <f>+A27+1</f>
        <v>18</v>
      </c>
      <c r="B28" s="338" t="str">
        <f>"ITC adjustment (line "&amp;A23&amp;" * line "&amp;A24&amp;")"</f>
        <v>ITC adjustment (line 13 * line 14)</v>
      </c>
      <c r="C28" s="356"/>
      <c r="D28" s="356"/>
      <c r="E28" s="357">
        <f>+E$23*E24</f>
        <v>0</v>
      </c>
      <c r="F28" s="358"/>
      <c r="G28" s="360" t="s">
        <v>83</v>
      </c>
      <c r="H28" s="341">
        <f>+'Attachment H'!G84</f>
        <v>1</v>
      </c>
      <c r="I28" s="358"/>
      <c r="J28" s="357">
        <f>+E28*H28</f>
        <v>0</v>
      </c>
      <c r="K28" s="330"/>
    </row>
    <row r="29" spans="1:11" ht="15.5">
      <c r="A29" s="331">
        <f>+A28+1</f>
        <v>19</v>
      </c>
      <c r="B29" s="338" t="str">
        <f>"Excess Deferred Income Tax Adjustment (line "&amp;A23&amp;" * line "&amp;A25&amp;")"</f>
        <v>Excess Deferred Income Tax Adjustment (line 13 * line 15)</v>
      </c>
      <c r="C29" s="356"/>
      <c r="D29" s="356"/>
      <c r="E29" s="357">
        <f>+E$23*E25</f>
        <v>0</v>
      </c>
      <c r="F29" s="358"/>
      <c r="G29" s="360" t="s">
        <v>83</v>
      </c>
      <c r="H29" s="341">
        <f>H28</f>
        <v>1</v>
      </c>
      <c r="I29" s="358"/>
      <c r="J29" s="357">
        <f>+E29*H29</f>
        <v>0</v>
      </c>
      <c r="K29" s="330"/>
    </row>
    <row r="30" spans="1:11" ht="15.5">
      <c r="A30" s="331">
        <f>+A29+1</f>
        <v>20</v>
      </c>
      <c r="B30" s="338" t="str">
        <f>"Permanent Differences Tax Adjustment (line "&amp;A23&amp;" * "&amp;A26&amp;")"</f>
        <v>Permanent Differences Tax Adjustment (line 13 * 16)</v>
      </c>
      <c r="C30" s="356"/>
      <c r="D30" s="356"/>
      <c r="E30" s="361">
        <f>+E$23*E26</f>
        <v>0</v>
      </c>
      <c r="F30" s="358"/>
      <c r="G30" s="360" t="s">
        <v>83</v>
      </c>
      <c r="H30" s="341">
        <f>H29</f>
        <v>1</v>
      </c>
      <c r="I30" s="358"/>
      <c r="J30" s="361">
        <f>+E30*H30</f>
        <v>0</v>
      </c>
      <c r="K30" s="330"/>
    </row>
    <row r="31" spans="1:11" ht="15.5">
      <c r="A31" s="331">
        <f>+A30+1</f>
        <v>21</v>
      </c>
      <c r="B31" s="362" t="str">
        <f>"Total Income Taxes (sum lines "&amp;A27&amp;" - "&amp;A30&amp;")"</f>
        <v>Total Income Taxes (sum lines 17 - 20)</v>
      </c>
      <c r="C31" s="338"/>
      <c r="D31" s="338"/>
      <c r="E31" s="354">
        <f>SUM(E27:E30)</f>
        <v>0</v>
      </c>
      <c r="F31" s="358"/>
      <c r="G31" s="358" t="s">
        <v>11</v>
      </c>
      <c r="H31" s="359" t="s">
        <v>11</v>
      </c>
      <c r="I31" s="358"/>
      <c r="J31" s="354">
        <f>SUM(J27:J30)</f>
        <v>0</v>
      </c>
      <c r="K31" s="341">
        <f>+J31</f>
        <v>0</v>
      </c>
    </row>
    <row r="32" spans="1:11" ht="15.5">
      <c r="A32" s="331"/>
      <c r="J32" s="317"/>
      <c r="K32" s="330"/>
    </row>
    <row r="33" spans="1:11" ht="15.5">
      <c r="A33" s="331">
        <f>+A31+1</f>
        <v>22</v>
      </c>
      <c r="B33" s="338" t="s">
        <v>471</v>
      </c>
      <c r="D33" s="317" t="s">
        <v>472</v>
      </c>
      <c r="J33" s="317"/>
      <c r="K33" s="341">
        <f>+K31+K16</f>
        <v>0</v>
      </c>
    </row>
    <row r="34" spans="1:11" ht="15.5">
      <c r="A34" s="331"/>
      <c r="J34" s="317"/>
      <c r="K34" s="330"/>
    </row>
    <row r="35" spans="1:11" ht="15.5">
      <c r="A35" s="331">
        <f>+A33+1</f>
        <v>23</v>
      </c>
      <c r="B35" s="317" t="s">
        <v>473</v>
      </c>
      <c r="J35" s="317"/>
      <c r="K35" s="341">
        <f>+'Attachment H'!I170</f>
        <v>2788.9601433029206</v>
      </c>
    </row>
    <row r="36" spans="1:11" ht="15.5">
      <c r="A36" s="331">
        <f>+A35+1</f>
        <v>24</v>
      </c>
      <c r="B36" s="317" t="s">
        <v>474</v>
      </c>
      <c r="J36" s="317"/>
      <c r="K36" s="341">
        <f>+'Attachment H'!I167</f>
        <v>751.46972694522947</v>
      </c>
    </row>
    <row r="37" spans="1:11" ht="15.5">
      <c r="A37" s="331">
        <f>+A36+1</f>
        <v>25</v>
      </c>
      <c r="B37" s="338" t="s">
        <v>475</v>
      </c>
      <c r="D37" s="317" t="s">
        <v>476</v>
      </c>
      <c r="J37" s="317"/>
      <c r="K37" s="363">
        <f>SUM(K35:K36)</f>
        <v>3540.4298702481501</v>
      </c>
    </row>
    <row r="38" spans="1:11" ht="15.5">
      <c r="A38" s="331">
        <f>+A37+1</f>
        <v>26</v>
      </c>
      <c r="B38" s="338" t="s">
        <v>477</v>
      </c>
      <c r="D38" s="317" t="s">
        <v>478</v>
      </c>
      <c r="J38" s="317"/>
      <c r="K38" s="341">
        <f>+K33-K37</f>
        <v>-3540.4298702481501</v>
      </c>
    </row>
    <row r="39" spans="1:11" ht="15.5">
      <c r="A39" s="331">
        <f>+A38+1</f>
        <v>27</v>
      </c>
      <c r="B39" s="317" t="s">
        <v>479</v>
      </c>
      <c r="J39" s="317"/>
      <c r="K39" s="364">
        <f>+K7</f>
        <v>36910.536570975659</v>
      </c>
    </row>
    <row r="40" spans="1:11" ht="15.5">
      <c r="A40" s="331">
        <f>+A39+1</f>
        <v>28</v>
      </c>
      <c r="B40" s="317" t="s">
        <v>480</v>
      </c>
      <c r="E40" s="317" t="s">
        <v>481</v>
      </c>
      <c r="J40" s="317"/>
      <c r="K40" s="365">
        <f>IF(K39=0,0,K38/K39)</f>
        <v>-0.095919219798937902</v>
      </c>
    </row>
    <row r="41" spans="10:11" ht="15.5">
      <c r="J41" s="317"/>
      <c r="K41" s="330"/>
    </row>
    <row r="42" spans="1:11" ht="15.5">
      <c r="A42" s="316" t="s">
        <v>482</v>
      </c>
      <c r="J42" s="317"/>
      <c r="K42" s="330"/>
    </row>
    <row r="43" spans="1:11" ht="15.5">
      <c r="A43" s="366" t="s">
        <v>431</v>
      </c>
      <c r="B43" s="329" t="s">
        <v>483</v>
      </c>
      <c r="J43" s="317"/>
      <c r="K43" s="330"/>
    </row>
    <row r="44" spans="1:11" ht="15.5">
      <c r="A44" s="366"/>
      <c r="B44" s="317" t="s">
        <v>484</v>
      </c>
      <c r="J44" s="317"/>
      <c r="K44" s="330"/>
    </row>
    <row r="45" spans="1:11" ht="15.5">
      <c r="A45" s="366"/>
      <c r="B45" s="317" t="s">
        <v>485</v>
      </c>
      <c r="J45" s="317"/>
      <c r="K45" s="330"/>
    </row>
    <row r="46" spans="1:11" ht="15.5">
      <c r="A46" s="366"/>
      <c r="B46" s="317" t="s">
        <v>486</v>
      </c>
      <c r="J46" s="317"/>
      <c r="K46" s="330"/>
    </row>
    <row r="47" spans="1:11" ht="15.5">
      <c r="A47" s="366" t="s">
        <v>433</v>
      </c>
      <c r="B47" s="317" t="s">
        <v>487</v>
      </c>
      <c r="J47" s="317"/>
      <c r="K47" s="330"/>
    </row>
    <row r="48" spans="2:11" ht="15.5">
      <c r="B48" s="317" t="s">
        <v>488</v>
      </c>
      <c r="J48" s="317"/>
      <c r="K48" s="330"/>
    </row>
    <row r="68" ht="24" customHeight="1"/>
  </sheetData>
  <pageMargins left="0.7" right="0.7" top="0.75" bottom="0.75" header="0.3" footer="0.3"/>
  <pageSetup orientation="landscape" scale="62"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64"/>
  <sheetViews>
    <sheetView zoomScale="65" zoomScaleNormal="65" zoomScaleSheetLayoutView="75" workbookViewId="0" topLeftCell="A1"/>
  </sheetViews>
  <sheetFormatPr defaultColWidth="8.76555555555556" defaultRowHeight="13.5"/>
  <cols>
    <col min="1" max="1" width="6" style="215" customWidth="1"/>
    <col min="2" max="2" width="27.1111111111111" style="215" customWidth="1"/>
    <col min="3" max="3" width="11.2222222222222" style="215" customWidth="1"/>
    <col min="4" max="4" width="18.7777777777778" style="215" customWidth="1"/>
    <col min="5" max="5" width="22.2222222222222" style="215" customWidth="1"/>
    <col min="6" max="6" width="15.2222222222222" style="215" customWidth="1"/>
    <col min="7" max="7" width="18.2222222222222" style="215" customWidth="1"/>
    <col min="8" max="8" width="14.4444444444444" style="215" customWidth="1"/>
    <col min="9" max="9" width="18.5555555555556" style="215" customWidth="1"/>
    <col min="10" max="10" width="13.7777777777778" style="215" customWidth="1"/>
    <col min="11" max="11" width="14.4444444444444" style="215" customWidth="1"/>
    <col min="12" max="12" width="13.5555555555556" style="215" customWidth="1"/>
    <col min="13" max="13" width="8.77777777777778" style="215"/>
    <col min="14" max="16384" width="8.77777777777778" style="215"/>
  </cols>
  <sheetData>
    <row r="1" spans="10:10" ht="13">
      <c r="J1" s="217" t="s">
        <v>451</v>
      </c>
    </row>
    <row r="2" ht="13"/>
    <row r="3" ht="13"/>
    <row r="4" ht="13"/>
    <row r="5" spans="1:12" ht="13">
      <c r="A5" s="367"/>
      <c r="D5" s="217"/>
      <c r="E5" s="218" t="s">
        <v>489</v>
      </c>
      <c r="F5" s="217"/>
      <c r="G5" s="217"/>
      <c r="I5" s="217"/>
      <c r="J5" s="217"/>
      <c r="K5" s="217"/>
      <c r="L5" s="219"/>
    </row>
    <row r="6" spans="1:12" ht="13">
      <c r="A6" s="367"/>
      <c r="D6" s="217"/>
      <c r="E6" s="368" t="s">
        <v>490</v>
      </c>
      <c r="F6" s="224"/>
      <c r="G6" s="224"/>
      <c r="I6" s="224"/>
      <c r="J6" s="224"/>
      <c r="K6" s="224"/>
      <c r="L6" s="219"/>
    </row>
    <row r="7" spans="1:12" ht="13">
      <c r="A7" s="367"/>
      <c r="C7" s="222"/>
      <c r="D7" s="222"/>
      <c r="E7" s="72" t="str">
        <f>'Attachment H'!$D$5</f>
        <v>NextEra Energy Transmission MidAtlantic Indiana, Inc.</v>
      </c>
      <c r="F7" s="222"/>
      <c r="G7" s="222"/>
      <c r="I7" s="222"/>
      <c r="J7" s="222"/>
      <c r="K7" s="222"/>
      <c r="L7" s="222"/>
    </row>
    <row r="8" spans="1:12" s="370" customFormat="1" ht="13">
      <c r="A8" s="369"/>
      <c r="B8" s="215"/>
      <c r="C8" s="215"/>
      <c r="D8" s="215"/>
      <c r="E8" s="238"/>
      <c r="F8" s="238"/>
      <c r="G8" s="238"/>
      <c r="H8" s="215"/>
      <c r="I8" s="222"/>
      <c r="J8" s="222"/>
      <c r="K8" s="222"/>
      <c r="L8" s="222"/>
    </row>
    <row r="9" spans="1:12" s="370" customFormat="1" ht="13">
      <c r="A9" s="371"/>
      <c r="B9" s="372"/>
      <c r="C9" s="372"/>
      <c r="D9" s="372"/>
      <c r="E9" s="372"/>
      <c r="F9" s="372"/>
      <c r="G9" s="372"/>
      <c r="H9" s="372"/>
      <c r="I9" s="372"/>
      <c r="J9" s="372"/>
      <c r="K9" s="373"/>
      <c r="L9" s="372"/>
    </row>
    <row r="10" spans="1:11" s="370" customFormat="1" ht="13">
      <c r="A10" s="371"/>
      <c r="B10" s="372"/>
      <c r="C10" s="372"/>
      <c r="D10" s="733" t="s">
        <v>491</v>
      </c>
      <c r="E10" s="734"/>
      <c r="F10" s="374"/>
      <c r="G10" s="375" t="s">
        <v>492</v>
      </c>
      <c r="H10" s="374"/>
      <c r="I10" s="376"/>
      <c r="J10" s="376"/>
      <c r="K10" s="377"/>
    </row>
    <row r="11" spans="1:11" s="370" customFormat="1" ht="15.5">
      <c r="A11" s="371">
        <v>1</v>
      </c>
      <c r="B11" s="372" t="s">
        <v>493</v>
      </c>
      <c r="C11" s="372"/>
      <c r="D11" s="735" t="s">
        <v>494</v>
      </c>
      <c r="E11" s="736"/>
      <c r="F11" s="378" t="s">
        <v>495</v>
      </c>
      <c r="G11" s="379" t="s">
        <v>496</v>
      </c>
      <c r="H11" s="378" t="s">
        <v>497</v>
      </c>
      <c r="I11" s="380"/>
      <c r="J11" s="380"/>
      <c r="K11" s="381"/>
    </row>
    <row r="12" spans="1:11" s="370" customFormat="1" ht="13">
      <c r="A12" s="371">
        <v>2</v>
      </c>
      <c r="B12" s="382"/>
      <c r="C12" s="372"/>
      <c r="D12" s="383"/>
      <c r="E12" s="383"/>
      <c r="F12" s="384">
        <v>0</v>
      </c>
      <c r="G12" s="385"/>
      <c r="H12" s="383"/>
      <c r="I12" s="383"/>
      <c r="J12" s="383"/>
      <c r="K12" s="374"/>
    </row>
    <row r="13" spans="2:13" s="370" customFormat="1" ht="13">
      <c r="B13" s="386" t="s">
        <v>431</v>
      </c>
      <c r="C13" s="386" t="s">
        <v>433</v>
      </c>
      <c r="D13" s="379" t="s">
        <v>286</v>
      </c>
      <c r="E13" s="379" t="s">
        <v>288</v>
      </c>
      <c r="F13" s="375" t="s">
        <v>290</v>
      </c>
      <c r="G13" s="386" t="s">
        <v>292</v>
      </c>
      <c r="H13" s="387" t="s">
        <v>294</v>
      </c>
      <c r="I13" s="387" t="s">
        <v>302</v>
      </c>
      <c r="J13" s="387" t="s">
        <v>304</v>
      </c>
      <c r="K13" s="388" t="s">
        <v>306</v>
      </c>
      <c r="M13" s="389"/>
    </row>
    <row r="14" spans="1:11" s="370" customFormat="1" ht="13">
      <c r="A14" s="371"/>
      <c r="B14" s="383"/>
      <c r="C14" s="375"/>
      <c r="D14" s="375"/>
      <c r="E14" s="390" t="s">
        <v>498</v>
      </c>
      <c r="F14" s="375"/>
      <c r="G14" s="375"/>
      <c r="H14" s="383"/>
      <c r="I14" s="375"/>
      <c r="J14" s="383"/>
      <c r="K14" s="383"/>
    </row>
    <row r="15" spans="1:11" s="370" customFormat="1" ht="13">
      <c r="A15" s="371"/>
      <c r="B15" s="385"/>
      <c r="C15" s="387"/>
      <c r="D15" s="387" t="s">
        <v>499</v>
      </c>
      <c r="E15" s="388" t="s">
        <v>22</v>
      </c>
      <c r="F15" s="387" t="s">
        <v>500</v>
      </c>
      <c r="G15" s="387" t="s">
        <v>501</v>
      </c>
      <c r="H15" s="387" t="s">
        <v>502</v>
      </c>
      <c r="I15" s="387"/>
      <c r="J15" s="387" t="s">
        <v>503</v>
      </c>
      <c r="K15" s="387"/>
    </row>
    <row r="16" spans="1:11" s="370" customFormat="1" ht="13">
      <c r="A16" s="371"/>
      <c r="B16" s="387" t="s">
        <v>504</v>
      </c>
      <c r="C16" s="387"/>
      <c r="D16" s="387" t="s">
        <v>505</v>
      </c>
      <c r="E16" s="388" t="s">
        <v>506</v>
      </c>
      <c r="F16" s="387" t="s">
        <v>507</v>
      </c>
      <c r="G16" s="387" t="s">
        <v>505</v>
      </c>
      <c r="H16" s="387" t="s">
        <v>508</v>
      </c>
      <c r="I16" s="375" t="s">
        <v>509</v>
      </c>
      <c r="J16" s="387" t="s">
        <v>510</v>
      </c>
      <c r="K16" s="387" t="s">
        <v>511</v>
      </c>
    </row>
    <row r="17" spans="1:11" s="370" customFormat="1" ht="15.5">
      <c r="A17" s="371"/>
      <c r="B17" s="379" t="s">
        <v>512</v>
      </c>
      <c r="C17" s="379" t="s">
        <v>513</v>
      </c>
      <c r="D17" s="379" t="s">
        <v>514</v>
      </c>
      <c r="E17" s="388" t="s">
        <v>496</v>
      </c>
      <c r="F17" s="391" t="s">
        <v>515</v>
      </c>
      <c r="G17" s="379" t="s">
        <v>516</v>
      </c>
      <c r="H17" s="379" t="s">
        <v>517</v>
      </c>
      <c r="I17" s="387" t="s">
        <v>518</v>
      </c>
      <c r="J17" s="379" t="s">
        <v>519</v>
      </c>
      <c r="K17" s="379" t="s">
        <v>520</v>
      </c>
    </row>
    <row r="18" spans="1:11" s="370" customFormat="1" ht="13">
      <c r="A18" s="371">
        <v>3</v>
      </c>
      <c r="B18" s="385" t="s">
        <v>1</v>
      </c>
      <c r="C18" s="385"/>
      <c r="D18" s="392">
        <v>0</v>
      </c>
      <c r="E18" s="393">
        <f>IF(D$39=0,0,D18/D$39)</f>
        <v>0</v>
      </c>
      <c r="F18" s="394">
        <f>IF(F$12=0,0,#REF!*F$12)</f>
        <v>0</v>
      </c>
      <c r="G18" s="395">
        <v>0</v>
      </c>
      <c r="H18" s="396">
        <f t="shared" si="0" ref="H18:H37">+G18-F18</f>
        <v>0</v>
      </c>
      <c r="I18" s="397">
        <v>0</v>
      </c>
      <c r="J18" s="396">
        <f t="shared" si="1" ref="J18:J37">(H18+I18)*((J$41/12)*24)</f>
        <v>0</v>
      </c>
      <c r="K18" s="396">
        <f>+H18+J18+I18</f>
        <v>0</v>
      </c>
    </row>
    <row r="19" spans="1:11" s="370" customFormat="1" ht="13">
      <c r="A19" s="371" t="s">
        <v>521</v>
      </c>
      <c r="B19" s="398"/>
      <c r="C19" s="398"/>
      <c r="D19" s="399">
        <v>0</v>
      </c>
      <c r="E19" s="400">
        <f t="shared" si="2" ref="E19:E37">IF(D$39=0,0,D19/D$39)</f>
        <v>0</v>
      </c>
      <c r="F19" s="394">
        <f>IF(F$12=0,0,#REF!*F$12)</f>
        <v>0</v>
      </c>
      <c r="G19" s="401">
        <v>0</v>
      </c>
      <c r="H19" s="400">
        <f>+G19-F19</f>
        <v>0</v>
      </c>
      <c r="I19" s="402">
        <v>0</v>
      </c>
      <c r="J19" s="396">
        <f>(H19+I19)*((J$41/12)*24)</f>
        <v>0</v>
      </c>
      <c r="K19" s="396">
        <f t="shared" si="3" ref="K19:K37">+H19+J19+I19</f>
        <v>0</v>
      </c>
    </row>
    <row r="20" spans="1:11" s="370" customFormat="1" ht="13">
      <c r="A20" s="371" t="s">
        <v>522</v>
      </c>
      <c r="B20" s="398"/>
      <c r="C20" s="398"/>
      <c r="D20" s="399">
        <v>0</v>
      </c>
      <c r="E20" s="400">
        <f>IF(D$39=0,0,D20/D$39)</f>
        <v>0</v>
      </c>
      <c r="F20" s="394">
        <f>IF(F$12=0,0,#REF!*F$12)</f>
        <v>0</v>
      </c>
      <c r="G20" s="401">
        <v>0</v>
      </c>
      <c r="H20" s="400">
        <f>+G20-F20</f>
        <v>0</v>
      </c>
      <c r="I20" s="402">
        <v>0</v>
      </c>
      <c r="J20" s="396">
        <f>(H20+I20)*((J$41/12)*24)</f>
        <v>0</v>
      </c>
      <c r="K20" s="396">
        <f>+H20+J20+I20</f>
        <v>0</v>
      </c>
    </row>
    <row r="21" spans="1:11" s="370" customFormat="1" ht="13">
      <c r="A21" s="371" t="s">
        <v>523</v>
      </c>
      <c r="B21" s="398"/>
      <c r="C21" s="398"/>
      <c r="D21" s="399">
        <v>0</v>
      </c>
      <c r="E21" s="400">
        <f>IF(D$39=0,0,D21/D$39)</f>
        <v>0</v>
      </c>
      <c r="F21" s="394">
        <f>IF(F$12=0,0,#REF!*F$12)</f>
        <v>0</v>
      </c>
      <c r="G21" s="401">
        <v>0</v>
      </c>
      <c r="H21" s="400">
        <f>+G21-F21</f>
        <v>0</v>
      </c>
      <c r="I21" s="402">
        <v>0</v>
      </c>
      <c r="J21" s="396">
        <f>(H21+I21)*((J$41/12)*24)</f>
        <v>0</v>
      </c>
      <c r="K21" s="396">
        <f>+H21+J21+I21</f>
        <v>0</v>
      </c>
    </row>
    <row r="22" spans="1:11" s="370" customFormat="1" ht="13">
      <c r="A22" s="371"/>
      <c r="B22" s="398"/>
      <c r="C22" s="398"/>
      <c r="D22" s="399">
        <v>0</v>
      </c>
      <c r="E22" s="400">
        <f>IF(D$39=0,0,D22/D$39)</f>
        <v>0</v>
      </c>
      <c r="F22" s="394">
        <f>IF(F$12=0,0,#REF!*F$12)</f>
        <v>0</v>
      </c>
      <c r="G22" s="401">
        <v>0</v>
      </c>
      <c r="H22" s="400">
        <f>+G22-F22</f>
        <v>0</v>
      </c>
      <c r="I22" s="402">
        <v>0</v>
      </c>
      <c r="J22" s="396">
        <f>(H22+I22)*((J$41/12)*24)</f>
        <v>0</v>
      </c>
      <c r="K22" s="396">
        <f>+H22+J22+I22</f>
        <v>0</v>
      </c>
    </row>
    <row r="23" spans="1:11" s="370" customFormat="1" ht="13">
      <c r="A23" s="371"/>
      <c r="B23" s="398"/>
      <c r="C23" s="398"/>
      <c r="D23" s="399">
        <v>0</v>
      </c>
      <c r="E23" s="400">
        <f>IF(D$39=0,0,D23/D$39)</f>
        <v>0</v>
      </c>
      <c r="F23" s="394">
        <f>IF(F$12=0,0,#REF!*F$12)</f>
        <v>0</v>
      </c>
      <c r="G23" s="401">
        <v>0</v>
      </c>
      <c r="H23" s="400">
        <f>+G23-F23</f>
        <v>0</v>
      </c>
      <c r="I23" s="402">
        <v>0</v>
      </c>
      <c r="J23" s="396">
        <f>(H23+I23)*((J$41/12)*24)</f>
        <v>0</v>
      </c>
      <c r="K23" s="396">
        <f>+H23+J23+I23</f>
        <v>0</v>
      </c>
    </row>
    <row r="24" spans="1:11" s="370" customFormat="1" ht="13">
      <c r="A24" s="371"/>
      <c r="B24" s="398"/>
      <c r="C24" s="398"/>
      <c r="D24" s="399">
        <v>0</v>
      </c>
      <c r="E24" s="400">
        <f>IF(D$39=0,0,D24/D$39)</f>
        <v>0</v>
      </c>
      <c r="F24" s="394">
        <f>IF(F$12=0,0,#REF!*F$12)</f>
        <v>0</v>
      </c>
      <c r="G24" s="401">
        <v>0</v>
      </c>
      <c r="H24" s="400">
        <f>+G24-F24</f>
        <v>0</v>
      </c>
      <c r="I24" s="402">
        <v>0</v>
      </c>
      <c r="J24" s="396">
        <f>(H24+I24)*((J$41/12)*24)</f>
        <v>0</v>
      </c>
      <c r="K24" s="396">
        <f>+H24+J24+I24</f>
        <v>0</v>
      </c>
    </row>
    <row r="25" spans="1:11" ht="13">
      <c r="A25" s="371"/>
      <c r="B25" s="398"/>
      <c r="C25" s="398"/>
      <c r="D25" s="399">
        <v>0</v>
      </c>
      <c r="E25" s="400">
        <f>IF(D$39=0,0,D25/D$39)</f>
        <v>0</v>
      </c>
      <c r="F25" s="394">
        <f>IF(F$12=0,0,#REF!*F$12)</f>
        <v>0</v>
      </c>
      <c r="G25" s="401">
        <v>0</v>
      </c>
      <c r="H25" s="400">
        <f>+G25-F25</f>
        <v>0</v>
      </c>
      <c r="I25" s="402">
        <v>0</v>
      </c>
      <c r="J25" s="396">
        <f>(H25+I25)*((J$41/12)*24)</f>
        <v>0</v>
      </c>
      <c r="K25" s="396">
        <f>+H25+J25+I25</f>
        <v>0</v>
      </c>
    </row>
    <row r="26" spans="1:11" ht="13">
      <c r="A26" s="371"/>
      <c r="B26" s="398"/>
      <c r="C26" s="398"/>
      <c r="D26" s="399">
        <v>0</v>
      </c>
      <c r="E26" s="400">
        <f>IF(D$39=0,0,D26/D$39)</f>
        <v>0</v>
      </c>
      <c r="F26" s="394">
        <f>IF(F$12=0,0,#REF!*F$12)</f>
        <v>0</v>
      </c>
      <c r="G26" s="401">
        <v>0</v>
      </c>
      <c r="H26" s="400">
        <f>+G26-F26</f>
        <v>0</v>
      </c>
      <c r="I26" s="402">
        <v>0</v>
      </c>
      <c r="J26" s="396">
        <f>(H26+I26)*((J$41/12)*24)</f>
        <v>0</v>
      </c>
      <c r="K26" s="396">
        <f>+H26+J26+I26</f>
        <v>0</v>
      </c>
    </row>
    <row r="27" spans="1:11" ht="13">
      <c r="A27" s="371"/>
      <c r="B27" s="398"/>
      <c r="C27" s="398"/>
      <c r="D27" s="399">
        <v>0</v>
      </c>
      <c r="E27" s="400">
        <f>IF(D$39=0,0,D27/D$39)</f>
        <v>0</v>
      </c>
      <c r="F27" s="394">
        <f>IF(F$12=0,0,#REF!*F$12)</f>
        <v>0</v>
      </c>
      <c r="G27" s="401">
        <v>0</v>
      </c>
      <c r="H27" s="400">
        <f>+G27-F27</f>
        <v>0</v>
      </c>
      <c r="I27" s="402">
        <v>0</v>
      </c>
      <c r="J27" s="396">
        <f>(H27+I27)*((J$41/12)*24)</f>
        <v>0</v>
      </c>
      <c r="K27" s="396">
        <f>+H27+J27+I27</f>
        <v>0</v>
      </c>
    </row>
    <row r="28" spans="1:11" ht="12.75" customHeight="1">
      <c r="A28" s="371"/>
      <c r="B28" s="398"/>
      <c r="C28" s="398"/>
      <c r="D28" s="399">
        <v>0</v>
      </c>
      <c r="E28" s="400">
        <f>IF(D$39=0,0,D28/D$39)</f>
        <v>0</v>
      </c>
      <c r="F28" s="394">
        <f>IF(F$12=0,0,#REF!*F$12)</f>
        <v>0</v>
      </c>
      <c r="G28" s="401">
        <v>0</v>
      </c>
      <c r="H28" s="400">
        <f>+G28-F28</f>
        <v>0</v>
      </c>
      <c r="I28" s="402">
        <v>0</v>
      </c>
      <c r="J28" s="396">
        <f>(H28+I28)*((J$41/12)*24)</f>
        <v>0</v>
      </c>
      <c r="K28" s="396">
        <f>+H28+J28+I28</f>
        <v>0</v>
      </c>
    </row>
    <row r="29" spans="1:11" ht="13">
      <c r="A29" s="371"/>
      <c r="B29" s="398"/>
      <c r="C29" s="398"/>
      <c r="D29" s="399">
        <v>0</v>
      </c>
      <c r="E29" s="400">
        <f>IF(D$39=0,0,D29/D$39)</f>
        <v>0</v>
      </c>
      <c r="F29" s="394">
        <f>IF(F$12=0,0,#REF!*F$12)</f>
        <v>0</v>
      </c>
      <c r="G29" s="401">
        <v>0</v>
      </c>
      <c r="H29" s="400">
        <f>+G29-F29</f>
        <v>0</v>
      </c>
      <c r="I29" s="402">
        <v>0</v>
      </c>
      <c r="J29" s="396">
        <f>(H29+I29)*((J$41/12)*24)</f>
        <v>0</v>
      </c>
      <c r="K29" s="396">
        <f>+H29+J29+I29</f>
        <v>0</v>
      </c>
    </row>
    <row r="30" spans="1:11" ht="13">
      <c r="A30" s="371"/>
      <c r="B30" s="398"/>
      <c r="C30" s="398"/>
      <c r="D30" s="399">
        <v>0</v>
      </c>
      <c r="E30" s="400">
        <f>IF(D$39=0,0,D30/D$39)</f>
        <v>0</v>
      </c>
      <c r="F30" s="394">
        <f>IF(F$12=0,0,#REF!*F$12)</f>
        <v>0</v>
      </c>
      <c r="G30" s="401">
        <v>0</v>
      </c>
      <c r="H30" s="400">
        <f>+G30-F30</f>
        <v>0</v>
      </c>
      <c r="I30" s="402">
        <v>0</v>
      </c>
      <c r="J30" s="396">
        <f>(H30+I30)*((J$41/12)*24)</f>
        <v>0</v>
      </c>
      <c r="K30" s="396">
        <f>+H30+J30+I30</f>
        <v>0</v>
      </c>
    </row>
    <row r="31" spans="1:11" ht="13">
      <c r="A31" s="371"/>
      <c r="B31" s="398"/>
      <c r="C31" s="398"/>
      <c r="D31" s="399">
        <v>0</v>
      </c>
      <c r="E31" s="400">
        <f>IF(D$39=0,0,D31/D$39)</f>
        <v>0</v>
      </c>
      <c r="F31" s="394">
        <f>IF(F$12=0,0,#REF!*F$12)</f>
        <v>0</v>
      </c>
      <c r="G31" s="401">
        <v>0</v>
      </c>
      <c r="H31" s="400">
        <f>+G31-F31</f>
        <v>0</v>
      </c>
      <c r="I31" s="402">
        <v>0</v>
      </c>
      <c r="J31" s="396">
        <f>(H31+I31)*((J$41/12)*24)</f>
        <v>0</v>
      </c>
      <c r="K31" s="396">
        <f>+H31+J31+I31</f>
        <v>0</v>
      </c>
    </row>
    <row r="32" spans="1:11" ht="13">
      <c r="A32" s="371"/>
      <c r="B32" s="398"/>
      <c r="C32" s="398"/>
      <c r="D32" s="399">
        <v>0</v>
      </c>
      <c r="E32" s="400">
        <f>IF(D$39=0,0,D32/D$39)</f>
        <v>0</v>
      </c>
      <c r="F32" s="394">
        <f>IF(F$12=0,0,#REF!*F$12)</f>
        <v>0</v>
      </c>
      <c r="G32" s="401">
        <v>0</v>
      </c>
      <c r="H32" s="400">
        <f>+G32-F32</f>
        <v>0</v>
      </c>
      <c r="I32" s="402">
        <v>0</v>
      </c>
      <c r="J32" s="396">
        <f>(H32+I32)*((J$41/12)*24)</f>
        <v>0</v>
      </c>
      <c r="K32" s="396">
        <f>+H32+J32+I32</f>
        <v>0</v>
      </c>
    </row>
    <row r="33" spans="1:11" ht="13">
      <c r="A33" s="371"/>
      <c r="B33" s="398"/>
      <c r="C33" s="398"/>
      <c r="D33" s="399">
        <v>0</v>
      </c>
      <c r="E33" s="400">
        <f>IF(D$39=0,0,D33/D$39)</f>
        <v>0</v>
      </c>
      <c r="F33" s="394">
        <f>IF(F$12=0,0,#REF!*F$12)</f>
        <v>0</v>
      </c>
      <c r="G33" s="401">
        <v>0</v>
      </c>
      <c r="H33" s="400">
        <f>+G33-F33</f>
        <v>0</v>
      </c>
      <c r="I33" s="402">
        <v>0</v>
      </c>
      <c r="J33" s="396">
        <f>(H33+I33)*((J$41/12)*24)</f>
        <v>0</v>
      </c>
      <c r="K33" s="396">
        <f>+H33+J33+I33</f>
        <v>0</v>
      </c>
    </row>
    <row r="34" spans="1:11" ht="13">
      <c r="A34" s="371"/>
      <c r="B34" s="398"/>
      <c r="C34" s="398"/>
      <c r="D34" s="399">
        <v>0</v>
      </c>
      <c r="E34" s="400">
        <f>IF(D$39=0,0,D34/D$39)</f>
        <v>0</v>
      </c>
      <c r="F34" s="394">
        <f>IF(F$12=0,0,#REF!*F$12)</f>
        <v>0</v>
      </c>
      <c r="G34" s="401">
        <v>0</v>
      </c>
      <c r="H34" s="400">
        <f>+G34-F34</f>
        <v>0</v>
      </c>
      <c r="I34" s="402">
        <v>0</v>
      </c>
      <c r="J34" s="396">
        <f>(H34+I34)*((J$41/12)*24)</f>
        <v>0</v>
      </c>
      <c r="K34" s="396">
        <f>+H34+J34+I34</f>
        <v>0</v>
      </c>
    </row>
    <row r="35" spans="1:11" ht="13.5" customHeight="1">
      <c r="A35" s="371"/>
      <c r="B35" s="398"/>
      <c r="C35" s="398"/>
      <c r="D35" s="399">
        <v>0</v>
      </c>
      <c r="E35" s="400">
        <f>IF(D$39=0,0,D35/D$39)</f>
        <v>0</v>
      </c>
      <c r="F35" s="394">
        <f>IF(F$12=0,0,#REF!*F$12)</f>
        <v>0</v>
      </c>
      <c r="G35" s="401">
        <v>0</v>
      </c>
      <c r="H35" s="400">
        <f>+G35-F35</f>
        <v>0</v>
      </c>
      <c r="I35" s="402">
        <v>0</v>
      </c>
      <c r="J35" s="396">
        <f>(H35+I35)*((J$41/12)*24)</f>
        <v>0</v>
      </c>
      <c r="K35" s="396">
        <f>+H35+J35+I35</f>
        <v>0</v>
      </c>
    </row>
    <row r="36" spans="1:11" ht="13.5" customHeight="1">
      <c r="A36" s="371"/>
      <c r="B36" s="398"/>
      <c r="C36" s="398"/>
      <c r="D36" s="399">
        <v>0</v>
      </c>
      <c r="E36" s="400">
        <f>IF(D$39=0,0,D36/D$39)</f>
        <v>0</v>
      </c>
      <c r="F36" s="394">
        <f>IF(F$12=0,0,#REF!*F$12)</f>
        <v>0</v>
      </c>
      <c r="G36" s="401">
        <v>0</v>
      </c>
      <c r="H36" s="400">
        <f>+G36-F36</f>
        <v>0</v>
      </c>
      <c r="I36" s="402">
        <v>0</v>
      </c>
      <c r="J36" s="396">
        <f>(H36+I36)*((J$41/12)*24)</f>
        <v>0</v>
      </c>
      <c r="K36" s="396">
        <f>+H36+J36+I36</f>
        <v>0</v>
      </c>
    </row>
    <row r="37" spans="1:11" ht="13">
      <c r="A37" s="371"/>
      <c r="B37" s="398"/>
      <c r="C37" s="398"/>
      <c r="D37" s="399">
        <v>0</v>
      </c>
      <c r="E37" s="400">
        <f>IF(D$39=0,0,D37/D$39)</f>
        <v>0</v>
      </c>
      <c r="F37" s="394">
        <f>IF(F$12=0,0,#REF!*F$12)</f>
        <v>0</v>
      </c>
      <c r="G37" s="401">
        <v>0</v>
      </c>
      <c r="H37" s="400">
        <f>+G37-F37</f>
        <v>0</v>
      </c>
      <c r="I37" s="402">
        <v>0</v>
      </c>
      <c r="J37" s="396">
        <f>(H37+I37)*((J$41/12)*24)</f>
        <v>0</v>
      </c>
      <c r="K37" s="396">
        <f>+H37+J37+I37</f>
        <v>0</v>
      </c>
    </row>
    <row r="38" spans="1:11" ht="13">
      <c r="A38" s="371"/>
      <c r="B38" s="403"/>
      <c r="C38" s="403"/>
      <c r="D38" s="404"/>
      <c r="E38" s="405"/>
      <c r="F38" s="406"/>
      <c r="G38" s="407"/>
      <c r="H38" s="403"/>
      <c r="I38" s="403"/>
      <c r="J38" s="403"/>
      <c r="K38" s="403"/>
    </row>
    <row r="39" spans="1:11" ht="13">
      <c r="A39" s="371">
        <v>4</v>
      </c>
      <c r="B39" s="372" t="s">
        <v>524</v>
      </c>
      <c r="C39" s="372"/>
      <c r="D39" s="408">
        <f>SUM(D18:D38)</f>
        <v>0</v>
      </c>
      <c r="E39" s="408">
        <f>SUM(E18:E38)</f>
        <v>0</v>
      </c>
      <c r="F39" s="408">
        <f>SUM(F18:F38)</f>
        <v>0</v>
      </c>
      <c r="G39" s="408">
        <f>SUM(G18:G38)</f>
        <v>0</v>
      </c>
      <c r="H39" s="408">
        <f>SUM(H18:H38)</f>
        <v>0</v>
      </c>
      <c r="I39" s="408"/>
      <c r="J39" s="408">
        <f>SUM(J18:J38)</f>
        <v>0</v>
      </c>
      <c r="K39" s="408">
        <f>SUM(K18:K38)</f>
        <v>0</v>
      </c>
    </row>
    <row r="40" spans="1:11" ht="13">
      <c r="A40" s="371"/>
      <c r="B40" s="372"/>
      <c r="C40" s="372"/>
      <c r="D40" s="408"/>
      <c r="E40" s="408"/>
      <c r="F40" s="408"/>
      <c r="G40" s="408"/>
      <c r="H40" s="408"/>
      <c r="I40" s="408"/>
      <c r="J40" s="408"/>
      <c r="K40" s="408"/>
    </row>
    <row r="41" spans="1:11" ht="13">
      <c r="A41" s="371"/>
      <c r="B41" s="372"/>
      <c r="C41" s="372"/>
      <c r="D41" s="408"/>
      <c r="E41" s="408"/>
      <c r="F41" s="408"/>
      <c r="G41" s="408" t="s">
        <v>525</v>
      </c>
      <c r="H41" s="408"/>
      <c r="I41" s="408"/>
      <c r="J41" s="409">
        <v>0</v>
      </c>
      <c r="K41" s="408"/>
    </row>
    <row r="42" spans="1:11" ht="13">
      <c r="A42" s="371"/>
      <c r="B42" s="372"/>
      <c r="C42" s="372"/>
      <c r="D42" s="408"/>
      <c r="E42" s="408"/>
      <c r="F42" s="408"/>
      <c r="G42" s="408" t="s">
        <v>526</v>
      </c>
      <c r="H42" s="408"/>
      <c r="I42" s="408"/>
      <c r="J42" s="408">
        <f>+J39</f>
        <v>0</v>
      </c>
      <c r="K42" s="408"/>
    </row>
    <row r="43" spans="1:12" ht="13">
      <c r="A43" s="371"/>
      <c r="B43" s="372" t="s">
        <v>527</v>
      </c>
      <c r="C43" s="372"/>
      <c r="D43" s="372"/>
      <c r="E43" s="372"/>
      <c r="F43" s="372"/>
      <c r="G43" s="372"/>
      <c r="H43" s="372"/>
      <c r="I43" s="372"/>
      <c r="J43" s="372"/>
      <c r="K43" s="372"/>
      <c r="L43" s="372"/>
    </row>
    <row r="44" spans="1:12" ht="13">
      <c r="A44" s="371"/>
      <c r="B44" s="372" t="s">
        <v>528</v>
      </c>
      <c r="C44" s="372"/>
      <c r="D44" s="372"/>
      <c r="E44" s="372"/>
      <c r="F44" s="372"/>
      <c r="G44" s="372"/>
      <c r="H44" s="372"/>
      <c r="I44" s="372"/>
      <c r="J44" s="372"/>
      <c r="K44" s="372"/>
      <c r="L44" s="372"/>
    </row>
    <row r="45" spans="1:12" ht="13">
      <c r="A45" s="371"/>
      <c r="B45" s="410" t="s">
        <v>529</v>
      </c>
      <c r="C45" s="372"/>
      <c r="D45" s="372"/>
      <c r="E45" s="372"/>
      <c r="F45" s="372"/>
      <c r="G45" s="372"/>
      <c r="H45" s="372"/>
      <c r="I45" s="372"/>
      <c r="J45" s="372"/>
      <c r="K45" s="372"/>
      <c r="L45" s="372"/>
    </row>
    <row r="46" spans="1:12" ht="13">
      <c r="A46" s="371"/>
      <c r="B46" s="372" t="s">
        <v>530</v>
      </c>
      <c r="C46" s="372"/>
      <c r="D46" s="372"/>
      <c r="E46" s="372"/>
      <c r="F46" s="372"/>
      <c r="G46" s="372"/>
      <c r="H46" s="372"/>
      <c r="I46" s="372"/>
      <c r="J46" s="372"/>
      <c r="K46" s="372"/>
      <c r="L46" s="372"/>
    </row>
    <row r="47" spans="1:12" ht="13">
      <c r="A47" s="371"/>
      <c r="B47" s="215" t="s">
        <v>531</v>
      </c>
      <c r="C47" s="372"/>
      <c r="D47" s="372"/>
      <c r="E47" s="372"/>
      <c r="F47" s="372"/>
      <c r="G47" s="372"/>
      <c r="H47" s="372"/>
      <c r="I47" s="372"/>
      <c r="J47" s="372"/>
      <c r="K47" s="372"/>
      <c r="L47" s="372"/>
    </row>
    <row r="48" spans="1:12" ht="13">
      <c r="A48" s="371"/>
      <c r="B48" s="215" t="s">
        <v>532</v>
      </c>
      <c r="C48" s="372"/>
      <c r="D48" s="372"/>
      <c r="E48" s="372"/>
      <c r="F48" s="372"/>
      <c r="G48" s="372"/>
      <c r="H48" s="372"/>
      <c r="I48" s="372"/>
      <c r="J48" s="372"/>
      <c r="K48" s="372"/>
      <c r="L48" s="372"/>
    </row>
    <row r="49" spans="1:12" ht="13">
      <c r="A49" s="371"/>
      <c r="B49" s="372" t="s">
        <v>533</v>
      </c>
      <c r="C49" s="372"/>
      <c r="D49" s="372"/>
      <c r="E49" s="372"/>
      <c r="F49" s="372"/>
      <c r="G49" s="372"/>
      <c r="H49" s="372"/>
      <c r="I49" s="372"/>
      <c r="J49" s="372"/>
      <c r="K49" s="372"/>
      <c r="L49" s="372"/>
    </row>
    <row r="50" spans="1:12" ht="13">
      <c r="A50" s="371"/>
      <c r="B50" s="411" t="s">
        <v>534</v>
      </c>
      <c r="C50" s="372"/>
      <c r="D50" s="372"/>
      <c r="E50" s="372"/>
      <c r="F50" s="372"/>
      <c r="G50" s="372"/>
      <c r="H50" s="372"/>
      <c r="I50" s="372"/>
      <c r="J50" s="372"/>
      <c r="K50" s="372"/>
      <c r="L50" s="372"/>
    </row>
    <row r="51" spans="1:12" ht="13">
      <c r="A51" s="371"/>
      <c r="J51" s="372"/>
      <c r="K51" s="372"/>
      <c r="L51" s="372"/>
    </row>
    <row r="52" spans="1:12" ht="13">
      <c r="A52" s="371"/>
      <c r="C52" s="372"/>
      <c r="D52" s="372"/>
      <c r="E52" s="372"/>
      <c r="F52" s="372"/>
      <c r="G52" s="372"/>
      <c r="H52" s="410"/>
      <c r="I52" s="372"/>
      <c r="J52" s="372"/>
      <c r="K52" s="372"/>
      <c r="L52" s="372"/>
    </row>
    <row r="53" spans="1:12" ht="13">
      <c r="A53" s="371"/>
      <c r="C53" s="372"/>
      <c r="D53" s="372"/>
      <c r="E53" s="372"/>
      <c r="F53" s="372"/>
      <c r="G53" s="372"/>
      <c r="H53" s="410"/>
      <c r="I53" s="372"/>
      <c r="J53" s="372"/>
      <c r="K53" s="372"/>
      <c r="L53" s="372"/>
    </row>
    <row r="54" spans="1:10" ht="13">
      <c r="A54" s="371"/>
      <c r="B54" s="412"/>
      <c r="C54" s="412"/>
      <c r="D54" s="31"/>
      <c r="E54" s="31"/>
      <c r="F54" s="31"/>
      <c r="G54" s="31"/>
      <c r="H54" s="31"/>
      <c r="I54" s="412"/>
      <c r="J54" s="412"/>
    </row>
    <row r="55" spans="1:10" ht="13">
      <c r="A55" s="413" t="s">
        <v>535</v>
      </c>
      <c r="C55" s="412"/>
      <c r="D55" s="31"/>
      <c r="E55" s="31"/>
      <c r="F55" s="31"/>
      <c r="G55" s="31"/>
      <c r="H55" s="31"/>
      <c r="I55" s="412"/>
      <c r="J55" s="412"/>
    </row>
    <row r="56" spans="1:10" ht="13">
      <c r="A56" s="414"/>
      <c r="B56" s="251" t="s">
        <v>536</v>
      </c>
      <c r="C56" s="415" t="s">
        <v>537</v>
      </c>
      <c r="D56" s="416" t="s">
        <v>538</v>
      </c>
      <c r="E56" s="416" t="s">
        <v>539</v>
      </c>
      <c r="F56" s="251"/>
      <c r="J56" s="412"/>
    </row>
    <row r="57" spans="1:10" ht="13">
      <c r="A57" s="414"/>
      <c r="B57" s="417" t="str">
        <f>+A55</f>
        <v>Prior Period Adjustment</v>
      </c>
      <c r="C57" s="418" t="s">
        <v>17</v>
      </c>
      <c r="D57" s="419" t="s">
        <v>503</v>
      </c>
      <c r="E57" s="419" t="s">
        <v>22</v>
      </c>
      <c r="J57" s="412"/>
    </row>
    <row r="58" spans="1:10" ht="13">
      <c r="A58" s="414"/>
      <c r="B58" s="420" t="s">
        <v>540</v>
      </c>
      <c r="C58" s="421" t="s">
        <v>541</v>
      </c>
      <c r="D58" s="421" t="s">
        <v>542</v>
      </c>
      <c r="E58" s="421" t="s">
        <v>543</v>
      </c>
      <c r="J58" s="412"/>
    </row>
    <row r="59" spans="1:10" ht="13">
      <c r="A59" s="414" t="s">
        <v>353</v>
      </c>
      <c r="B59" s="422">
        <v>0</v>
      </c>
      <c r="C59" s="423">
        <v>0</v>
      </c>
      <c r="D59" s="423">
        <v>0</v>
      </c>
      <c r="E59" s="424">
        <f>+C59+D59</f>
        <v>0</v>
      </c>
      <c r="J59" s="412"/>
    </row>
    <row r="60" spans="1:10" ht="13">
      <c r="A60" s="414"/>
      <c r="B60" s="425"/>
      <c r="C60" s="305"/>
      <c r="D60" s="305"/>
      <c r="E60" s="306"/>
      <c r="J60" s="412"/>
    </row>
    <row r="61" spans="1:10" ht="13">
      <c r="A61" s="414"/>
      <c r="C61" s="412"/>
      <c r="D61" s="412"/>
      <c r="E61" s="412"/>
      <c r="F61" s="412"/>
      <c r="G61" s="412"/>
      <c r="H61" s="50"/>
      <c r="J61" s="412"/>
    </row>
    <row r="62" spans="1:10" ht="66" customHeight="1">
      <c r="A62" s="414"/>
      <c r="C62" s="3"/>
      <c r="D62" s="426"/>
      <c r="E62" s="426"/>
      <c r="F62" s="426"/>
      <c r="G62" s="426"/>
      <c r="H62" s="426"/>
      <c r="I62" s="426"/>
      <c r="J62" s="412"/>
    </row>
    <row r="63" spans="1:10" ht="56.25" customHeight="1">
      <c r="A63" s="427" t="s">
        <v>527</v>
      </c>
      <c r="B63" s="314" t="s">
        <v>431</v>
      </c>
      <c r="C63" s="737" t="s">
        <v>544</v>
      </c>
      <c r="D63" s="737"/>
      <c r="E63" s="737"/>
      <c r="F63" s="737"/>
      <c r="G63" s="737"/>
      <c r="H63" s="737"/>
      <c r="I63" s="737"/>
      <c r="J63" s="737"/>
    </row>
    <row r="64" spans="1:10" ht="27" customHeight="1">
      <c r="A64" s="414"/>
      <c r="B64" s="428" t="s">
        <v>433</v>
      </c>
      <c r="C64" s="738" t="s">
        <v>545</v>
      </c>
      <c r="D64" s="738"/>
      <c r="E64" s="738"/>
      <c r="F64" s="738"/>
      <c r="G64" s="738"/>
      <c r="H64" s="738"/>
      <c r="I64" s="738"/>
      <c r="J64" s="412"/>
    </row>
    <row r="68" ht="24" customHeight="1"/>
  </sheetData>
  <mergeCells count="4">
    <mergeCell ref="D10:E10"/>
    <mergeCell ref="D11:E11"/>
    <mergeCell ref="C63:J63"/>
    <mergeCell ref="C64:I64"/>
  </mergeCells>
  <pageMargins left="0.25" right="0.25" top="0.75" bottom="0.75" header="0.3" footer="0.3"/>
  <pageSetup orientation="landscape" scale="1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P77"/>
  <sheetViews>
    <sheetView zoomScale="85" zoomScaleNormal="85" zoomScaleSheetLayoutView="85" workbookViewId="0" topLeftCell="A1"/>
  </sheetViews>
  <sheetFormatPr defaultColWidth="8.76555555555556" defaultRowHeight="13.5"/>
  <cols>
    <col min="1" max="1" width="4.77777777777778" style="429" customWidth="1"/>
    <col min="2" max="2" width="29" style="3" bestFit="1" customWidth="1"/>
    <col min="3" max="3" width="20" style="3" customWidth="1"/>
    <col min="4" max="4" width="19.2222222222222" style="3" customWidth="1"/>
    <col min="5" max="5" width="16" style="3" customWidth="1"/>
    <col min="6" max="6" width="17.2222222222222" style="3" customWidth="1"/>
    <col min="7" max="7" width="21.2222222222222" style="3" customWidth="1"/>
    <col min="8" max="8" width="18" style="3" customWidth="1"/>
    <col min="9" max="9" width="20.7777777777778" style="3" customWidth="1"/>
    <col min="10" max="10" width="25.2222222222222" style="3" customWidth="1"/>
    <col min="11" max="14" width="11.7777777777778" style="3" customWidth="1"/>
    <col min="15" max="16" width="8.77777777777778" style="3"/>
    <col min="17" max="16384" width="8.77777777777778" style="3"/>
  </cols>
  <sheetData>
    <row r="1" spans="3:10" ht="13">
      <c r="C1" s="430"/>
      <c r="D1" s="430"/>
      <c r="E1" s="430"/>
      <c r="G1" s="218" t="s">
        <v>546</v>
      </c>
      <c r="H1" s="430"/>
      <c r="I1" s="430"/>
      <c r="J1" s="431" t="s">
        <v>339</v>
      </c>
    </row>
    <row r="2" spans="1:12" ht="13">
      <c r="A2" s="432"/>
      <c r="C2" s="433"/>
      <c r="D2" s="430"/>
      <c r="E2" s="430"/>
      <c r="F2" s="430"/>
      <c r="G2" s="434" t="s">
        <v>547</v>
      </c>
      <c r="H2" s="430"/>
      <c r="I2" s="430"/>
      <c r="J2" s="430"/>
      <c r="L2" s="435"/>
    </row>
    <row r="3" spans="1:10" ht="13">
      <c r="A3" s="432"/>
      <c r="C3" s="430"/>
      <c r="D3" s="430"/>
      <c r="E3" s="430"/>
      <c r="F3" s="430"/>
      <c r="G3" s="72" t="str">
        <f>'Attachment H'!$D$5</f>
        <v>NextEra Energy Transmission MidAtlantic Indiana, Inc.</v>
      </c>
      <c r="H3" s="430"/>
      <c r="I3" s="430"/>
      <c r="J3" s="430"/>
    </row>
    <row r="4" spans="1:10" ht="13">
      <c r="A4" s="432"/>
      <c r="C4" s="430"/>
      <c r="D4" s="430"/>
      <c r="E4" s="430"/>
      <c r="F4" s="430"/>
      <c r="G4" s="430"/>
      <c r="H4" s="430"/>
      <c r="I4" s="430"/>
      <c r="J4" s="430"/>
    </row>
    <row r="5" spans="1:10" ht="13">
      <c r="A5" s="432"/>
      <c r="B5" s="436"/>
      <c r="C5" s="436"/>
      <c r="D5" s="436"/>
      <c r="E5" s="436"/>
      <c r="F5" s="436"/>
      <c r="G5" s="436"/>
      <c r="H5" s="436"/>
      <c r="I5" s="436"/>
      <c r="J5" s="436"/>
    </row>
    <row r="6" spans="1:10" ht="13">
      <c r="A6" s="432"/>
      <c r="B6" s="436"/>
      <c r="C6" s="741" t="s">
        <v>548</v>
      </c>
      <c r="D6" s="741"/>
      <c r="E6" s="437" t="s">
        <v>549</v>
      </c>
      <c r="F6" s="437" t="s">
        <v>550</v>
      </c>
      <c r="G6" s="741" t="s">
        <v>551</v>
      </c>
      <c r="H6" s="741"/>
      <c r="I6" s="742" t="s">
        <v>552</v>
      </c>
      <c r="J6" s="742"/>
    </row>
    <row r="7" spans="1:10" s="440" customFormat="1" ht="26">
      <c r="A7" s="438" t="s">
        <v>553</v>
      </c>
      <c r="B7" s="439" t="s">
        <v>554</v>
      </c>
      <c r="C7" s="439" t="s">
        <v>41</v>
      </c>
      <c r="D7" s="439" t="s">
        <v>555</v>
      </c>
      <c r="E7" s="439" t="s">
        <v>556</v>
      </c>
      <c r="F7" s="439" t="s">
        <v>557</v>
      </c>
      <c r="G7" s="439" t="s">
        <v>107</v>
      </c>
      <c r="H7" s="439" t="s">
        <v>558</v>
      </c>
      <c r="I7" s="439" t="s">
        <v>41</v>
      </c>
      <c r="J7" s="439" t="s">
        <v>555</v>
      </c>
    </row>
    <row r="8" spans="1:10" s="111" customFormat="1" ht="13">
      <c r="A8" s="432"/>
      <c r="B8" s="437" t="s">
        <v>536</v>
      </c>
      <c r="C8" s="437" t="s">
        <v>537</v>
      </c>
      <c r="D8" s="437" t="s">
        <v>538</v>
      </c>
      <c r="E8" s="439" t="s">
        <v>539</v>
      </c>
      <c r="F8" s="439" t="s">
        <v>559</v>
      </c>
      <c r="G8" s="439" t="s">
        <v>560</v>
      </c>
      <c r="H8" s="439" t="s">
        <v>561</v>
      </c>
      <c r="I8" s="441" t="s">
        <v>562</v>
      </c>
      <c r="J8" s="441" t="s">
        <v>563</v>
      </c>
    </row>
    <row r="9" spans="1:10" s="111" customFormat="1" ht="13">
      <c r="A9" s="432"/>
      <c r="B9" s="442" t="s">
        <v>564</v>
      </c>
      <c r="C9" s="434">
        <v>2</v>
      </c>
      <c r="D9" s="434">
        <v>4</v>
      </c>
      <c r="E9" s="443">
        <v>27</v>
      </c>
      <c r="F9" s="443">
        <v>31</v>
      </c>
      <c r="G9" s="443">
        <v>34</v>
      </c>
      <c r="H9" s="443">
        <v>35</v>
      </c>
      <c r="I9" s="444">
        <v>9</v>
      </c>
      <c r="J9" s="444">
        <v>11</v>
      </c>
    </row>
    <row r="10" spans="1:10" s="111" customFormat="1" ht="26">
      <c r="A10" s="432"/>
      <c r="B10" s="437"/>
      <c r="C10" s="445" t="s">
        <v>565</v>
      </c>
      <c r="D10" s="446" t="s">
        <v>566</v>
      </c>
      <c r="E10" s="447" t="s">
        <v>412</v>
      </c>
      <c r="F10" s="445" t="s">
        <v>567</v>
      </c>
      <c r="G10" s="445" t="s">
        <v>568</v>
      </c>
      <c r="H10" s="445" t="s">
        <v>569</v>
      </c>
      <c r="I10" s="445" t="s">
        <v>570</v>
      </c>
      <c r="J10" s="445" t="s">
        <v>571</v>
      </c>
    </row>
    <row r="11" spans="1:10" ht="13">
      <c r="A11" s="432">
        <v>1</v>
      </c>
      <c r="B11" s="448" t="s">
        <v>572</v>
      </c>
      <c r="C11" s="449"/>
      <c r="D11" s="449">
        <v>0</v>
      </c>
      <c r="E11" s="449">
        <v>0</v>
      </c>
      <c r="F11" s="449">
        <v>0</v>
      </c>
      <c r="G11" s="449">
        <v>0</v>
      </c>
      <c r="H11" s="450">
        <v>0</v>
      </c>
      <c r="I11" s="449">
        <v>0</v>
      </c>
      <c r="J11" s="449">
        <v>0</v>
      </c>
    </row>
    <row r="12" spans="1:10" ht="13">
      <c r="A12" s="432">
        <v>2</v>
      </c>
      <c r="B12" s="448" t="s">
        <v>573</v>
      </c>
      <c r="C12" s="449"/>
      <c r="D12" s="449">
        <v>0</v>
      </c>
      <c r="E12" s="449">
        <v>0</v>
      </c>
      <c r="F12" s="449">
        <v>0</v>
      </c>
      <c r="G12" s="449">
        <v>0</v>
      </c>
      <c r="H12" s="449">
        <v>0</v>
      </c>
      <c r="I12" s="450"/>
      <c r="J12" s="449">
        <v>0</v>
      </c>
    </row>
    <row r="13" spans="1:10" ht="13">
      <c r="A13" s="432">
        <v>3</v>
      </c>
      <c r="B13" s="430" t="s">
        <v>574</v>
      </c>
      <c r="C13" s="449"/>
      <c r="D13" s="449">
        <v>0</v>
      </c>
      <c r="E13" s="449">
        <v>0</v>
      </c>
      <c r="F13" s="449">
        <v>0</v>
      </c>
      <c r="G13" s="449">
        <v>0</v>
      </c>
      <c r="H13" s="449">
        <v>0</v>
      </c>
      <c r="I13" s="450"/>
      <c r="J13" s="449">
        <v>0</v>
      </c>
    </row>
    <row r="14" spans="1:10" ht="13">
      <c r="A14" s="432">
        <v>4</v>
      </c>
      <c r="B14" s="430" t="s">
        <v>575</v>
      </c>
      <c r="C14" s="449"/>
      <c r="D14" s="449">
        <v>0</v>
      </c>
      <c r="E14" s="449">
        <v>0</v>
      </c>
      <c r="F14" s="449">
        <v>0</v>
      </c>
      <c r="G14" s="449">
        <v>0</v>
      </c>
      <c r="H14" s="449">
        <v>0</v>
      </c>
      <c r="I14" s="450"/>
      <c r="J14" s="449">
        <v>0</v>
      </c>
    </row>
    <row r="15" spans="1:10" ht="13">
      <c r="A15" s="432">
        <v>5</v>
      </c>
      <c r="B15" s="430" t="s">
        <v>576</v>
      </c>
      <c r="C15" s="449"/>
      <c r="D15" s="449">
        <v>0</v>
      </c>
      <c r="E15" s="449">
        <v>0</v>
      </c>
      <c r="F15" s="449">
        <v>0</v>
      </c>
      <c r="G15" s="449">
        <v>0</v>
      </c>
      <c r="H15" s="449">
        <v>0</v>
      </c>
      <c r="I15" s="450"/>
      <c r="J15" s="449">
        <v>0</v>
      </c>
    </row>
    <row r="16" spans="1:10" ht="13">
      <c r="A16" s="432">
        <v>6</v>
      </c>
      <c r="B16" s="430" t="s">
        <v>577</v>
      </c>
      <c r="C16" s="449"/>
      <c r="D16" s="449">
        <v>0</v>
      </c>
      <c r="E16" s="449">
        <v>0</v>
      </c>
      <c r="F16" s="449">
        <v>0</v>
      </c>
      <c r="G16" s="449">
        <v>0</v>
      </c>
      <c r="H16" s="449">
        <v>0</v>
      </c>
      <c r="I16" s="450"/>
      <c r="J16" s="449">
        <v>0</v>
      </c>
    </row>
    <row r="17" spans="1:10" ht="13">
      <c r="A17" s="432">
        <v>7</v>
      </c>
      <c r="B17" s="430" t="s">
        <v>578</v>
      </c>
      <c r="C17" s="449"/>
      <c r="D17" s="449">
        <v>0</v>
      </c>
      <c r="E17" s="449">
        <v>0</v>
      </c>
      <c r="F17" s="449">
        <v>0</v>
      </c>
      <c r="G17" s="449">
        <v>0</v>
      </c>
      <c r="H17" s="449">
        <v>0</v>
      </c>
      <c r="I17" s="450"/>
      <c r="J17" s="449">
        <v>0</v>
      </c>
    </row>
    <row r="18" spans="1:10" ht="13">
      <c r="A18" s="432">
        <v>8</v>
      </c>
      <c r="B18" s="430" t="s">
        <v>579</v>
      </c>
      <c r="C18" s="449"/>
      <c r="D18" s="449">
        <v>0</v>
      </c>
      <c r="E18" s="449">
        <v>0</v>
      </c>
      <c r="F18" s="449">
        <v>0</v>
      </c>
      <c r="G18" s="449">
        <v>0</v>
      </c>
      <c r="H18" s="449">
        <v>0</v>
      </c>
      <c r="I18" s="450"/>
      <c r="J18" s="449">
        <v>0</v>
      </c>
    </row>
    <row r="19" spans="1:10" ht="13">
      <c r="A19" s="432">
        <v>9</v>
      </c>
      <c r="B19" s="430" t="s">
        <v>580</v>
      </c>
      <c r="C19" s="449"/>
      <c r="D19" s="449">
        <v>0</v>
      </c>
      <c r="E19" s="449">
        <v>0</v>
      </c>
      <c r="F19" s="449">
        <v>0</v>
      </c>
      <c r="G19" s="449">
        <v>0</v>
      </c>
      <c r="H19" s="449">
        <v>0</v>
      </c>
      <c r="I19" s="450"/>
      <c r="J19" s="449">
        <v>0</v>
      </c>
    </row>
    <row r="20" spans="1:10" ht="13">
      <c r="A20" s="432">
        <v>10</v>
      </c>
      <c r="B20" s="430" t="s">
        <v>581</v>
      </c>
      <c r="C20" s="449"/>
      <c r="D20" s="449">
        <v>0</v>
      </c>
      <c r="E20" s="449">
        <v>0</v>
      </c>
      <c r="F20" s="449">
        <v>0</v>
      </c>
      <c r="G20" s="449">
        <v>0</v>
      </c>
      <c r="H20" s="449">
        <v>0</v>
      </c>
      <c r="I20" s="450"/>
      <c r="J20" s="449">
        <v>0</v>
      </c>
    </row>
    <row r="21" spans="1:10" ht="13">
      <c r="A21" s="432">
        <v>11</v>
      </c>
      <c r="B21" s="430" t="s">
        <v>582</v>
      </c>
      <c r="C21" s="449"/>
      <c r="D21" s="449">
        <v>0</v>
      </c>
      <c r="E21" s="449">
        <v>0</v>
      </c>
      <c r="F21" s="449">
        <v>0</v>
      </c>
      <c r="G21" s="449">
        <v>0</v>
      </c>
      <c r="H21" s="449">
        <v>0</v>
      </c>
      <c r="I21" s="450"/>
      <c r="J21" s="449">
        <v>0</v>
      </c>
    </row>
    <row r="22" spans="1:10" ht="13">
      <c r="A22" s="432">
        <v>12</v>
      </c>
      <c r="B22" s="430" t="s">
        <v>583</v>
      </c>
      <c r="C22" s="449">
        <v>2486171.48</v>
      </c>
      <c r="D22" s="449">
        <v>0</v>
      </c>
      <c r="E22" s="449">
        <v>0</v>
      </c>
      <c r="F22" s="449">
        <v>0</v>
      </c>
      <c r="G22" s="449">
        <v>0</v>
      </c>
      <c r="H22" s="449">
        <v>0</v>
      </c>
      <c r="I22" s="450">
        <v>2337755.0016741664</v>
      </c>
      <c r="J22" s="449">
        <v>0</v>
      </c>
    </row>
    <row r="23" spans="1:10" ht="13">
      <c r="A23" s="432">
        <v>13</v>
      </c>
      <c r="B23" s="430" t="s">
        <v>584</v>
      </c>
      <c r="C23" s="449">
        <v>2486171.48</v>
      </c>
      <c r="D23" s="449">
        <v>0</v>
      </c>
      <c r="E23" s="449">
        <v>0</v>
      </c>
      <c r="F23" s="449">
        <v>0</v>
      </c>
      <c r="G23" s="449">
        <v>0</v>
      </c>
      <c r="H23" s="449">
        <v>0</v>
      </c>
      <c r="I23" s="450">
        <v>2340921.0250224997</v>
      </c>
      <c r="J23" s="449">
        <v>0</v>
      </c>
    </row>
    <row r="24" spans="1:10" ht="13.5" thickBot="1">
      <c r="A24" s="432">
        <v>14</v>
      </c>
      <c r="B24" s="431" t="s">
        <v>585</v>
      </c>
      <c r="C24" s="451">
        <f t="shared" si="0" ref="C24:J24">SUM(C11:C23)/13</f>
        <v>382487.92</v>
      </c>
      <c r="D24" s="451">
        <f>SUM(D11:D23)/13</f>
        <v>0</v>
      </c>
      <c r="E24" s="451">
        <f>SUM(E11:E23)/13</f>
        <v>0</v>
      </c>
      <c r="F24" s="451">
        <f>SUM(F11:F23)/13</f>
        <v>0</v>
      </c>
      <c r="G24" s="451">
        <f>SUM(G11:G23)/13</f>
        <v>0</v>
      </c>
      <c r="H24" s="451">
        <f>SUM(H11:H23)/13</f>
        <v>0</v>
      </c>
      <c r="I24" s="451">
        <f>SUM(I11:I23)/13</f>
        <v>359898.15589974355</v>
      </c>
      <c r="J24" s="451">
        <f>SUM(J11:J23)/13</f>
        <v>0</v>
      </c>
    </row>
    <row r="25" spans="1:9" ht="13.5" thickTop="1">
      <c r="A25" s="432"/>
      <c r="B25" s="430"/>
      <c r="C25" s="452"/>
      <c r="D25" s="453"/>
      <c r="E25" s="453"/>
      <c r="F25" s="453"/>
      <c r="G25" s="452"/>
      <c r="H25" s="452"/>
      <c r="I25" s="452"/>
    </row>
    <row r="26" spans="1:9" ht="13">
      <c r="A26" s="432"/>
      <c r="B26" s="454"/>
      <c r="C26" s="742" t="s">
        <v>586</v>
      </c>
      <c r="D26" s="742"/>
      <c r="E26" s="742"/>
      <c r="F26" s="742"/>
      <c r="G26" s="742"/>
      <c r="H26" s="742"/>
      <c r="I26" s="742"/>
    </row>
    <row r="27" spans="1:9" ht="72" customHeight="1">
      <c r="A27" s="432" t="s">
        <v>553</v>
      </c>
      <c r="B27" s="437" t="s">
        <v>554</v>
      </c>
      <c r="C27" s="441" t="s">
        <v>587</v>
      </c>
      <c r="D27" s="441" t="s">
        <v>588</v>
      </c>
      <c r="E27" s="441" t="s">
        <v>589</v>
      </c>
      <c r="F27" s="441" t="s">
        <v>590</v>
      </c>
      <c r="G27" s="441" t="s">
        <v>591</v>
      </c>
      <c r="H27" s="441" t="s">
        <v>592</v>
      </c>
      <c r="I27" s="441" t="s">
        <v>593</v>
      </c>
    </row>
    <row r="28" spans="1:9" s="111" customFormat="1" ht="13">
      <c r="A28" s="432"/>
      <c r="B28" s="437" t="s">
        <v>536</v>
      </c>
      <c r="C28" s="441" t="s">
        <v>537</v>
      </c>
      <c r="D28" s="441" t="s">
        <v>538</v>
      </c>
      <c r="E28" s="441" t="s">
        <v>539</v>
      </c>
      <c r="F28" s="441" t="s">
        <v>559</v>
      </c>
      <c r="G28" s="441" t="s">
        <v>560</v>
      </c>
      <c r="H28" s="441" t="s">
        <v>561</v>
      </c>
      <c r="I28" s="441" t="s">
        <v>562</v>
      </c>
    </row>
    <row r="29" spans="1:9" s="111" customFormat="1" ht="13">
      <c r="A29" s="432"/>
      <c r="B29" s="442" t="s">
        <v>564</v>
      </c>
      <c r="C29" s="444">
        <v>28</v>
      </c>
      <c r="D29" s="444">
        <v>29</v>
      </c>
      <c r="E29" s="444">
        <v>22</v>
      </c>
      <c r="F29" s="444">
        <v>23</v>
      </c>
      <c r="G29" s="444">
        <v>24</v>
      </c>
      <c r="H29" s="444">
        <v>25</v>
      </c>
      <c r="I29" s="444">
        <v>26</v>
      </c>
    </row>
    <row r="30" spans="1:9" s="111" customFormat="1" ht="26">
      <c r="A30" s="432"/>
      <c r="B30" s="437"/>
      <c r="C30" s="455" t="s">
        <v>594</v>
      </c>
      <c r="D30" s="441" t="s">
        <v>595</v>
      </c>
      <c r="E30" s="441" t="s">
        <v>596</v>
      </c>
      <c r="F30" s="441" t="s">
        <v>597</v>
      </c>
      <c r="G30" s="441" t="s">
        <v>598</v>
      </c>
      <c r="H30" s="441" t="s">
        <v>599</v>
      </c>
      <c r="I30" s="441" t="s">
        <v>600</v>
      </c>
    </row>
    <row r="31" spans="1:9" ht="13">
      <c r="A31" s="432">
        <v>15</v>
      </c>
      <c r="B31" s="448" t="s">
        <v>572</v>
      </c>
      <c r="C31" s="449">
        <v>0</v>
      </c>
      <c r="D31" s="449">
        <v>0</v>
      </c>
      <c r="E31" s="449">
        <v>0</v>
      </c>
      <c r="F31" s="449">
        <v>0</v>
      </c>
      <c r="G31" s="449">
        <v>0</v>
      </c>
      <c r="H31" s="449">
        <v>0</v>
      </c>
      <c r="I31" s="449">
        <v>0</v>
      </c>
    </row>
    <row r="32" spans="1:9" ht="13">
      <c r="A32" s="432">
        <v>16</v>
      </c>
      <c r="B32" s="448" t="s">
        <v>573</v>
      </c>
      <c r="C32" s="449">
        <v>0</v>
      </c>
      <c r="D32" s="449">
        <v>0</v>
      </c>
      <c r="E32" s="456"/>
      <c r="F32" s="456"/>
      <c r="G32" s="456"/>
      <c r="H32" s="456"/>
      <c r="I32" s="449">
        <v>0</v>
      </c>
    </row>
    <row r="33" spans="1:9" ht="13">
      <c r="A33" s="432">
        <v>17</v>
      </c>
      <c r="B33" s="430" t="s">
        <v>574</v>
      </c>
      <c r="C33" s="449">
        <v>0</v>
      </c>
      <c r="D33" s="449">
        <v>0</v>
      </c>
      <c r="E33" s="456"/>
      <c r="F33" s="456"/>
      <c r="G33" s="456"/>
      <c r="H33" s="456"/>
      <c r="I33" s="449">
        <v>0</v>
      </c>
    </row>
    <row r="34" spans="1:9" ht="13">
      <c r="A34" s="432">
        <v>18</v>
      </c>
      <c r="B34" s="430" t="s">
        <v>575</v>
      </c>
      <c r="C34" s="449">
        <v>0</v>
      </c>
      <c r="D34" s="449">
        <v>0</v>
      </c>
      <c r="E34" s="456"/>
      <c r="F34" s="456"/>
      <c r="G34" s="456"/>
      <c r="H34" s="456"/>
      <c r="I34" s="449">
        <v>0</v>
      </c>
    </row>
    <row r="35" spans="1:9" ht="13">
      <c r="A35" s="432">
        <v>19</v>
      </c>
      <c r="B35" s="430" t="s">
        <v>576</v>
      </c>
      <c r="C35" s="449">
        <v>0</v>
      </c>
      <c r="D35" s="449">
        <v>0</v>
      </c>
      <c r="E35" s="456"/>
      <c r="F35" s="456"/>
      <c r="G35" s="456"/>
      <c r="H35" s="456"/>
      <c r="I35" s="449">
        <v>0</v>
      </c>
    </row>
    <row r="36" spans="1:9" ht="13">
      <c r="A36" s="432">
        <v>20</v>
      </c>
      <c r="B36" s="430" t="s">
        <v>577</v>
      </c>
      <c r="C36" s="449">
        <v>0</v>
      </c>
      <c r="D36" s="449">
        <v>0</v>
      </c>
      <c r="E36" s="456"/>
      <c r="F36" s="456"/>
      <c r="G36" s="456"/>
      <c r="H36" s="456"/>
      <c r="I36" s="449">
        <v>0</v>
      </c>
    </row>
    <row r="37" spans="1:9" ht="13">
      <c r="A37" s="432">
        <v>21</v>
      </c>
      <c r="B37" s="430" t="s">
        <v>578</v>
      </c>
      <c r="C37" s="449">
        <v>0</v>
      </c>
      <c r="D37" s="449">
        <v>0</v>
      </c>
      <c r="E37" s="456"/>
      <c r="F37" s="456"/>
      <c r="G37" s="456"/>
      <c r="H37" s="456"/>
      <c r="I37" s="449">
        <v>0</v>
      </c>
    </row>
    <row r="38" spans="1:9" ht="13">
      <c r="A38" s="432">
        <v>22</v>
      </c>
      <c r="B38" s="430" t="s">
        <v>579</v>
      </c>
      <c r="C38" s="449">
        <v>0</v>
      </c>
      <c r="D38" s="449">
        <v>0</v>
      </c>
      <c r="E38" s="456"/>
      <c r="F38" s="456"/>
      <c r="G38" s="456"/>
      <c r="H38" s="456"/>
      <c r="I38" s="449">
        <v>0</v>
      </c>
    </row>
    <row r="39" spans="1:9" ht="13">
      <c r="A39" s="432">
        <v>23</v>
      </c>
      <c r="B39" s="430" t="s">
        <v>580</v>
      </c>
      <c r="C39" s="449">
        <v>0</v>
      </c>
      <c r="D39" s="449">
        <v>0</v>
      </c>
      <c r="E39" s="456"/>
      <c r="F39" s="456"/>
      <c r="G39" s="456"/>
      <c r="H39" s="456"/>
      <c r="I39" s="449">
        <v>0</v>
      </c>
    </row>
    <row r="40" spans="1:9" ht="13">
      <c r="A40" s="432">
        <v>24</v>
      </c>
      <c r="B40" s="430" t="s">
        <v>581</v>
      </c>
      <c r="C40" s="449">
        <v>0</v>
      </c>
      <c r="D40" s="449">
        <v>0</v>
      </c>
      <c r="E40" s="456"/>
      <c r="F40" s="456"/>
      <c r="G40" s="456"/>
      <c r="H40" s="456"/>
      <c r="I40" s="449">
        <v>0</v>
      </c>
    </row>
    <row r="41" spans="1:9" ht="13">
      <c r="A41" s="432">
        <v>25</v>
      </c>
      <c r="B41" s="430" t="s">
        <v>582</v>
      </c>
      <c r="C41" s="449">
        <v>0</v>
      </c>
      <c r="D41" s="449">
        <v>0</v>
      </c>
      <c r="E41" s="456"/>
      <c r="F41" s="456"/>
      <c r="G41" s="456"/>
      <c r="H41" s="456"/>
      <c r="I41" s="449">
        <v>0</v>
      </c>
    </row>
    <row r="42" spans="1:9" ht="13">
      <c r="A42" s="432">
        <v>26</v>
      </c>
      <c r="B42" s="430" t="s">
        <v>583</v>
      </c>
      <c r="C42" s="449">
        <v>0</v>
      </c>
      <c r="D42" s="449">
        <v>0</v>
      </c>
      <c r="E42" s="456"/>
      <c r="F42" s="456"/>
      <c r="G42" s="456"/>
      <c r="H42" s="456"/>
      <c r="I42" s="449">
        <v>0</v>
      </c>
    </row>
    <row r="43" spans="1:9" ht="13">
      <c r="A43" s="432">
        <v>27</v>
      </c>
      <c r="B43" s="430" t="s">
        <v>584</v>
      </c>
      <c r="C43" s="449">
        <v>0</v>
      </c>
      <c r="D43" s="449">
        <v>0</v>
      </c>
      <c r="E43" s="449">
        <v>0</v>
      </c>
      <c r="F43" s="449">
        <v>-1096</v>
      </c>
      <c r="G43" s="449">
        <v>0</v>
      </c>
      <c r="H43" s="449">
        <v>0</v>
      </c>
      <c r="I43" s="449">
        <v>0</v>
      </c>
    </row>
    <row r="44" spans="1:9" ht="13.5" thickBot="1">
      <c r="A44" s="432">
        <v>28</v>
      </c>
      <c r="B44" s="431" t="s">
        <v>601</v>
      </c>
      <c r="C44" s="451">
        <f t="shared" si="1" ref="C44:I44">SUM(C31:C43)/13</f>
        <v>0</v>
      </c>
      <c r="D44" s="457">
        <f>SUM(D31:D43)/13</f>
        <v>0</v>
      </c>
      <c r="E44" s="457">
        <f>(E31+E43)/2</f>
        <v>0</v>
      </c>
      <c r="F44" s="451">
        <f>'4a-Projection ADIT'!J95</f>
        <v>-24.71033571922375</v>
      </c>
      <c r="G44" s="457">
        <f>(G31+G43)/2</f>
        <v>0</v>
      </c>
      <c r="H44" s="457">
        <f>(H31+H43)/2</f>
        <v>0</v>
      </c>
      <c r="I44" s="457">
        <f>SUM(I31:I43)/13</f>
        <v>0</v>
      </c>
    </row>
    <row r="45" spans="1:9" ht="13.5" thickTop="1">
      <c r="A45" s="432"/>
      <c r="B45" s="430"/>
      <c r="I45" s="453"/>
    </row>
    <row r="46" spans="1:1" ht="13">
      <c r="A46" s="432"/>
    </row>
    <row r="47" spans="6:6" ht="13">
      <c r="F47" s="218" t="s">
        <v>546</v>
      </c>
    </row>
    <row r="48" spans="1:15" ht="13">
      <c r="A48" s="432"/>
      <c r="B48" s="373"/>
      <c r="C48" s="458"/>
      <c r="D48" s="458"/>
      <c r="E48" s="458"/>
      <c r="F48" s="434" t="s">
        <v>547</v>
      </c>
      <c r="G48" s="458"/>
      <c r="L48" s="111"/>
      <c r="M48" s="111"/>
      <c r="N48" s="111"/>
      <c r="O48" s="111"/>
    </row>
    <row r="49" spans="1:15" ht="13">
      <c r="A49" s="432"/>
      <c r="C49" s="458"/>
      <c r="D49" s="458"/>
      <c r="E49" s="458"/>
      <c r="F49" s="72" t="str">
        <f>'Attachment H'!$D$5</f>
        <v>NextEra Energy Transmission MidAtlantic Indiana, Inc.</v>
      </c>
      <c r="G49" s="459"/>
      <c r="H49" s="93"/>
      <c r="I49" s="93"/>
      <c r="K49" s="111"/>
      <c r="L49" s="111"/>
      <c r="M49" s="111"/>
      <c r="N49" s="111"/>
      <c r="O49" s="111"/>
    </row>
    <row r="50" spans="1:15" ht="13">
      <c r="A50" s="432"/>
      <c r="B50" s="460" t="s">
        <v>602</v>
      </c>
      <c r="C50" s="458"/>
      <c r="D50" s="458"/>
      <c r="E50" s="458"/>
      <c r="F50" s="461"/>
      <c r="G50" s="459"/>
      <c r="H50" s="93"/>
      <c r="I50" s="93"/>
      <c r="K50" s="111"/>
      <c r="L50" s="111"/>
      <c r="M50" s="111"/>
      <c r="N50" s="111"/>
      <c r="O50" s="111"/>
    </row>
    <row r="51" spans="1:16" ht="13">
      <c r="A51" s="432"/>
      <c r="B51" s="373" t="s">
        <v>536</v>
      </c>
      <c r="C51" s="373" t="s">
        <v>537</v>
      </c>
      <c r="D51" s="373" t="s">
        <v>538</v>
      </c>
      <c r="E51" s="373" t="s">
        <v>539</v>
      </c>
      <c r="F51" s="460" t="s">
        <v>559</v>
      </c>
      <c r="G51" s="460" t="s">
        <v>560</v>
      </c>
      <c r="H51" s="460" t="s">
        <v>561</v>
      </c>
      <c r="I51" s="460" t="s">
        <v>562</v>
      </c>
      <c r="J51" s="435" t="s">
        <v>391</v>
      </c>
      <c r="K51" s="93"/>
      <c r="L51" s="111"/>
      <c r="M51" s="111"/>
      <c r="N51" s="111"/>
      <c r="O51" s="111"/>
      <c r="P51" s="111"/>
    </row>
    <row r="52" spans="1:16" ht="78">
      <c r="A52" s="432">
        <v>29</v>
      </c>
      <c r="B52" s="462" t="s">
        <v>603</v>
      </c>
      <c r="C52" s="463"/>
      <c r="D52" s="464" t="s">
        <v>17</v>
      </c>
      <c r="E52" s="464" t="s">
        <v>604</v>
      </c>
      <c r="F52" s="464" t="s">
        <v>605</v>
      </c>
      <c r="G52" s="464" t="s">
        <v>606</v>
      </c>
      <c r="H52" s="465" t="s">
        <v>607</v>
      </c>
      <c r="I52" s="465" t="s">
        <v>608</v>
      </c>
      <c r="J52" s="462"/>
      <c r="K52" s="462"/>
      <c r="L52" s="462"/>
      <c r="M52" s="466"/>
      <c r="N52" s="111"/>
      <c r="O52" s="111"/>
      <c r="P52" s="111"/>
    </row>
    <row r="53" spans="1:16" ht="13">
      <c r="A53" s="432" t="s">
        <v>609</v>
      </c>
      <c r="B53" s="467"/>
      <c r="C53" s="468" t="s">
        <v>610</v>
      </c>
      <c r="D53" s="469">
        <v>0</v>
      </c>
      <c r="E53" s="469">
        <v>0</v>
      </c>
      <c r="F53" s="470"/>
      <c r="G53" s="470"/>
      <c r="H53" s="469"/>
      <c r="I53" s="471">
        <f>+H53*E53*D53</f>
        <v>0</v>
      </c>
      <c r="J53" s="467"/>
      <c r="K53" s="467"/>
      <c r="L53" s="467"/>
      <c r="M53" s="466"/>
      <c r="N53" s="111"/>
      <c r="O53" s="111"/>
      <c r="P53" s="111"/>
    </row>
    <row r="54" spans="1:16" ht="13">
      <c r="A54" s="432" t="s">
        <v>611</v>
      </c>
      <c r="B54" s="467"/>
      <c r="C54" s="468" t="s">
        <v>612</v>
      </c>
      <c r="D54" s="472">
        <v>0</v>
      </c>
      <c r="E54" s="469">
        <v>0</v>
      </c>
      <c r="F54" s="470"/>
      <c r="G54" s="470"/>
      <c r="H54" s="469"/>
      <c r="I54" s="471">
        <f>+H54*E54*D54</f>
        <v>0</v>
      </c>
      <c r="J54" s="467"/>
      <c r="K54" s="467"/>
      <c r="L54" s="467"/>
      <c r="M54" s="466"/>
      <c r="N54" s="111"/>
      <c r="O54" s="111"/>
      <c r="P54" s="111"/>
    </row>
    <row r="55" spans="1:16" ht="13">
      <c r="A55" s="432" t="s">
        <v>613</v>
      </c>
      <c r="B55" s="467"/>
      <c r="C55" s="468" t="s">
        <v>614</v>
      </c>
      <c r="D55" s="472"/>
      <c r="E55" s="469"/>
      <c r="F55" s="470"/>
      <c r="G55" s="470"/>
      <c r="H55" s="469"/>
      <c r="I55" s="471"/>
      <c r="J55" s="467"/>
      <c r="K55" s="467"/>
      <c r="L55" s="467"/>
      <c r="M55" s="466"/>
      <c r="N55" s="111"/>
      <c r="O55" s="111"/>
      <c r="P55" s="111"/>
    </row>
    <row r="56" spans="1:16" ht="13">
      <c r="A56" s="432" t="s">
        <v>615</v>
      </c>
      <c r="B56" s="467"/>
      <c r="C56" s="468" t="s">
        <v>616</v>
      </c>
      <c r="D56" s="472"/>
      <c r="E56" s="469"/>
      <c r="F56" s="470"/>
      <c r="G56" s="470"/>
      <c r="H56" s="469"/>
      <c r="I56" s="471"/>
      <c r="J56" s="467"/>
      <c r="K56" s="467"/>
      <c r="L56" s="467"/>
      <c r="M56" s="466"/>
      <c r="N56" s="111"/>
      <c r="O56" s="111"/>
      <c r="P56" s="111"/>
    </row>
    <row r="57" spans="1:16" ht="13">
      <c r="A57" s="432" t="s">
        <v>617</v>
      </c>
      <c r="B57" s="467"/>
      <c r="C57" s="468" t="s">
        <v>618</v>
      </c>
      <c r="D57" s="472"/>
      <c r="E57" s="469"/>
      <c r="F57" s="470"/>
      <c r="G57" s="470"/>
      <c r="H57" s="469"/>
      <c r="I57" s="471"/>
      <c r="J57" s="467"/>
      <c r="K57" s="467"/>
      <c r="L57" s="467"/>
      <c r="M57" s="466"/>
      <c r="N57" s="111"/>
      <c r="O57" s="111"/>
      <c r="P57" s="111"/>
    </row>
    <row r="58" spans="1:16" ht="13">
      <c r="A58" s="432" t="s">
        <v>619</v>
      </c>
      <c r="B58" s="467"/>
      <c r="C58" s="473" t="s">
        <v>618</v>
      </c>
      <c r="D58" s="474">
        <v>0</v>
      </c>
      <c r="E58" s="475">
        <v>0</v>
      </c>
      <c r="F58" s="476"/>
      <c r="G58" s="476"/>
      <c r="H58" s="475"/>
      <c r="I58" s="477">
        <f>+H58*E58*D58</f>
        <v>0</v>
      </c>
      <c r="J58" s="467"/>
      <c r="K58" s="467"/>
      <c r="L58" s="467"/>
      <c r="M58" s="466"/>
      <c r="N58" s="111"/>
      <c r="O58" s="111"/>
      <c r="P58" s="111"/>
    </row>
    <row r="59" spans="1:16" ht="13">
      <c r="A59" s="432">
        <v>31</v>
      </c>
      <c r="B59" s="467"/>
      <c r="C59" s="462" t="s">
        <v>22</v>
      </c>
      <c r="D59" s="228">
        <f>SUM(D53:D58)</f>
        <v>0</v>
      </c>
      <c r="E59" s="234"/>
      <c r="F59" s="111"/>
      <c r="G59" s="111"/>
      <c r="H59" s="234"/>
      <c r="I59" s="471">
        <f>SUM(I53:I58)</f>
        <v>0</v>
      </c>
      <c r="J59" s="467"/>
      <c r="K59" s="467"/>
      <c r="L59" s="467"/>
      <c r="M59" s="466"/>
      <c r="N59" s="111"/>
      <c r="O59" s="111"/>
      <c r="P59" s="111"/>
    </row>
    <row r="60" spans="1:11" ht="13">
      <c r="A60" s="478"/>
      <c r="B60" s="479"/>
      <c r="C60" s="480"/>
      <c r="D60" s="480"/>
      <c r="E60" s="480"/>
      <c r="F60" s="480"/>
      <c r="G60" s="480"/>
      <c r="I60" s="481"/>
      <c r="J60" s="481"/>
      <c r="K60" s="481"/>
    </row>
    <row r="61" spans="1:16" ht="13">
      <c r="A61" s="478"/>
      <c r="B61" s="479"/>
      <c r="C61" s="480"/>
      <c r="D61" s="480"/>
      <c r="E61" s="480"/>
      <c r="F61" s="480"/>
      <c r="G61" s="480"/>
      <c r="L61" s="111"/>
      <c r="M61" s="111"/>
      <c r="N61" s="111"/>
      <c r="O61" s="111"/>
      <c r="P61" s="111"/>
    </row>
    <row r="62" spans="1:16" ht="13">
      <c r="A62" s="478"/>
      <c r="B62" s="479"/>
      <c r="C62" s="480"/>
      <c r="D62" s="480"/>
      <c r="E62" s="480"/>
      <c r="F62" s="480"/>
      <c r="G62" s="480"/>
      <c r="L62" s="111"/>
      <c r="M62" s="111"/>
      <c r="N62" s="111"/>
      <c r="O62" s="111"/>
      <c r="P62" s="111"/>
    </row>
    <row r="63" spans="1:1" ht="13">
      <c r="A63" s="432" t="s">
        <v>527</v>
      </c>
    </row>
    <row r="64" spans="1:11" ht="12.75" customHeight="1">
      <c r="A64" s="432" t="s">
        <v>431</v>
      </c>
      <c r="B64" s="743" t="s">
        <v>620</v>
      </c>
      <c r="C64" s="743"/>
      <c r="D64" s="743"/>
      <c r="E64" s="743"/>
      <c r="F64" s="743"/>
      <c r="G64" s="743"/>
      <c r="H64" s="743"/>
      <c r="I64" s="743"/>
      <c r="J64" s="743"/>
      <c r="K64" s="743"/>
    </row>
    <row r="65" spans="1:12" ht="12.75" customHeight="1">
      <c r="A65" s="432" t="s">
        <v>433</v>
      </c>
      <c r="B65" s="743" t="s">
        <v>621</v>
      </c>
      <c r="C65" s="743"/>
      <c r="D65" s="743"/>
      <c r="E65" s="743"/>
      <c r="F65" s="743"/>
      <c r="G65" s="743"/>
      <c r="H65" s="743"/>
      <c r="I65" s="743"/>
      <c r="J65" s="743"/>
      <c r="K65" s="743"/>
      <c r="L65" s="435"/>
    </row>
    <row r="66" spans="1:11" ht="12.75" customHeight="1">
      <c r="A66" s="482" t="s">
        <v>286</v>
      </c>
      <c r="B66" s="483" t="s">
        <v>622</v>
      </c>
      <c r="C66" s="484"/>
      <c r="D66" s="484"/>
      <c r="E66" s="484"/>
      <c r="F66" s="484"/>
      <c r="G66" s="484"/>
      <c r="H66" s="484"/>
      <c r="I66" s="484"/>
      <c r="J66" s="484"/>
      <c r="K66" s="484"/>
    </row>
    <row r="67" spans="1:11" ht="13">
      <c r="A67" s="482"/>
      <c r="B67" s="485" t="s">
        <v>623</v>
      </c>
      <c r="C67" s="486"/>
      <c r="D67" s="486"/>
      <c r="E67" s="486"/>
      <c r="F67" s="486"/>
      <c r="G67" s="486"/>
      <c r="H67" s="486"/>
      <c r="I67" s="486"/>
      <c r="J67" s="486"/>
      <c r="K67" s="486"/>
    </row>
    <row r="68" spans="1:11" ht="13">
      <c r="A68" s="482"/>
      <c r="B68" s="485" t="s">
        <v>624</v>
      </c>
      <c r="C68" s="486"/>
      <c r="D68" s="486"/>
      <c r="E68" s="486"/>
      <c r="F68" s="486"/>
      <c r="G68" s="486"/>
      <c r="H68" s="486"/>
      <c r="I68" s="486"/>
      <c r="J68" s="486"/>
      <c r="K68" s="486"/>
    </row>
    <row r="69" spans="1:11" ht="12.75" customHeight="1">
      <c r="A69" s="432" t="s">
        <v>288</v>
      </c>
      <c r="B69" s="93" t="s">
        <v>625</v>
      </c>
      <c r="C69" s="93"/>
      <c r="D69" s="93"/>
      <c r="E69" s="93"/>
      <c r="F69" s="93"/>
      <c r="G69" s="93"/>
      <c r="H69" s="93"/>
      <c r="I69" s="93"/>
      <c r="J69" s="93"/>
      <c r="K69" s="93"/>
    </row>
    <row r="70" spans="1:11" ht="24" customHeight="1">
      <c r="A70" s="428" t="s">
        <v>290</v>
      </c>
      <c r="B70" s="739" t="s">
        <v>626</v>
      </c>
      <c r="C70" s="739"/>
      <c r="D70" s="739"/>
      <c r="E70" s="739"/>
      <c r="F70" s="739"/>
      <c r="G70" s="739"/>
      <c r="H70" s="739"/>
      <c r="I70" s="739"/>
      <c r="J70" s="739"/>
      <c r="K70" s="487"/>
    </row>
    <row r="71" spans="1:11" ht="12.75" customHeight="1">
      <c r="A71" s="432" t="s">
        <v>292</v>
      </c>
      <c r="B71" s="740" t="s">
        <v>627</v>
      </c>
      <c r="C71" s="740"/>
      <c r="D71" s="740"/>
      <c r="E71" s="740"/>
      <c r="F71" s="740"/>
      <c r="G71" s="740"/>
      <c r="H71" s="740"/>
      <c r="I71" s="740"/>
      <c r="J71" s="740"/>
      <c r="K71" s="740"/>
    </row>
    <row r="72" spans="1:11" ht="43.5" customHeight="1">
      <c r="A72" s="488" t="s">
        <v>294</v>
      </c>
      <c r="B72" s="739" t="s">
        <v>628</v>
      </c>
      <c r="C72" s="739"/>
      <c r="D72" s="739"/>
      <c r="E72" s="739"/>
      <c r="F72" s="739"/>
      <c r="G72" s="739"/>
      <c r="H72" s="739"/>
      <c r="I72" s="739"/>
      <c r="J72" s="739"/>
      <c r="K72" s="487"/>
    </row>
    <row r="73" spans="1:2" ht="13">
      <c r="A73" s="432" t="s">
        <v>302</v>
      </c>
      <c r="B73" s="489" t="s">
        <v>322</v>
      </c>
    </row>
    <row r="74" ht="13"/>
    <row r="75" ht="13"/>
    <row r="76" spans="2:2" ht="13">
      <c r="B76" s="9"/>
    </row>
    <row r="77" spans="2:2" ht="13">
      <c r="B77" s="490"/>
    </row>
  </sheetData>
  <mergeCells count="9">
    <mergeCell ref="B70:J70"/>
    <mergeCell ref="B71:K71"/>
    <mergeCell ref="B72:J72"/>
    <mergeCell ref="C6:D6"/>
    <mergeCell ref="G6:H6"/>
    <mergeCell ref="I6:J6"/>
    <mergeCell ref="C26:I26"/>
    <mergeCell ref="B64:K64"/>
    <mergeCell ref="B65:K65"/>
  </mergeCells>
  <pageMargins left="0.25" right="0.25" top="0.75" bottom="0.75" header="0.3" footer="0.3"/>
  <pageSetup fitToHeight="0" orientation="landscape" scale="10" r:id="rId1"/>
  <rowBreaks count="1" manualBreakCount="1">
    <brk id="46" max="9" man="1"/>
  </rowBreaks>
  <customProperties>
    <customPr name="_pios_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P129"/>
  <sheetViews>
    <sheetView zoomScale="70" zoomScaleNormal="70" workbookViewId="0" topLeftCell="A1"/>
  </sheetViews>
  <sheetFormatPr defaultColWidth="8.76555555555556" defaultRowHeight="15.75"/>
  <cols>
    <col min="1" max="1" width="5.22222222222222" style="492" customWidth="1"/>
    <col min="2" max="2" width="10.7777777777778" style="492" customWidth="1"/>
    <col min="3" max="3" width="9.55555555555556" style="492" customWidth="1"/>
    <col min="4" max="4" width="10.1111111111111" style="492" customWidth="1"/>
    <col min="5" max="5" width="12.4444444444444" style="492" customWidth="1"/>
    <col min="6" max="6" width="10.1111111111111" style="492" customWidth="1"/>
    <col min="7" max="7" width="2.11111111111111" style="492" customWidth="1"/>
    <col min="8" max="8" width="15.1111111111111" style="492" customWidth="1"/>
    <col min="9" max="9" width="14.2222222222222" style="492" customWidth="1"/>
    <col min="10" max="10" width="16.4444444444444" style="492" customWidth="1"/>
    <col min="11" max="11" width="13.4444444444444" style="492" customWidth="1"/>
    <col min="12" max="16" width="8.77777777777778" style="492"/>
    <col min="17" max="16384" width="8.77777777777778" style="492"/>
  </cols>
  <sheetData>
    <row r="1" spans="2:11" s="491" customFormat="1" ht="15">
      <c r="B1" s="750" t="str">
        <f>'Attachment H'!$D$5</f>
        <v>NextEra Energy Transmission MidAtlantic Indiana, Inc.</v>
      </c>
      <c r="C1" s="750"/>
      <c r="D1" s="750"/>
      <c r="E1" s="750"/>
      <c r="F1" s="750"/>
      <c r="G1" s="750"/>
      <c r="H1" s="750"/>
      <c r="I1" s="750"/>
      <c r="J1" s="750"/>
      <c r="K1" s="750"/>
    </row>
    <row r="2" spans="2:11" s="491" customFormat="1" ht="15">
      <c r="B2" s="751" t="s">
        <v>629</v>
      </c>
      <c r="C2" s="751"/>
      <c r="D2" s="751"/>
      <c r="E2" s="751"/>
      <c r="F2" s="751"/>
      <c r="G2" s="751"/>
      <c r="H2" s="751"/>
      <c r="I2" s="751"/>
      <c r="J2" s="751"/>
      <c r="K2" s="751"/>
    </row>
    <row r="3" spans="2:11" s="491" customFormat="1" ht="15">
      <c r="B3" s="752" t="s">
        <v>630</v>
      </c>
      <c r="C3" s="752"/>
      <c r="D3" s="752"/>
      <c r="E3" s="752"/>
      <c r="F3" s="752"/>
      <c r="G3" s="752"/>
      <c r="H3" s="752"/>
      <c r="I3" s="752"/>
      <c r="J3" s="752"/>
      <c r="K3" s="752"/>
    </row>
    <row r="4" spans="10:11" ht="15.5">
      <c r="J4" s="493" t="s">
        <v>631</v>
      </c>
      <c r="K4" s="494" t="s">
        <v>632</v>
      </c>
    </row>
    <row r="5" spans="1:11" ht="15.5">
      <c r="A5" s="492">
        <v>1</v>
      </c>
      <c r="B5" s="495" t="s">
        <v>633</v>
      </c>
      <c r="H5" s="496"/>
      <c r="I5" s="496"/>
      <c r="J5" s="496"/>
      <c r="K5" s="496"/>
    </row>
    <row r="6" spans="1:11" ht="15.5">
      <c r="A6" s="492">
        <f>+A5+1</f>
        <v>2</v>
      </c>
      <c r="B6" s="744" t="s">
        <v>634</v>
      </c>
      <c r="C6" s="745"/>
      <c r="D6" s="745"/>
      <c r="E6" s="745"/>
      <c r="F6" s="746"/>
      <c r="G6" s="497"/>
      <c r="H6" s="747" t="s">
        <v>635</v>
      </c>
      <c r="I6" s="748"/>
      <c r="J6" s="749"/>
      <c r="K6" s="496"/>
    </row>
    <row r="7" spans="2:11" ht="15.5">
      <c r="B7" s="498" t="s">
        <v>431</v>
      </c>
      <c r="C7" s="498" t="s">
        <v>433</v>
      </c>
      <c r="D7" s="498" t="s">
        <v>286</v>
      </c>
      <c r="E7" s="498" t="s">
        <v>288</v>
      </c>
      <c r="F7" s="498" t="s">
        <v>290</v>
      </c>
      <c r="G7" s="497"/>
      <c r="H7" s="498" t="s">
        <v>292</v>
      </c>
      <c r="I7" s="498" t="s">
        <v>294</v>
      </c>
      <c r="J7" s="498" t="s">
        <v>302</v>
      </c>
      <c r="K7" s="499"/>
    </row>
    <row r="8" spans="1:11" ht="62">
      <c r="A8" s="492">
        <f>+A6+1</f>
        <v>3</v>
      </c>
      <c r="B8" s="500" t="s">
        <v>554</v>
      </c>
      <c r="C8" s="500" t="s">
        <v>636</v>
      </c>
      <c r="D8" s="500" t="s">
        <v>637</v>
      </c>
      <c r="E8" s="500" t="s">
        <v>638</v>
      </c>
      <c r="F8" s="500" t="s">
        <v>639</v>
      </c>
      <c r="G8" s="501"/>
      <c r="H8" s="500" t="s">
        <v>640</v>
      </c>
      <c r="I8" s="500" t="s">
        <v>641</v>
      </c>
      <c r="J8" s="500" t="s">
        <v>642</v>
      </c>
      <c r="K8" s="501"/>
    </row>
    <row r="9" spans="1:11" ht="15.5">
      <c r="A9" s="492">
        <f t="shared" si="0" ref="A9:A23">+A8+1</f>
        <v>4</v>
      </c>
      <c r="C9" s="501"/>
      <c r="D9" s="501"/>
      <c r="E9" s="501"/>
      <c r="F9" s="501"/>
      <c r="G9" s="501"/>
      <c r="H9" s="501"/>
      <c r="I9" s="501"/>
      <c r="J9" s="501"/>
      <c r="K9" s="501"/>
    </row>
    <row r="10" spans="1:11" ht="15.5">
      <c r="A10" s="492">
        <f>+A9+1</f>
        <v>5</v>
      </c>
      <c r="B10" s="502" t="s">
        <v>643</v>
      </c>
      <c r="C10" s="503"/>
      <c r="D10" s="504"/>
      <c r="E10" s="504"/>
      <c r="F10" s="504"/>
      <c r="G10" s="504"/>
      <c r="H10" s="505"/>
      <c r="I10" s="505"/>
      <c r="J10" s="506">
        <v>0</v>
      </c>
      <c r="K10" s="507"/>
    </row>
    <row r="11" spans="1:11" ht="15.5">
      <c r="A11" s="492">
        <f>+A10+1</f>
        <v>6</v>
      </c>
      <c r="B11" s="503" t="s">
        <v>573</v>
      </c>
      <c r="C11" s="505">
        <v>31</v>
      </c>
      <c r="D11" s="508">
        <f>C11</f>
        <v>31</v>
      </c>
      <c r="E11" s="509">
        <f>D23-D11+1</f>
        <v>336</v>
      </c>
      <c r="F11" s="510">
        <f>IF(E11=0,0,E11/$D$23)</f>
        <v>0.91803278688524592</v>
      </c>
      <c r="G11" s="504"/>
      <c r="H11" s="506">
        <v>0</v>
      </c>
      <c r="I11" s="505">
        <f>+H11*F11</f>
        <v>0</v>
      </c>
      <c r="J11" s="505">
        <f t="shared" si="1" ref="J11:J22">+I11+J10</f>
        <v>0</v>
      </c>
      <c r="K11" s="507"/>
    </row>
    <row r="12" spans="1:11" ht="15.5">
      <c r="A12" s="492">
        <f>+A11+1</f>
        <v>7</v>
      </c>
      <c r="B12" s="503" t="s">
        <v>574</v>
      </c>
      <c r="C12" s="506">
        <v>29</v>
      </c>
      <c r="D12" s="508">
        <f t="shared" si="2" ref="D12:D22">C12</f>
        <v>29</v>
      </c>
      <c r="E12" s="509">
        <f>$D$23-SUM($D$11:D12)+1</f>
        <v>307</v>
      </c>
      <c r="F12" s="510">
        <f t="shared" si="3" ref="F12:F22">IF(E12=0,0,E12/$D$23)</f>
        <v>0.83879781420765032</v>
      </c>
      <c r="G12" s="504"/>
      <c r="H12" s="506">
        <f t="shared" si="4" ref="H12:H22">+H11</f>
        <v>0</v>
      </c>
      <c r="I12" s="505">
        <f t="shared" si="5" ref="I12:I22">+H12*F12</f>
        <v>0</v>
      </c>
      <c r="J12" s="505">
        <f>+I12+J11</f>
        <v>0</v>
      </c>
      <c r="K12" s="507"/>
    </row>
    <row r="13" spans="1:11" ht="15.5">
      <c r="A13" s="492">
        <f>+A12+1</f>
        <v>8</v>
      </c>
      <c r="B13" s="503" t="s">
        <v>644</v>
      </c>
      <c r="C13" s="505">
        <v>31</v>
      </c>
      <c r="D13" s="508">
        <f>C13</f>
        <v>31</v>
      </c>
      <c r="E13" s="509">
        <f>$D$23-SUM($D$11:D13)+1</f>
        <v>276</v>
      </c>
      <c r="F13" s="510">
        <f>IF(E13=0,0,E13/$D$23)</f>
        <v>0.75409836065573765</v>
      </c>
      <c r="G13" s="504"/>
      <c r="H13" s="506">
        <f>+H12</f>
        <v>0</v>
      </c>
      <c r="I13" s="505">
        <f>+H13*F13</f>
        <v>0</v>
      </c>
      <c r="J13" s="505">
        <f>+I13+J12</f>
        <v>0</v>
      </c>
      <c r="K13" s="507"/>
    </row>
    <row r="14" spans="1:11" ht="15.5">
      <c r="A14" s="492">
        <f>+A13+1</f>
        <v>9</v>
      </c>
      <c r="B14" s="503" t="s">
        <v>576</v>
      </c>
      <c r="C14" s="505">
        <v>30</v>
      </c>
      <c r="D14" s="508">
        <f>C14</f>
        <v>30</v>
      </c>
      <c r="E14" s="509">
        <f>$D$23-SUM($D$11:D14)+1</f>
        <v>246</v>
      </c>
      <c r="F14" s="510">
        <f>IF(E14=0,0,E14/$D$23)</f>
        <v>0.67213114754098358</v>
      </c>
      <c r="G14" s="504"/>
      <c r="H14" s="506">
        <f>+H13</f>
        <v>0</v>
      </c>
      <c r="I14" s="505">
        <f>+H14*F14</f>
        <v>0</v>
      </c>
      <c r="J14" s="505">
        <f>+I14+J13</f>
        <v>0</v>
      </c>
      <c r="K14" s="507"/>
    </row>
    <row r="15" spans="1:11" ht="15.5">
      <c r="A15" s="492">
        <f>+A14+1</f>
        <v>10</v>
      </c>
      <c r="B15" s="503" t="s">
        <v>577</v>
      </c>
      <c r="C15" s="505">
        <v>31</v>
      </c>
      <c r="D15" s="508">
        <f>C15</f>
        <v>31</v>
      </c>
      <c r="E15" s="509">
        <f>$D$23-SUM($D$11:D15)+1</f>
        <v>215</v>
      </c>
      <c r="F15" s="510">
        <f>IF(E15=0,0,E15/$D$23)</f>
        <v>0.58743169398907102</v>
      </c>
      <c r="G15" s="504"/>
      <c r="H15" s="506">
        <f>+H14</f>
        <v>0</v>
      </c>
      <c r="I15" s="505">
        <f>+H15*F15</f>
        <v>0</v>
      </c>
      <c r="J15" s="505">
        <f>+I15+J14</f>
        <v>0</v>
      </c>
      <c r="K15" s="507"/>
    </row>
    <row r="16" spans="1:11" ht="15.5">
      <c r="A16" s="492">
        <f>+A15+1</f>
        <v>11</v>
      </c>
      <c r="B16" s="503" t="s">
        <v>578</v>
      </c>
      <c r="C16" s="505">
        <v>30</v>
      </c>
      <c r="D16" s="508">
        <f>C16</f>
        <v>30</v>
      </c>
      <c r="E16" s="509">
        <f>$D$23-SUM($D$11:D16)+1</f>
        <v>185</v>
      </c>
      <c r="F16" s="510">
        <f>IF(E16=0,0,E16/$D$23)</f>
        <v>0.50546448087431695</v>
      </c>
      <c r="G16" s="504"/>
      <c r="H16" s="506">
        <f>+H15</f>
        <v>0</v>
      </c>
      <c r="I16" s="505">
        <f>+H16*F16</f>
        <v>0</v>
      </c>
      <c r="J16" s="505">
        <f>+I16+J15</f>
        <v>0</v>
      </c>
      <c r="K16" s="507"/>
    </row>
    <row r="17" spans="1:11" ht="15.5">
      <c r="A17" s="492">
        <f>+A16+1</f>
        <v>12</v>
      </c>
      <c r="B17" s="503" t="s">
        <v>579</v>
      </c>
      <c r="C17" s="505">
        <v>31</v>
      </c>
      <c r="D17" s="508">
        <f>C17</f>
        <v>31</v>
      </c>
      <c r="E17" s="509">
        <f>$D$23-SUM($D$11:D17)+1</f>
        <v>154</v>
      </c>
      <c r="F17" s="510">
        <f>IF(E17=0,0,E17/$D$23)</f>
        <v>0.42076502732240439</v>
      </c>
      <c r="G17" s="504"/>
      <c r="H17" s="506">
        <f>+H16</f>
        <v>0</v>
      </c>
      <c r="I17" s="505">
        <f>+H17*F17</f>
        <v>0</v>
      </c>
      <c r="J17" s="505">
        <f>+I17+J16</f>
        <v>0</v>
      </c>
      <c r="K17" s="507"/>
    </row>
    <row r="18" spans="1:11" ht="15.5">
      <c r="A18" s="492">
        <f>+A17+1</f>
        <v>13</v>
      </c>
      <c r="B18" s="503" t="s">
        <v>645</v>
      </c>
      <c r="C18" s="505">
        <v>31</v>
      </c>
      <c r="D18" s="508">
        <f>C18</f>
        <v>31</v>
      </c>
      <c r="E18" s="509">
        <f>$D$23-SUM($D$11:D18)+1</f>
        <v>123</v>
      </c>
      <c r="F18" s="510">
        <f>IF(E18=0,0,E18/$D$23)</f>
        <v>0.33606557377049179</v>
      </c>
      <c r="G18" s="504"/>
      <c r="H18" s="506">
        <f>+H17</f>
        <v>0</v>
      </c>
      <c r="I18" s="505">
        <f>+H18*F18</f>
        <v>0</v>
      </c>
      <c r="J18" s="505">
        <f>+I18+J17</f>
        <v>0</v>
      </c>
      <c r="K18" s="507"/>
    </row>
    <row r="19" spans="1:11" ht="15.5">
      <c r="A19" s="492">
        <f>+A18+1</f>
        <v>14</v>
      </c>
      <c r="B19" s="503" t="s">
        <v>581</v>
      </c>
      <c r="C19" s="505">
        <v>30</v>
      </c>
      <c r="D19" s="508">
        <f>C19</f>
        <v>30</v>
      </c>
      <c r="E19" s="509">
        <f>$D$23-SUM($D$11:D19)+1</f>
        <v>93</v>
      </c>
      <c r="F19" s="510">
        <f>IF(E19=0,0,E19/$D$23)</f>
        <v>0.25409836065573771</v>
      </c>
      <c r="G19" s="504"/>
      <c r="H19" s="506">
        <f>+H18</f>
        <v>0</v>
      </c>
      <c r="I19" s="505">
        <f>+H19*F19</f>
        <v>0</v>
      </c>
      <c r="J19" s="505">
        <f>+I19+J18</f>
        <v>0</v>
      </c>
      <c r="K19" s="507"/>
    </row>
    <row r="20" spans="1:11" ht="15.5">
      <c r="A20" s="492">
        <f>+A19+1</f>
        <v>15</v>
      </c>
      <c r="B20" s="503" t="s">
        <v>582</v>
      </c>
      <c r="C20" s="505">
        <v>31</v>
      </c>
      <c r="D20" s="508">
        <f>C20</f>
        <v>31</v>
      </c>
      <c r="E20" s="509">
        <f>$D$23-SUM($D$11:D20)+1</f>
        <v>62</v>
      </c>
      <c r="F20" s="510">
        <f>IF(E20=0,0,E20/$D$23)</f>
        <v>0.16939890710382513</v>
      </c>
      <c r="G20" s="504"/>
      <c r="H20" s="506">
        <f>+H19</f>
        <v>0</v>
      </c>
      <c r="I20" s="505">
        <f>+H20*F20</f>
        <v>0</v>
      </c>
      <c r="J20" s="505">
        <f>+I20+J19</f>
        <v>0</v>
      </c>
      <c r="K20" s="507"/>
    </row>
    <row r="21" spans="1:11" ht="15.5">
      <c r="A21" s="492">
        <f>+A20+1</f>
        <v>16</v>
      </c>
      <c r="B21" s="503" t="s">
        <v>583</v>
      </c>
      <c r="C21" s="505">
        <v>30</v>
      </c>
      <c r="D21" s="508">
        <f>C21</f>
        <v>30</v>
      </c>
      <c r="E21" s="509">
        <f>$D$23-SUM($D$11:D21)+1</f>
        <v>32</v>
      </c>
      <c r="F21" s="510">
        <f>IF(E21=0,0,E21/$D$23)</f>
        <v>0.087431693989071038</v>
      </c>
      <c r="G21" s="504"/>
      <c r="H21" s="506">
        <f>+H20</f>
        <v>0</v>
      </c>
      <c r="I21" s="505">
        <f>+H21*F21</f>
        <v>0</v>
      </c>
      <c r="J21" s="505">
        <f>+I21+J20</f>
        <v>0</v>
      </c>
      <c r="K21" s="507"/>
    </row>
    <row r="22" spans="1:11" ht="15.5">
      <c r="A22" s="492">
        <f>+A21+1</f>
        <v>17</v>
      </c>
      <c r="B22" s="503" t="s">
        <v>646</v>
      </c>
      <c r="C22" s="505">
        <v>31</v>
      </c>
      <c r="D22" s="508">
        <f>C22</f>
        <v>31</v>
      </c>
      <c r="E22" s="509">
        <f>$D$23-SUM($D$11:D22)+1</f>
        <v>1</v>
      </c>
      <c r="F22" s="510">
        <f>IF(E22=0,0,E22/$D$23)</f>
        <v>0.0027322404371584699</v>
      </c>
      <c r="G22" s="504"/>
      <c r="H22" s="506">
        <f>+H21</f>
        <v>0</v>
      </c>
      <c r="I22" s="505">
        <f>+H22*F22</f>
        <v>0</v>
      </c>
      <c r="J22" s="505">
        <f>+I22+J21</f>
        <v>0</v>
      </c>
      <c r="K22" s="507"/>
    </row>
    <row r="23" spans="1:11" ht="15.5">
      <c r="A23" s="492">
        <f>+A22+1</f>
        <v>18</v>
      </c>
      <c r="B23" s="511"/>
      <c r="C23" s="511" t="s">
        <v>22</v>
      </c>
      <c r="D23" s="512">
        <f>SUM(D11:D22)</f>
        <v>366</v>
      </c>
      <c r="E23" s="511"/>
      <c r="F23" s="513"/>
      <c r="G23" s="504"/>
      <c r="H23" s="514">
        <f>SUM(H11:H22)</f>
        <v>0</v>
      </c>
      <c r="I23" s="514">
        <f>SUM(I11:I22)</f>
        <v>0</v>
      </c>
      <c r="J23" s="513"/>
      <c r="K23" s="515"/>
    </row>
    <row r="24" spans="2:11" ht="15.5">
      <c r="B24" s="516"/>
      <c r="C24" s="516"/>
      <c r="D24" s="516"/>
      <c r="E24" s="516"/>
      <c r="F24" s="515"/>
      <c r="G24" s="515"/>
      <c r="H24" s="517"/>
      <c r="I24" s="518"/>
      <c r="J24" s="515"/>
      <c r="K24" s="515"/>
    </row>
    <row r="25" spans="1:10" ht="15.5">
      <c r="A25" s="492">
        <f>+A23+1</f>
        <v>19</v>
      </c>
      <c r="B25" s="492" t="s">
        <v>647</v>
      </c>
      <c r="F25" s="519" t="s">
        <v>648</v>
      </c>
      <c r="G25" s="515"/>
      <c r="I25" s="515"/>
      <c r="J25" s="506">
        <v>0</v>
      </c>
    </row>
    <row r="26" spans="1:10" ht="15.5">
      <c r="A26" s="492">
        <f>+A25+1</f>
        <v>20</v>
      </c>
      <c r="B26" s="492" t="s">
        <v>649</v>
      </c>
      <c r="F26" s="492" t="str">
        <f>"(Line "&amp;A25&amp;" less line "&amp;A27&amp;")"</f>
        <v>(Line 19 less line 21)</v>
      </c>
      <c r="G26" s="515"/>
      <c r="I26" s="515"/>
      <c r="J26" s="520">
        <f>+J25-J27</f>
        <v>0</v>
      </c>
    </row>
    <row r="27" spans="1:10" ht="15.5">
      <c r="A27" s="492">
        <f t="shared" si="6" ref="A27:A33">+A26+1</f>
        <v>21</v>
      </c>
      <c r="B27" s="492" t="s">
        <v>650</v>
      </c>
      <c r="F27" s="492" t="str">
        <f>"(Line "&amp;A10&amp;", Col H)"</f>
        <v>(Line 5, Col H)</v>
      </c>
      <c r="G27" s="515"/>
      <c r="I27" s="515"/>
      <c r="J27" s="505">
        <f>+J10</f>
        <v>0</v>
      </c>
    </row>
    <row r="28" spans="1:10" ht="15.5">
      <c r="A28" s="492">
        <f>+A27+1</f>
        <v>22</v>
      </c>
      <c r="B28" s="492" t="s">
        <v>651</v>
      </c>
      <c r="F28" s="519" t="s">
        <v>652</v>
      </c>
      <c r="G28" s="515"/>
      <c r="I28" s="515"/>
      <c r="J28" s="506">
        <v>0</v>
      </c>
    </row>
    <row r="29" spans="1:10" ht="15.5">
      <c r="A29" s="492">
        <f>+A28+1</f>
        <v>23</v>
      </c>
      <c r="B29" s="492" t="str">
        <f>+B26</f>
        <v>Less non Prorated Items</v>
      </c>
      <c r="F29" s="492" t="str">
        <f>"(Line "&amp;A28&amp;" less line "&amp;A30&amp;")"</f>
        <v>(Line 22 less line 24)</v>
      </c>
      <c r="G29" s="515"/>
      <c r="I29" s="515"/>
      <c r="J29" s="520">
        <f>+J28-J30</f>
        <v>0</v>
      </c>
    </row>
    <row r="30" spans="1:10" ht="15.5">
      <c r="A30" s="492">
        <f>+A29+1</f>
        <v>24</v>
      </c>
      <c r="B30" s="492" t="s">
        <v>653</v>
      </c>
      <c r="F30" s="492" t="str">
        <f>"(Line "&amp;A22&amp;", Col H)"</f>
        <v>(Line 17, Col H)</v>
      </c>
      <c r="G30" s="515"/>
      <c r="I30" s="515"/>
      <c r="J30" s="505">
        <f>+J22</f>
        <v>0</v>
      </c>
    </row>
    <row r="31" spans="1:10" ht="15.5">
      <c r="A31" s="492">
        <f>+A30+1</f>
        <v>25</v>
      </c>
      <c r="B31" s="492" t="s">
        <v>654</v>
      </c>
      <c r="F31" s="492" t="str">
        <f>"([Lines "&amp;A27&amp;" + "&amp;A30&amp;"] /2)+([Lines "&amp;A26&amp;" +"&amp;A29&amp;")/2])"</f>
        <v>([Lines 21 + 24] /2)+([Lines 20 +23)/2])</v>
      </c>
      <c r="G31" s="515"/>
      <c r="I31" s="501"/>
      <c r="J31" s="521">
        <f>(J27+J30)/2+(J26+J29)/2</f>
        <v>0</v>
      </c>
    </row>
    <row r="32" spans="1:10" ht="15.5">
      <c r="A32" s="492">
        <f>+A31+1</f>
        <v>26</v>
      </c>
      <c r="B32" s="492" t="s">
        <v>655</v>
      </c>
      <c r="F32" s="492" t="s">
        <v>656</v>
      </c>
      <c r="G32" s="515"/>
      <c r="I32" s="501"/>
      <c r="J32" s="506">
        <v>0</v>
      </c>
    </row>
    <row r="33" spans="1:10" ht="15.5">
      <c r="A33" s="492">
        <f>+A32+1</f>
        <v>27</v>
      </c>
      <c r="B33" s="492" t="s">
        <v>657</v>
      </c>
      <c r="F33" s="492" t="str">
        <f>"(Line "&amp;A31&amp;" less line "&amp;A32&amp;")"</f>
        <v>(Line 25 less line 26)</v>
      </c>
      <c r="J33" s="522">
        <f>+J31-J32</f>
        <v>0</v>
      </c>
    </row>
    <row r="34" ht="15.5"/>
    <row r="35" spans="1:10" ht="15.5">
      <c r="A35" s="523"/>
      <c r="B35" s="524"/>
      <c r="C35" s="523"/>
      <c r="D35" s="523"/>
      <c r="E35" s="523"/>
      <c r="F35" s="523"/>
      <c r="G35" s="523"/>
      <c r="H35" s="523"/>
      <c r="I35" s="523"/>
      <c r="J35" s="523"/>
    </row>
    <row r="36" spans="1:10" ht="15.5">
      <c r="A36" s="492">
        <f>+A33+1</f>
        <v>28</v>
      </c>
      <c r="B36" s="495" t="s">
        <v>658</v>
      </c>
      <c r="H36" s="496"/>
      <c r="I36" s="496"/>
      <c r="J36" s="496"/>
    </row>
    <row r="37" spans="1:10" ht="15.5">
      <c r="A37" s="492">
        <f>+A36+1</f>
        <v>29</v>
      </c>
      <c r="B37" s="744" t="s">
        <v>634</v>
      </c>
      <c r="C37" s="745"/>
      <c r="D37" s="745"/>
      <c r="E37" s="745"/>
      <c r="F37" s="746"/>
      <c r="G37" s="497"/>
      <c r="H37" s="747" t="s">
        <v>635</v>
      </c>
      <c r="I37" s="748"/>
      <c r="J37" s="749"/>
    </row>
    <row r="38" spans="2:10" ht="15.5">
      <c r="B38" s="498" t="s">
        <v>431</v>
      </c>
      <c r="C38" s="498" t="s">
        <v>433</v>
      </c>
      <c r="D38" s="498" t="s">
        <v>286</v>
      </c>
      <c r="E38" s="498" t="s">
        <v>288</v>
      </c>
      <c r="F38" s="498" t="s">
        <v>290</v>
      </c>
      <c r="G38" s="497"/>
      <c r="H38" s="498" t="s">
        <v>292</v>
      </c>
      <c r="I38" s="498" t="s">
        <v>294</v>
      </c>
      <c r="J38" s="498" t="s">
        <v>302</v>
      </c>
    </row>
    <row r="39" spans="1:10" ht="62">
      <c r="A39" s="492">
        <f>+A37+1</f>
        <v>30</v>
      </c>
      <c r="B39" s="500" t="s">
        <v>554</v>
      </c>
      <c r="C39" s="500" t="s">
        <v>636</v>
      </c>
      <c r="D39" s="500" t="s">
        <v>637</v>
      </c>
      <c r="E39" s="500" t="s">
        <v>638</v>
      </c>
      <c r="F39" s="500" t="s">
        <v>639</v>
      </c>
      <c r="G39" s="501"/>
      <c r="H39" s="500" t="s">
        <v>640</v>
      </c>
      <c r="I39" s="500" t="s">
        <v>641</v>
      </c>
      <c r="J39" s="500" t="s">
        <v>642</v>
      </c>
    </row>
    <row r="40" spans="1:10" ht="15.5">
      <c r="A40" s="492">
        <f t="shared" si="7" ref="A40:A54">+A39+1</f>
        <v>31</v>
      </c>
      <c r="C40" s="501"/>
      <c r="D40" s="501"/>
      <c r="E40" s="501"/>
      <c r="F40" s="501"/>
      <c r="G40" s="501"/>
      <c r="H40" s="501"/>
      <c r="I40" s="501"/>
      <c r="J40" s="501"/>
    </row>
    <row r="41" spans="1:10" ht="15.5">
      <c r="A41" s="492">
        <f>+A40+1</f>
        <v>32</v>
      </c>
      <c r="B41" s="502" t="s">
        <v>643</v>
      </c>
      <c r="C41" s="503"/>
      <c r="D41" s="504"/>
      <c r="E41" s="504"/>
      <c r="F41" s="504"/>
      <c r="G41" s="504"/>
      <c r="H41" s="505"/>
      <c r="I41" s="505"/>
      <c r="J41" s="506">
        <v>0</v>
      </c>
    </row>
    <row r="42" spans="1:10" ht="15.5">
      <c r="A42" s="492">
        <f>+A41+1</f>
        <v>33</v>
      </c>
      <c r="B42" s="503" t="s">
        <v>573</v>
      </c>
      <c r="C42" s="505">
        <v>31</v>
      </c>
      <c r="D42" s="508">
        <f>C42</f>
        <v>31</v>
      </c>
      <c r="E42" s="509">
        <f>D54-D42+1</f>
        <v>336</v>
      </c>
      <c r="F42" s="510">
        <f>IF(E42=0,0,E42/$D$54)</f>
        <v>0.91803278688524592</v>
      </c>
      <c r="G42" s="504"/>
      <c r="H42" s="506">
        <v>0</v>
      </c>
      <c r="I42" s="505">
        <f>+H42*F42</f>
        <v>0</v>
      </c>
      <c r="J42" s="505">
        <f t="shared" si="8" ref="J42:J53">+I42+J41</f>
        <v>0</v>
      </c>
    </row>
    <row r="43" spans="1:10" ht="15.5">
      <c r="A43" s="492">
        <f>+A42+1</f>
        <v>34</v>
      </c>
      <c r="B43" s="503" t="s">
        <v>574</v>
      </c>
      <c r="C43" s="506">
        <f>C12</f>
        <v>29</v>
      </c>
      <c r="D43" s="508">
        <f t="shared" si="9" ref="D43:D53">C43</f>
        <v>29</v>
      </c>
      <c r="E43" s="509">
        <f>$D$23-SUM($D$42:D43)+1</f>
        <v>307</v>
      </c>
      <c r="F43" s="510">
        <f t="shared" si="10" ref="F43:F53">IF(E43=0,0,E43/$D$54)</f>
        <v>0.83879781420765032</v>
      </c>
      <c r="G43" s="504"/>
      <c r="H43" s="506">
        <f t="shared" si="11" ref="H43:H53">+H42</f>
        <v>0</v>
      </c>
      <c r="I43" s="505">
        <f t="shared" si="12" ref="I43:I53">+H43*F43</f>
        <v>0</v>
      </c>
      <c r="J43" s="505">
        <f>+I43+J42</f>
        <v>0</v>
      </c>
    </row>
    <row r="44" spans="1:10" ht="15.5">
      <c r="A44" s="492">
        <f>+A43+1</f>
        <v>35</v>
      </c>
      <c r="B44" s="503" t="s">
        <v>644</v>
      </c>
      <c r="C44" s="505">
        <v>31</v>
      </c>
      <c r="D44" s="508">
        <f>C44</f>
        <v>31</v>
      </c>
      <c r="E44" s="509">
        <f>$D$23-SUM($D$42:D44)+1</f>
        <v>276</v>
      </c>
      <c r="F44" s="510">
        <f>IF(E44=0,0,E44/$D$54)</f>
        <v>0.75409836065573765</v>
      </c>
      <c r="G44" s="504"/>
      <c r="H44" s="506">
        <f>+H43</f>
        <v>0</v>
      </c>
      <c r="I44" s="505">
        <f>+H44*F44</f>
        <v>0</v>
      </c>
      <c r="J44" s="505">
        <f>+I44+J43</f>
        <v>0</v>
      </c>
    </row>
    <row r="45" spans="1:10" ht="15.5">
      <c r="A45" s="492">
        <f>+A44+1</f>
        <v>36</v>
      </c>
      <c r="B45" s="503" t="s">
        <v>576</v>
      </c>
      <c r="C45" s="505">
        <v>30</v>
      </c>
      <c r="D45" s="508">
        <f>C45</f>
        <v>30</v>
      </c>
      <c r="E45" s="509">
        <f>$D$23-SUM($D$42:D45)+1</f>
        <v>246</v>
      </c>
      <c r="F45" s="510">
        <f>IF(E45=0,0,E45/$D$54)</f>
        <v>0.67213114754098358</v>
      </c>
      <c r="G45" s="504"/>
      <c r="H45" s="506">
        <f>+H44</f>
        <v>0</v>
      </c>
      <c r="I45" s="505">
        <f>+H45*F45</f>
        <v>0</v>
      </c>
      <c r="J45" s="505">
        <f>+I45+J44</f>
        <v>0</v>
      </c>
    </row>
    <row r="46" spans="1:10" ht="15.5">
      <c r="A46" s="492">
        <f>+A45+1</f>
        <v>37</v>
      </c>
      <c r="B46" s="503" t="s">
        <v>577</v>
      </c>
      <c r="C46" s="505">
        <v>31</v>
      </c>
      <c r="D46" s="508">
        <f>C46</f>
        <v>31</v>
      </c>
      <c r="E46" s="509">
        <f>$D$23-SUM($D$42:D46)+1</f>
        <v>215</v>
      </c>
      <c r="F46" s="510">
        <f>IF(E46=0,0,E46/$D$54)</f>
        <v>0.58743169398907102</v>
      </c>
      <c r="G46" s="504"/>
      <c r="H46" s="506">
        <f>+H45</f>
        <v>0</v>
      </c>
      <c r="I46" s="505">
        <f>+H46*F46</f>
        <v>0</v>
      </c>
      <c r="J46" s="505">
        <f>+I46+J45</f>
        <v>0</v>
      </c>
    </row>
    <row r="47" spans="1:10" ht="15.5">
      <c r="A47" s="492">
        <f>+A46+1</f>
        <v>38</v>
      </c>
      <c r="B47" s="503" t="s">
        <v>578</v>
      </c>
      <c r="C47" s="505">
        <v>30</v>
      </c>
      <c r="D47" s="508">
        <f>C47</f>
        <v>30</v>
      </c>
      <c r="E47" s="509">
        <f>$D$23-SUM($D$42:D47)+1</f>
        <v>185</v>
      </c>
      <c r="F47" s="510">
        <f>IF(E47=0,0,E47/$D$54)</f>
        <v>0.50546448087431695</v>
      </c>
      <c r="G47" s="504"/>
      <c r="H47" s="506">
        <f>+H46</f>
        <v>0</v>
      </c>
      <c r="I47" s="505">
        <f>+H47*F47</f>
        <v>0</v>
      </c>
      <c r="J47" s="505">
        <f>+I47+J46</f>
        <v>0</v>
      </c>
    </row>
    <row r="48" spans="1:10" ht="15.5">
      <c r="A48" s="492">
        <f>+A47+1</f>
        <v>39</v>
      </c>
      <c r="B48" s="503" t="s">
        <v>579</v>
      </c>
      <c r="C48" s="505">
        <v>31</v>
      </c>
      <c r="D48" s="508">
        <f>C48</f>
        <v>31</v>
      </c>
      <c r="E48" s="509">
        <f>$D$23-SUM($D$42:D48)+1</f>
        <v>154</v>
      </c>
      <c r="F48" s="510">
        <f>IF(E48=0,0,E48/$D$54)</f>
        <v>0.42076502732240439</v>
      </c>
      <c r="G48" s="504"/>
      <c r="H48" s="506">
        <f>+H47</f>
        <v>0</v>
      </c>
      <c r="I48" s="505">
        <f>+H48*F48</f>
        <v>0</v>
      </c>
      <c r="J48" s="505">
        <f>+I48+J47</f>
        <v>0</v>
      </c>
    </row>
    <row r="49" spans="1:10" ht="15.5">
      <c r="A49" s="492">
        <f>+A48+1</f>
        <v>40</v>
      </c>
      <c r="B49" s="503" t="s">
        <v>645</v>
      </c>
      <c r="C49" s="505">
        <v>31</v>
      </c>
      <c r="D49" s="508">
        <f>C49</f>
        <v>31</v>
      </c>
      <c r="E49" s="509">
        <f>$D$23-SUM($D$42:D49)+1</f>
        <v>123</v>
      </c>
      <c r="F49" s="510">
        <f>IF(E49=0,0,E49/$D$54)</f>
        <v>0.33606557377049179</v>
      </c>
      <c r="G49" s="504"/>
      <c r="H49" s="506">
        <f>+H48</f>
        <v>0</v>
      </c>
      <c r="I49" s="505">
        <f>+H49*F49</f>
        <v>0</v>
      </c>
      <c r="J49" s="505">
        <f>+I49+J48</f>
        <v>0</v>
      </c>
    </row>
    <row r="50" spans="1:10" ht="15.5">
      <c r="A50" s="492">
        <f>+A49+1</f>
        <v>41</v>
      </c>
      <c r="B50" s="503" t="s">
        <v>581</v>
      </c>
      <c r="C50" s="505">
        <v>30</v>
      </c>
      <c r="D50" s="508">
        <f>C50</f>
        <v>30</v>
      </c>
      <c r="E50" s="509">
        <f>$D$23-SUM($D$42:D50)+1</f>
        <v>93</v>
      </c>
      <c r="F50" s="510">
        <f>IF(E50=0,0,E50/$D$54)</f>
        <v>0.25409836065573771</v>
      </c>
      <c r="G50" s="504"/>
      <c r="H50" s="506">
        <f>+H49</f>
        <v>0</v>
      </c>
      <c r="I50" s="505">
        <f>+H50*F50</f>
        <v>0</v>
      </c>
      <c r="J50" s="505">
        <f>+I50+J49</f>
        <v>0</v>
      </c>
    </row>
    <row r="51" spans="1:10" ht="15.5">
      <c r="A51" s="492">
        <f>+A50+1</f>
        <v>42</v>
      </c>
      <c r="B51" s="503" t="s">
        <v>582</v>
      </c>
      <c r="C51" s="505">
        <v>31</v>
      </c>
      <c r="D51" s="508">
        <f>C51</f>
        <v>31</v>
      </c>
      <c r="E51" s="509">
        <f>$D$23-SUM($D$42:D51)+1</f>
        <v>62</v>
      </c>
      <c r="F51" s="510">
        <f>IF(E51=0,0,E51/$D$54)</f>
        <v>0.16939890710382513</v>
      </c>
      <c r="G51" s="504"/>
      <c r="H51" s="506">
        <f>+H50</f>
        <v>0</v>
      </c>
      <c r="I51" s="505">
        <f>+H51*F51</f>
        <v>0</v>
      </c>
      <c r="J51" s="505">
        <f>+I51+J50</f>
        <v>0</v>
      </c>
    </row>
    <row r="52" spans="1:10" ht="15.5">
      <c r="A52" s="492">
        <f>+A51+1</f>
        <v>43</v>
      </c>
      <c r="B52" s="503" t="s">
        <v>583</v>
      </c>
      <c r="C52" s="505">
        <v>30</v>
      </c>
      <c r="D52" s="508">
        <f>C52</f>
        <v>30</v>
      </c>
      <c r="E52" s="509">
        <f>$D$23-SUM($D$42:D52)+1</f>
        <v>32</v>
      </c>
      <c r="F52" s="510">
        <f>IF(E52=0,0,E52/$D$54)</f>
        <v>0.087431693989071038</v>
      </c>
      <c r="G52" s="504"/>
      <c r="H52" s="506">
        <f>+H51</f>
        <v>0</v>
      </c>
      <c r="I52" s="505">
        <f>+H52*F52</f>
        <v>0</v>
      </c>
      <c r="J52" s="505">
        <f>+I52+J51</f>
        <v>0</v>
      </c>
    </row>
    <row r="53" spans="1:10" ht="15.5">
      <c r="A53" s="492">
        <f>+A52+1</f>
        <v>44</v>
      </c>
      <c r="B53" s="503" t="s">
        <v>646</v>
      </c>
      <c r="C53" s="505">
        <v>31</v>
      </c>
      <c r="D53" s="508">
        <f>C53</f>
        <v>31</v>
      </c>
      <c r="E53" s="509">
        <f>$D$23-SUM($D$42:D53)+1</f>
        <v>1</v>
      </c>
      <c r="F53" s="510">
        <f>IF(E53=0,0,E53/$D$54)</f>
        <v>0.0027322404371584699</v>
      </c>
      <c r="G53" s="504"/>
      <c r="H53" s="506">
        <f>+H52</f>
        <v>0</v>
      </c>
      <c r="I53" s="505">
        <f>+H53*F53</f>
        <v>0</v>
      </c>
      <c r="J53" s="505">
        <f>+I53+J52</f>
        <v>0</v>
      </c>
    </row>
    <row r="54" spans="1:10" ht="15.5">
      <c r="A54" s="492">
        <f>+A53+1</f>
        <v>45</v>
      </c>
      <c r="B54" s="511"/>
      <c r="C54" s="511" t="s">
        <v>22</v>
      </c>
      <c r="D54" s="512">
        <f>SUM(D42:D53)</f>
        <v>366</v>
      </c>
      <c r="E54" s="511"/>
      <c r="F54" s="513"/>
      <c r="G54" s="504"/>
      <c r="H54" s="514">
        <f>SUM(H42:H53)</f>
        <v>0</v>
      </c>
      <c r="I54" s="514">
        <f>SUM(I42:I53)</f>
        <v>0</v>
      </c>
      <c r="J54" s="513"/>
    </row>
    <row r="55" spans="2:10" ht="15.5">
      <c r="B55" s="516"/>
      <c r="C55" s="516"/>
      <c r="D55" s="516"/>
      <c r="E55" s="516"/>
      <c r="F55" s="515"/>
      <c r="G55" s="515"/>
      <c r="H55" s="517"/>
      <c r="I55" s="518"/>
      <c r="J55" s="515"/>
    </row>
    <row r="56" spans="1:10" ht="15.5">
      <c r="A56" s="492">
        <f>+A54+1</f>
        <v>46</v>
      </c>
      <c r="B56" s="492" t="s">
        <v>647</v>
      </c>
      <c r="F56" s="519" t="s">
        <v>659</v>
      </c>
      <c r="G56" s="515"/>
      <c r="I56" s="515"/>
      <c r="J56" s="506">
        <v>0</v>
      </c>
    </row>
    <row r="57" spans="1:10" ht="15.5">
      <c r="A57" s="492">
        <f>+A56+1</f>
        <v>47</v>
      </c>
      <c r="B57" s="492" t="s">
        <v>649</v>
      </c>
      <c r="F57" s="492" t="str">
        <f>"(Line "&amp;A56&amp;" less line "&amp;A58&amp;")"</f>
        <v>(Line 46 less line 48)</v>
      </c>
      <c r="G57" s="515"/>
      <c r="I57" s="515"/>
      <c r="J57" s="520">
        <f>+J56-J58</f>
        <v>0</v>
      </c>
    </row>
    <row r="58" spans="1:10" ht="15.5">
      <c r="A58" s="492">
        <f t="shared" si="13" ref="A58:A64">+A57+1</f>
        <v>48</v>
      </c>
      <c r="B58" s="492" t="s">
        <v>650</v>
      </c>
      <c r="F58" s="492" t="str">
        <f>"(Line "&amp;A41&amp;", Col H)"</f>
        <v>(Line 32, Col H)</v>
      </c>
      <c r="G58" s="515"/>
      <c r="I58" s="515"/>
      <c r="J58" s="505">
        <f>+J41</f>
        <v>0</v>
      </c>
    </row>
    <row r="59" spans="1:10" ht="15.5">
      <c r="A59" s="492">
        <f>+A58+1</f>
        <v>49</v>
      </c>
      <c r="B59" s="492" t="s">
        <v>651</v>
      </c>
      <c r="F59" s="519" t="s">
        <v>660</v>
      </c>
      <c r="G59" s="515"/>
      <c r="I59" s="515"/>
      <c r="J59" s="506">
        <v>0</v>
      </c>
    </row>
    <row r="60" spans="1:10" ht="15.5">
      <c r="A60" s="492">
        <f>+A59+1</f>
        <v>50</v>
      </c>
      <c r="B60" s="492" t="str">
        <f>+B57</f>
        <v>Less non Prorated Items</v>
      </c>
      <c r="F60" s="492" t="str">
        <f>"(Line "&amp;A59&amp;" less line "&amp;A61&amp;")"</f>
        <v>(Line 49 less line 51)</v>
      </c>
      <c r="G60" s="515"/>
      <c r="I60" s="515"/>
      <c r="J60" s="520">
        <f>+J59-J61</f>
        <v>0</v>
      </c>
    </row>
    <row r="61" spans="1:10" ht="15.5">
      <c r="A61" s="492">
        <f>+A60+1</f>
        <v>51</v>
      </c>
      <c r="B61" s="492" t="s">
        <v>653</v>
      </c>
      <c r="F61" s="492" t="str">
        <f>"(Line "&amp;A53&amp;", Col H)"</f>
        <v>(Line 44, Col H)</v>
      </c>
      <c r="G61" s="515"/>
      <c r="I61" s="515"/>
      <c r="J61" s="505">
        <f>+J53</f>
        <v>0</v>
      </c>
    </row>
    <row r="62" spans="1:10" ht="15.5">
      <c r="A62" s="492">
        <f>+A61+1</f>
        <v>52</v>
      </c>
      <c r="B62" s="492" t="s">
        <v>654</v>
      </c>
      <c r="F62" s="492" t="str">
        <f>"([Lines "&amp;A58&amp;" + "&amp;A61&amp;"] /2)+([Lines "&amp;A57&amp;" +"&amp;A60&amp;")/2])"</f>
        <v>([Lines 48 + 51] /2)+([Lines 47 +50)/2])</v>
      </c>
      <c r="G62" s="515"/>
      <c r="I62" s="501"/>
      <c r="J62" s="521">
        <f>(J58+J61)/2+(J57+J60)/2</f>
        <v>0</v>
      </c>
    </row>
    <row r="63" spans="1:10" ht="15.5">
      <c r="A63" s="492">
        <f>+A62+1</f>
        <v>53</v>
      </c>
      <c r="B63" s="492" t="s">
        <v>655</v>
      </c>
      <c r="F63" s="492" t="s">
        <v>656</v>
      </c>
      <c r="G63" s="515"/>
      <c r="I63" s="501"/>
      <c r="J63" s="506">
        <v>0</v>
      </c>
    </row>
    <row r="64" spans="1:10" ht="15.5">
      <c r="A64" s="492">
        <f>+A63+1</f>
        <v>54</v>
      </c>
      <c r="B64" s="492" t="s">
        <v>657</v>
      </c>
      <c r="F64" s="492" t="str">
        <f>"(Line "&amp;A62&amp;" less line "&amp;A63&amp;")"</f>
        <v>(Line 52 less line 53)</v>
      </c>
      <c r="J64" s="522">
        <f>+J62-J63</f>
        <v>0</v>
      </c>
    </row>
    <row r="65" ht="15.5"/>
    <row r="66" spans="1:10" ht="15.5">
      <c r="A66" s="523"/>
      <c r="B66" s="524"/>
      <c r="C66" s="523"/>
      <c r="D66" s="523"/>
      <c r="E66" s="523"/>
      <c r="F66" s="523"/>
      <c r="G66" s="523"/>
      <c r="H66" s="523"/>
      <c r="I66" s="523"/>
      <c r="J66" s="523"/>
    </row>
    <row r="67" spans="1:10" ht="15.5">
      <c r="A67" s="492">
        <f>+A64+1</f>
        <v>55</v>
      </c>
      <c r="B67" s="495" t="s">
        <v>661</v>
      </c>
      <c r="H67" s="496"/>
      <c r="I67" s="496"/>
      <c r="J67" s="496"/>
    </row>
    <row r="68" spans="1:10" ht="15.5">
      <c r="A68" s="492">
        <f>+A67+1</f>
        <v>56</v>
      </c>
      <c r="B68" s="744" t="s">
        <v>634</v>
      </c>
      <c r="C68" s="745"/>
      <c r="D68" s="745"/>
      <c r="E68" s="745"/>
      <c r="F68" s="746"/>
      <c r="G68" s="497"/>
      <c r="H68" s="747" t="s">
        <v>635</v>
      </c>
      <c r="I68" s="748"/>
      <c r="J68" s="749"/>
    </row>
    <row r="69" spans="2:10" ht="15.5">
      <c r="B69" s="498" t="s">
        <v>431</v>
      </c>
      <c r="C69" s="498" t="s">
        <v>433</v>
      </c>
      <c r="D69" s="498" t="s">
        <v>286</v>
      </c>
      <c r="E69" s="498" t="s">
        <v>288</v>
      </c>
      <c r="F69" s="498" t="s">
        <v>290</v>
      </c>
      <c r="G69" s="497"/>
      <c r="H69" s="498" t="s">
        <v>292</v>
      </c>
      <c r="I69" s="498" t="s">
        <v>294</v>
      </c>
      <c r="J69" s="498" t="s">
        <v>302</v>
      </c>
    </row>
    <row r="70" spans="1:10" ht="62">
      <c r="A70" s="492">
        <f>+A68+1</f>
        <v>57</v>
      </c>
      <c r="B70" s="500" t="s">
        <v>554</v>
      </c>
      <c r="C70" s="500" t="s">
        <v>636</v>
      </c>
      <c r="D70" s="500" t="s">
        <v>637</v>
      </c>
      <c r="E70" s="500" t="s">
        <v>638</v>
      </c>
      <c r="F70" s="500" t="s">
        <v>639</v>
      </c>
      <c r="G70" s="501"/>
      <c r="H70" s="500" t="s">
        <v>640</v>
      </c>
      <c r="I70" s="500" t="s">
        <v>641</v>
      </c>
      <c r="J70" s="500" t="s">
        <v>642</v>
      </c>
    </row>
    <row r="71" spans="1:10" ht="15.5">
      <c r="A71" s="492">
        <f t="shared" si="14" ref="A71:A85">+A70+1</f>
        <v>58</v>
      </c>
      <c r="C71" s="501"/>
      <c r="D71" s="501"/>
      <c r="E71" s="501"/>
      <c r="F71" s="501"/>
      <c r="G71" s="501"/>
      <c r="H71" s="501"/>
      <c r="I71" s="501"/>
      <c r="J71" s="501"/>
    </row>
    <row r="72" spans="1:11" ht="15.5">
      <c r="A72" s="492">
        <f>+A71+1</f>
        <v>59</v>
      </c>
      <c r="B72" s="502" t="s">
        <v>643</v>
      </c>
      <c r="C72" s="503"/>
      <c r="D72" s="504"/>
      <c r="E72" s="504"/>
      <c r="F72" s="504"/>
      <c r="G72" s="504"/>
      <c r="H72" s="505"/>
      <c r="I72" s="505"/>
      <c r="J72" s="506"/>
      <c r="K72" s="525"/>
    </row>
    <row r="73" spans="1:13" ht="15.5">
      <c r="A73" s="492">
        <f>+A72+1</f>
        <v>60</v>
      </c>
      <c r="B73" s="503" t="s">
        <v>573</v>
      </c>
      <c r="C73" s="505">
        <v>31</v>
      </c>
      <c r="D73" s="508">
        <f>C73</f>
        <v>31</v>
      </c>
      <c r="E73" s="509">
        <f>D85-D73+1</f>
        <v>336</v>
      </c>
      <c r="F73" s="510">
        <f>IF(E73=0,0,E73/$D$85)</f>
        <v>0.91803278688524592</v>
      </c>
      <c r="G73" s="504"/>
      <c r="H73" s="506">
        <v>0</v>
      </c>
      <c r="I73" s="505">
        <f>+H73*F73</f>
        <v>0</v>
      </c>
      <c r="J73" s="505">
        <f t="shared" si="15" ref="J73:J83">+I73+J72</f>
        <v>0</v>
      </c>
      <c r="L73" s="526"/>
      <c r="M73" s="527"/>
    </row>
    <row r="74" spans="1:13" ht="15.5">
      <c r="A74" s="492">
        <f>+A73+1</f>
        <v>61</v>
      </c>
      <c r="B74" s="503" t="s">
        <v>574</v>
      </c>
      <c r="C74" s="506">
        <f>C12</f>
        <v>29</v>
      </c>
      <c r="D74" s="508">
        <f t="shared" si="16" ref="D74:D84">C74</f>
        <v>29</v>
      </c>
      <c r="E74" s="509">
        <f>$D$23-SUM($D$73:D74)+1</f>
        <v>307</v>
      </c>
      <c r="F74" s="510">
        <f t="shared" si="17" ref="F74:F84">IF(E74=0,0,E74/$D$85)</f>
        <v>0.83879781420765032</v>
      </c>
      <c r="G74" s="528"/>
      <c r="H74" s="506">
        <f t="shared" si="18" ref="H74:H82">+H73</f>
        <v>0</v>
      </c>
      <c r="I74" s="505">
        <f t="shared" si="19" ref="I74:I82">+H74*F74</f>
        <v>0</v>
      </c>
      <c r="J74" s="505">
        <f>+I74+J73</f>
        <v>0</v>
      </c>
      <c r="L74" s="526"/>
      <c r="M74" s="526"/>
    </row>
    <row r="75" spans="1:13" ht="15.5">
      <c r="A75" s="492">
        <f>+A74+1</f>
        <v>62</v>
      </c>
      <c r="B75" s="503" t="s">
        <v>644</v>
      </c>
      <c r="C75" s="505">
        <v>31</v>
      </c>
      <c r="D75" s="508">
        <f>C75</f>
        <v>31</v>
      </c>
      <c r="E75" s="509">
        <f>$D$23-SUM($D$73:D75)+1</f>
        <v>276</v>
      </c>
      <c r="F75" s="510">
        <f>IF(E75=0,0,E75/$D$85)</f>
        <v>0.75409836065573765</v>
      </c>
      <c r="G75" s="528"/>
      <c r="H75" s="506">
        <f>+H74</f>
        <v>0</v>
      </c>
      <c r="I75" s="505">
        <f>+H75*F75</f>
        <v>0</v>
      </c>
      <c r="J75" s="505">
        <f>+I75+J74</f>
        <v>0</v>
      </c>
      <c r="L75" s="526"/>
      <c r="M75" s="526"/>
    </row>
    <row r="76" spans="1:13" ht="15.5">
      <c r="A76" s="492">
        <f>+A75+1</f>
        <v>63</v>
      </c>
      <c r="B76" s="503" t="s">
        <v>576</v>
      </c>
      <c r="C76" s="505">
        <v>30</v>
      </c>
      <c r="D76" s="508">
        <f>C76</f>
        <v>30</v>
      </c>
      <c r="E76" s="509">
        <f>$D$23-SUM($D$73:D76)+1</f>
        <v>246</v>
      </c>
      <c r="F76" s="510">
        <f>IF(E76=0,0,E76/$D$85)</f>
        <v>0.67213114754098358</v>
      </c>
      <c r="G76" s="528"/>
      <c r="H76" s="506">
        <f>+H75</f>
        <v>0</v>
      </c>
      <c r="I76" s="505">
        <f>+H76*F76</f>
        <v>0</v>
      </c>
      <c r="J76" s="505">
        <f>+I76+J75</f>
        <v>0</v>
      </c>
      <c r="L76" s="526"/>
      <c r="M76" s="526"/>
    </row>
    <row r="77" spans="1:13" ht="15.5">
      <c r="A77" s="492">
        <f>+A76+1</f>
        <v>64</v>
      </c>
      <c r="B77" s="503" t="s">
        <v>577</v>
      </c>
      <c r="C77" s="505">
        <v>31</v>
      </c>
      <c r="D77" s="508">
        <f>C77</f>
        <v>31</v>
      </c>
      <c r="E77" s="509">
        <f>$D$23-SUM($D$73:D77)+1</f>
        <v>215</v>
      </c>
      <c r="F77" s="510">
        <f>IF(E77=0,0,E77/$D$85)</f>
        <v>0.58743169398907102</v>
      </c>
      <c r="G77" s="528"/>
      <c r="H77" s="506">
        <f>+H76</f>
        <v>0</v>
      </c>
      <c r="I77" s="505">
        <f>+H77*F77</f>
        <v>0</v>
      </c>
      <c r="J77" s="505">
        <f>+I77+J76</f>
        <v>0</v>
      </c>
      <c r="L77" s="526"/>
      <c r="M77" s="526"/>
    </row>
    <row r="78" spans="1:13" ht="15.5">
      <c r="A78" s="492">
        <f>+A77+1</f>
        <v>65</v>
      </c>
      <c r="B78" s="503" t="s">
        <v>578</v>
      </c>
      <c r="C78" s="505">
        <v>30</v>
      </c>
      <c r="D78" s="508">
        <f>C78</f>
        <v>30</v>
      </c>
      <c r="E78" s="509">
        <f>$D$23-SUM($D$73:D78)+1</f>
        <v>185</v>
      </c>
      <c r="F78" s="510">
        <f>IF(E78=0,0,E78/$D$85)</f>
        <v>0.50546448087431695</v>
      </c>
      <c r="G78" s="528"/>
      <c r="H78" s="506">
        <f>+H77</f>
        <v>0</v>
      </c>
      <c r="I78" s="505">
        <f>+H78*F78</f>
        <v>0</v>
      </c>
      <c r="J78" s="505">
        <f>+I78+J77</f>
        <v>0</v>
      </c>
      <c r="L78" s="526"/>
      <c r="M78" s="526"/>
    </row>
    <row r="79" spans="1:16" ht="15.5">
      <c r="A79" s="492">
        <f>+A78+1</f>
        <v>66</v>
      </c>
      <c r="B79" s="503" t="s">
        <v>579</v>
      </c>
      <c r="C79" s="505">
        <v>31</v>
      </c>
      <c r="D79" s="508">
        <f>C79</f>
        <v>31</v>
      </c>
      <c r="E79" s="509">
        <f>$D$23-SUM($D$73:D79)+1</f>
        <v>154</v>
      </c>
      <c r="F79" s="510">
        <f>IF(E79=0,0,E79/$D$85)</f>
        <v>0.42076502732240439</v>
      </c>
      <c r="G79" s="528"/>
      <c r="H79" s="506">
        <f>+H78</f>
        <v>0</v>
      </c>
      <c r="I79" s="505">
        <f>+H79*F79</f>
        <v>0</v>
      </c>
      <c r="J79" s="505">
        <f>+I79+J78</f>
        <v>0</v>
      </c>
      <c r="L79" s="526"/>
      <c r="M79" s="526"/>
      <c r="N79" s="529"/>
      <c r="P79" s="526"/>
    </row>
    <row r="80" spans="1:16" ht="15.5">
      <c r="A80" s="492">
        <f>+A79+1</f>
        <v>67</v>
      </c>
      <c r="B80" s="503" t="s">
        <v>645</v>
      </c>
      <c r="C80" s="505">
        <v>31</v>
      </c>
      <c r="D80" s="508">
        <f>C80</f>
        <v>31</v>
      </c>
      <c r="E80" s="509">
        <f>$D$23-SUM($D$73:D80)+1</f>
        <v>123</v>
      </c>
      <c r="F80" s="510">
        <f>IF(E80=0,0,E80/$D$85)</f>
        <v>0.33606557377049179</v>
      </c>
      <c r="G80" s="528"/>
      <c r="H80" s="506">
        <f>+H79</f>
        <v>0</v>
      </c>
      <c r="I80" s="505">
        <f>+H80*F80</f>
        <v>0</v>
      </c>
      <c r="J80" s="505">
        <f>+I80+J79</f>
        <v>0</v>
      </c>
      <c r="L80" s="526"/>
      <c r="M80" s="526"/>
      <c r="N80" s="529"/>
      <c r="P80" s="526"/>
    </row>
    <row r="81" spans="1:16" ht="15.5">
      <c r="A81" s="492">
        <f>+A80+1</f>
        <v>68</v>
      </c>
      <c r="B81" s="503" t="s">
        <v>581</v>
      </c>
      <c r="C81" s="505">
        <v>30</v>
      </c>
      <c r="D81" s="508">
        <f>C81</f>
        <v>30</v>
      </c>
      <c r="E81" s="509">
        <f>$D$23-SUM($D$73:D81)+1</f>
        <v>93</v>
      </c>
      <c r="F81" s="510">
        <f>IF(E81=0,0,E81/$D$85)</f>
        <v>0.25409836065573771</v>
      </c>
      <c r="G81" s="528"/>
      <c r="H81" s="506">
        <f>+H80</f>
        <v>0</v>
      </c>
      <c r="I81" s="505">
        <f>+H81*F81</f>
        <v>0</v>
      </c>
      <c r="J81" s="505">
        <f>+I81+J80</f>
        <v>0</v>
      </c>
      <c r="L81" s="526"/>
      <c r="M81" s="526"/>
      <c r="N81" s="529"/>
      <c r="P81" s="526"/>
    </row>
    <row r="82" spans="1:16" ht="15.5">
      <c r="A82" s="492">
        <f>+A81+1</f>
        <v>69</v>
      </c>
      <c r="B82" s="503" t="s">
        <v>582</v>
      </c>
      <c r="C82" s="505">
        <v>31</v>
      </c>
      <c r="D82" s="508">
        <f>C82</f>
        <v>31</v>
      </c>
      <c r="E82" s="509">
        <f>$D$23-SUM($D$73:D82)+1</f>
        <v>62</v>
      </c>
      <c r="F82" s="510">
        <f>IF(E82=0,0,E82/$D$85)</f>
        <v>0.16939890710382513</v>
      </c>
      <c r="G82" s="528"/>
      <c r="H82" s="506">
        <f>+H81</f>
        <v>0</v>
      </c>
      <c r="I82" s="505">
        <f>+H82*F82</f>
        <v>0</v>
      </c>
      <c r="J82" s="505">
        <f>+I82+J81</f>
        <v>0</v>
      </c>
      <c r="L82" s="526"/>
      <c r="M82" s="526"/>
      <c r="N82" s="529"/>
      <c r="P82" s="526"/>
    </row>
    <row r="83" spans="1:16" ht="15.5">
      <c r="A83" s="492">
        <f>+A82+1</f>
        <v>70</v>
      </c>
      <c r="B83" s="503" t="s">
        <v>583</v>
      </c>
      <c r="C83" s="505">
        <v>30</v>
      </c>
      <c r="D83" s="508">
        <f>C83</f>
        <v>30</v>
      </c>
      <c r="E83" s="509">
        <f>$D$23-SUM($D$73:D83)+1</f>
        <v>32</v>
      </c>
      <c r="F83" s="510">
        <f>IF(E83=0,0,E83/$D$85)</f>
        <v>0.087431693989071038</v>
      </c>
      <c r="G83" s="528"/>
      <c r="H83" s="506">
        <f>H85/2</f>
        <v>-548.12017413550859</v>
      </c>
      <c r="I83" s="505">
        <f>+H83*F83</f>
        <v>-47.923075334252118</v>
      </c>
      <c r="J83" s="505">
        <f>+I83+J82</f>
        <v>-47.923075334252118</v>
      </c>
      <c r="L83" s="526"/>
      <c r="M83" s="526"/>
      <c r="N83" s="529"/>
      <c r="P83" s="526"/>
    </row>
    <row r="84" spans="1:16" ht="15.5">
      <c r="A84" s="492">
        <f>+A83+1</f>
        <v>71</v>
      </c>
      <c r="B84" s="503" t="s">
        <v>646</v>
      </c>
      <c r="C84" s="505">
        <v>31</v>
      </c>
      <c r="D84" s="508">
        <f>C84</f>
        <v>31</v>
      </c>
      <c r="E84" s="509">
        <f>$D$23-SUM($D$73:D84)+1</f>
        <v>1</v>
      </c>
      <c r="F84" s="510">
        <f>IF(E84=0,0,E84/$D$85)</f>
        <v>0.0027322404371584699</v>
      </c>
      <c r="G84" s="528"/>
      <c r="H84" s="506">
        <f>H85/2</f>
        <v>-548.12017413550859</v>
      </c>
      <c r="I84" s="505">
        <f>+H84*F84</f>
        <v>-1.4975961041953787</v>
      </c>
      <c r="J84" s="505">
        <f>+I84+J83</f>
        <v>-49.420671438447499</v>
      </c>
      <c r="K84" s="530"/>
      <c r="L84" s="526"/>
      <c r="M84" s="526"/>
      <c r="N84" s="529"/>
      <c r="P84" s="526"/>
    </row>
    <row r="85" spans="1:10" ht="15.5">
      <c r="A85" s="492">
        <f>+A84+1</f>
        <v>72</v>
      </c>
      <c r="B85" s="511"/>
      <c r="C85" s="511" t="s">
        <v>22</v>
      </c>
      <c r="D85" s="512">
        <f>SUM(D73:D84)</f>
        <v>366</v>
      </c>
      <c r="E85" s="511"/>
      <c r="F85" s="513"/>
      <c r="G85" s="504"/>
      <c r="H85" s="514">
        <v>-1096.2403482710172</v>
      </c>
      <c r="I85" s="514">
        <f>SUM(I73:I84)</f>
        <v>-49.420671438447499</v>
      </c>
      <c r="J85" s="513"/>
    </row>
    <row r="86" spans="2:10" ht="15.5">
      <c r="B86" s="516"/>
      <c r="C86" s="516"/>
      <c r="D86" s="516"/>
      <c r="E86" s="516"/>
      <c r="F86" s="515"/>
      <c r="G86" s="515"/>
      <c r="H86" s="531"/>
      <c r="I86" s="518"/>
      <c r="J86" s="515"/>
    </row>
    <row r="87" spans="1:13" ht="15.5">
      <c r="A87" s="492">
        <f>+A85+1</f>
        <v>73</v>
      </c>
      <c r="B87" s="492" t="s">
        <v>647</v>
      </c>
      <c r="F87" s="519" t="s">
        <v>659</v>
      </c>
      <c r="G87" s="515"/>
      <c r="I87" s="515"/>
      <c r="J87" s="506">
        <v>0</v>
      </c>
      <c r="M87" s="532"/>
    </row>
    <row r="88" spans="1:10" ht="15.5">
      <c r="A88" s="492">
        <f>+A87+1</f>
        <v>74</v>
      </c>
      <c r="B88" s="492" t="s">
        <v>662</v>
      </c>
      <c r="F88" s="492" t="str">
        <f>"(Line "&amp;A87&amp;" less line "&amp;A89&amp;")"</f>
        <v>(Line 73 less line 75)</v>
      </c>
      <c r="G88" s="515"/>
      <c r="I88" s="515"/>
      <c r="J88" s="520">
        <f>+J87-J89</f>
        <v>0</v>
      </c>
    </row>
    <row r="89" spans="1:10" ht="15.5">
      <c r="A89" s="492">
        <f t="shared" si="20" ref="A89:A95">+A88+1</f>
        <v>75</v>
      </c>
      <c r="B89" s="492" t="s">
        <v>650</v>
      </c>
      <c r="F89" s="492" t="str">
        <f>"(Line "&amp;A72&amp;", Col H)"</f>
        <v>(Line 59, Col H)</v>
      </c>
      <c r="G89" s="515"/>
      <c r="I89" s="515"/>
      <c r="J89" s="505">
        <f>+J72</f>
        <v>0</v>
      </c>
    </row>
    <row r="90" spans="1:10" ht="15.5">
      <c r="A90" s="492">
        <f>+A89+1</f>
        <v>76</v>
      </c>
      <c r="B90" s="492" t="s">
        <v>651</v>
      </c>
      <c r="F90" s="519" t="s">
        <v>660</v>
      </c>
      <c r="G90" s="515"/>
      <c r="I90" s="515"/>
      <c r="J90" s="506">
        <v>-1096</v>
      </c>
    </row>
    <row r="91" spans="1:10" ht="15.5">
      <c r="A91" s="492">
        <f>+A90+1</f>
        <v>77</v>
      </c>
      <c r="B91" s="492" t="str">
        <f>+B88</f>
        <v xml:space="preserve">Less non Prorated Items </v>
      </c>
      <c r="F91" s="492" t="str">
        <f>"(Line "&amp;A90&amp;" less line "&amp;A92&amp;")"</f>
        <v>(Line 76 less line 78)</v>
      </c>
      <c r="G91" s="515"/>
      <c r="I91" s="515"/>
      <c r="J91" s="520">
        <v>0</v>
      </c>
    </row>
    <row r="92" spans="1:10" ht="15.5">
      <c r="A92" s="492">
        <f>+A91+1</f>
        <v>78</v>
      </c>
      <c r="B92" s="492" t="s">
        <v>653</v>
      </c>
      <c r="F92" s="492" t="str">
        <f>"(Line "&amp;A84&amp;", Col H)"</f>
        <v>(Line 71, Col H)</v>
      </c>
      <c r="G92" s="515"/>
      <c r="I92" s="515"/>
      <c r="J92" s="533">
        <f>J84</f>
        <v>-49.420671438447499</v>
      </c>
    </row>
    <row r="93" spans="1:10" ht="15.5">
      <c r="A93" s="492">
        <f>+A92+1</f>
        <v>79</v>
      </c>
      <c r="B93" s="492" t="s">
        <v>654</v>
      </c>
      <c r="F93" s="492" t="str">
        <f>"([Lines "&amp;A89&amp;" + "&amp;A92&amp;"] /2)+([Lines "&amp;A88&amp;" +"&amp;A91&amp;")/2])"</f>
        <v>([Lines 75 + 78] /2)+([Lines 74 +77)/2])</v>
      </c>
      <c r="G93" s="515"/>
      <c r="I93" s="501"/>
      <c r="J93" s="514">
        <f>(J89+J92)/2+(J88+J91)/2</f>
        <v>-24.71033571922375</v>
      </c>
    </row>
    <row r="94" spans="1:10" ht="15.5">
      <c r="A94" s="492">
        <f>+A93+1</f>
        <v>80</v>
      </c>
      <c r="B94" s="492" t="s">
        <v>655</v>
      </c>
      <c r="F94" s="492" t="s">
        <v>656</v>
      </c>
      <c r="G94" s="515"/>
      <c r="I94" s="501"/>
      <c r="J94" s="506">
        <v>0</v>
      </c>
    </row>
    <row r="95" spans="1:10" ht="15.5">
      <c r="A95" s="492">
        <f>+A94+1</f>
        <v>81</v>
      </c>
      <c r="B95" s="492" t="s">
        <v>657</v>
      </c>
      <c r="F95" s="492" t="str">
        <f>"(Line "&amp;A93&amp;" less line "&amp;A94&amp;")"</f>
        <v>(Line 79 less line 80)</v>
      </c>
      <c r="J95" s="534">
        <f>+J93-J94</f>
        <v>-24.71033571922375</v>
      </c>
    </row>
    <row r="96" ht="15.5"/>
    <row r="97" ht="15.5"/>
    <row r="98" spans="1:10" ht="15.5">
      <c r="A98" s="492">
        <f>+A95+1</f>
        <v>82</v>
      </c>
      <c r="B98" s="495" t="s">
        <v>663</v>
      </c>
      <c r="H98" s="496"/>
      <c r="I98" s="496"/>
      <c r="J98" s="496"/>
    </row>
    <row r="99" spans="1:10" ht="15.5">
      <c r="A99" s="492">
        <f>+A98+1</f>
        <v>83</v>
      </c>
      <c r="B99" s="744" t="s">
        <v>634</v>
      </c>
      <c r="C99" s="745"/>
      <c r="D99" s="745"/>
      <c r="E99" s="745"/>
      <c r="F99" s="746"/>
      <c r="G99" s="497"/>
      <c r="H99" s="747" t="s">
        <v>635</v>
      </c>
      <c r="I99" s="748"/>
      <c r="J99" s="749"/>
    </row>
    <row r="100" spans="2:10" ht="15.5">
      <c r="B100" s="498" t="s">
        <v>431</v>
      </c>
      <c r="C100" s="498" t="s">
        <v>433</v>
      </c>
      <c r="D100" s="498" t="s">
        <v>286</v>
      </c>
      <c r="E100" s="498" t="s">
        <v>288</v>
      </c>
      <c r="F100" s="498" t="s">
        <v>290</v>
      </c>
      <c r="G100" s="497"/>
      <c r="H100" s="498" t="s">
        <v>292</v>
      </c>
      <c r="I100" s="498" t="s">
        <v>294</v>
      </c>
      <c r="J100" s="498" t="s">
        <v>302</v>
      </c>
    </row>
    <row r="101" spans="1:10" ht="62">
      <c r="A101" s="492">
        <f>+A99+1</f>
        <v>84</v>
      </c>
      <c r="B101" s="500" t="s">
        <v>554</v>
      </c>
      <c r="C101" s="500" t="s">
        <v>636</v>
      </c>
      <c r="D101" s="500" t="s">
        <v>637</v>
      </c>
      <c r="E101" s="500" t="s">
        <v>638</v>
      </c>
      <c r="F101" s="500" t="s">
        <v>639</v>
      </c>
      <c r="G101" s="501"/>
      <c r="H101" s="500" t="s">
        <v>640</v>
      </c>
      <c r="I101" s="500" t="s">
        <v>641</v>
      </c>
      <c r="J101" s="500" t="s">
        <v>642</v>
      </c>
    </row>
    <row r="102" spans="1:10" ht="15.5">
      <c r="A102" s="492">
        <f t="shared" si="21" ref="A102:A116">+A101+1</f>
        <v>85</v>
      </c>
      <c r="C102" s="501"/>
      <c r="D102" s="501"/>
      <c r="E102" s="501"/>
      <c r="F102" s="501"/>
      <c r="G102" s="501"/>
      <c r="H102" s="501"/>
      <c r="I102" s="501"/>
      <c r="J102" s="501"/>
    </row>
    <row r="103" spans="1:10" ht="15.5">
      <c r="A103" s="492">
        <f>+A102+1</f>
        <v>86</v>
      </c>
      <c r="B103" s="502" t="s">
        <v>643</v>
      </c>
      <c r="C103" s="503"/>
      <c r="D103" s="504"/>
      <c r="E103" s="504"/>
      <c r="F103" s="504"/>
      <c r="G103" s="504"/>
      <c r="H103" s="505"/>
      <c r="I103" s="505"/>
      <c r="J103" s="506">
        <v>0</v>
      </c>
    </row>
    <row r="104" spans="1:10" ht="15.5">
      <c r="A104" s="492">
        <f>+A103+1</f>
        <v>87</v>
      </c>
      <c r="B104" s="503" t="s">
        <v>573</v>
      </c>
      <c r="C104" s="505">
        <v>31</v>
      </c>
      <c r="D104" s="508">
        <f>C104</f>
        <v>31</v>
      </c>
      <c r="E104" s="509">
        <f>D116-D104+1</f>
        <v>336</v>
      </c>
      <c r="F104" s="510">
        <f>IF(E104=0,0,E104/$D$116)</f>
        <v>0.91803278688524592</v>
      </c>
      <c r="G104" s="504"/>
      <c r="H104" s="506">
        <v>0</v>
      </c>
      <c r="I104" s="505">
        <f>+H104*F104</f>
        <v>0</v>
      </c>
      <c r="J104" s="505">
        <f t="shared" si="22" ref="J104:J115">+I104+J103</f>
        <v>0</v>
      </c>
    </row>
    <row r="105" spans="1:10" ht="15.5">
      <c r="A105" s="492">
        <f>+A104+1</f>
        <v>88</v>
      </c>
      <c r="B105" s="503" t="s">
        <v>574</v>
      </c>
      <c r="C105" s="506">
        <v>29</v>
      </c>
      <c r="D105" s="508">
        <f t="shared" si="23" ref="D105:D115">C105</f>
        <v>29</v>
      </c>
      <c r="E105" s="509">
        <f>$D$23-SUM($D$104:D105)+1</f>
        <v>307</v>
      </c>
      <c r="F105" s="510">
        <f t="shared" si="24" ref="F105:F115">IF(E105=0,0,E105/$D$116)</f>
        <v>0.83879781420765032</v>
      </c>
      <c r="G105" s="504"/>
      <c r="H105" s="506">
        <f t="shared" si="25" ref="H105:H115">+H104</f>
        <v>0</v>
      </c>
      <c r="I105" s="505">
        <f t="shared" si="26" ref="I105:I115">+H105*F105</f>
        <v>0</v>
      </c>
      <c r="J105" s="505">
        <f>+I105+J104</f>
        <v>0</v>
      </c>
    </row>
    <row r="106" spans="1:10" ht="15.5">
      <c r="A106" s="492">
        <f>+A105+1</f>
        <v>89</v>
      </c>
      <c r="B106" s="503" t="s">
        <v>644</v>
      </c>
      <c r="C106" s="505">
        <v>31</v>
      </c>
      <c r="D106" s="508">
        <f>C106</f>
        <v>31</v>
      </c>
      <c r="E106" s="509">
        <f>$D$23-SUM($D$104:D106)+1</f>
        <v>276</v>
      </c>
      <c r="F106" s="510">
        <f>IF(E106=0,0,E106/$D$116)</f>
        <v>0.75409836065573765</v>
      </c>
      <c r="G106" s="504"/>
      <c r="H106" s="506">
        <f>+H105</f>
        <v>0</v>
      </c>
      <c r="I106" s="505">
        <f>+H106*F106</f>
        <v>0</v>
      </c>
      <c r="J106" s="505">
        <f>+I106+J105</f>
        <v>0</v>
      </c>
    </row>
    <row r="107" spans="1:10" ht="15.5">
      <c r="A107" s="492">
        <f>+A106+1</f>
        <v>90</v>
      </c>
      <c r="B107" s="503" t="s">
        <v>576</v>
      </c>
      <c r="C107" s="505">
        <v>30</v>
      </c>
      <c r="D107" s="508">
        <f>C107</f>
        <v>30</v>
      </c>
      <c r="E107" s="509">
        <f>$D$23-SUM($D$104:D107)+1</f>
        <v>246</v>
      </c>
      <c r="F107" s="510">
        <f>IF(E107=0,0,E107/$D$116)</f>
        <v>0.67213114754098358</v>
      </c>
      <c r="G107" s="504"/>
      <c r="H107" s="506">
        <f>+H106</f>
        <v>0</v>
      </c>
      <c r="I107" s="505">
        <f>+H107*F107</f>
        <v>0</v>
      </c>
      <c r="J107" s="505">
        <f>+I107+J106</f>
        <v>0</v>
      </c>
    </row>
    <row r="108" spans="1:10" ht="15.5">
      <c r="A108" s="492">
        <f>+A107+1</f>
        <v>91</v>
      </c>
      <c r="B108" s="503" t="s">
        <v>577</v>
      </c>
      <c r="C108" s="505">
        <v>31</v>
      </c>
      <c r="D108" s="508">
        <f>C108</f>
        <v>31</v>
      </c>
      <c r="E108" s="509">
        <f>$D$23-SUM($D$104:D108)+1</f>
        <v>215</v>
      </c>
      <c r="F108" s="510">
        <f>IF(E108=0,0,E108/$D$116)</f>
        <v>0.58743169398907102</v>
      </c>
      <c r="G108" s="504"/>
      <c r="H108" s="506">
        <f>+H107</f>
        <v>0</v>
      </c>
      <c r="I108" s="505">
        <f>+H108*F108</f>
        <v>0</v>
      </c>
      <c r="J108" s="505">
        <f>+I108+J107</f>
        <v>0</v>
      </c>
    </row>
    <row r="109" spans="1:10" ht="15.5">
      <c r="A109" s="492">
        <f>+A108+1</f>
        <v>92</v>
      </c>
      <c r="B109" s="503" t="s">
        <v>578</v>
      </c>
      <c r="C109" s="505">
        <v>30</v>
      </c>
      <c r="D109" s="508">
        <f>C109</f>
        <v>30</v>
      </c>
      <c r="E109" s="509">
        <f>$D$23-SUM($D$104:D109)+1</f>
        <v>185</v>
      </c>
      <c r="F109" s="510">
        <f>IF(E109=0,0,E109/$D$116)</f>
        <v>0.50546448087431695</v>
      </c>
      <c r="G109" s="504"/>
      <c r="H109" s="506">
        <f>+H108</f>
        <v>0</v>
      </c>
      <c r="I109" s="505">
        <f>+H109*F109</f>
        <v>0</v>
      </c>
      <c r="J109" s="505">
        <f>+I109+J108</f>
        <v>0</v>
      </c>
    </row>
    <row r="110" spans="1:10" ht="15.5">
      <c r="A110" s="492">
        <f>+A109+1</f>
        <v>93</v>
      </c>
      <c r="B110" s="503" t="s">
        <v>579</v>
      </c>
      <c r="C110" s="505">
        <v>31</v>
      </c>
      <c r="D110" s="508">
        <f>C110</f>
        <v>31</v>
      </c>
      <c r="E110" s="509">
        <f>$D$23-SUM($D$104:D110)+1</f>
        <v>154</v>
      </c>
      <c r="F110" s="510">
        <f>IF(E110=0,0,E110/$D$116)</f>
        <v>0.42076502732240439</v>
      </c>
      <c r="G110" s="504"/>
      <c r="H110" s="506">
        <f>+H109</f>
        <v>0</v>
      </c>
      <c r="I110" s="505">
        <f>+H110*F110</f>
        <v>0</v>
      </c>
      <c r="J110" s="505">
        <f>+I110+J109</f>
        <v>0</v>
      </c>
    </row>
    <row r="111" spans="1:10" ht="15.5">
      <c r="A111" s="492">
        <f>+A110+1</f>
        <v>94</v>
      </c>
      <c r="B111" s="503" t="s">
        <v>645</v>
      </c>
      <c r="C111" s="505">
        <v>31</v>
      </c>
      <c r="D111" s="508">
        <f>C111</f>
        <v>31</v>
      </c>
      <c r="E111" s="509">
        <f>$D$23-SUM($D$104:D111)+1</f>
        <v>123</v>
      </c>
      <c r="F111" s="510">
        <f>IF(E111=0,0,E111/$D$116)</f>
        <v>0.33606557377049179</v>
      </c>
      <c r="G111" s="504"/>
      <c r="H111" s="506">
        <f>+H110</f>
        <v>0</v>
      </c>
      <c r="I111" s="505">
        <f>+H111*F111</f>
        <v>0</v>
      </c>
      <c r="J111" s="505">
        <f>+I111+J110</f>
        <v>0</v>
      </c>
    </row>
    <row r="112" spans="1:10" ht="15.5">
      <c r="A112" s="492">
        <f>+A111+1</f>
        <v>95</v>
      </c>
      <c r="B112" s="503" t="s">
        <v>581</v>
      </c>
      <c r="C112" s="505">
        <v>30</v>
      </c>
      <c r="D112" s="508">
        <f>C112</f>
        <v>30</v>
      </c>
      <c r="E112" s="509">
        <f>$D$23-SUM($D$104:D112)+1</f>
        <v>93</v>
      </c>
      <c r="F112" s="510">
        <f>IF(E112=0,0,E112/$D$116)</f>
        <v>0.25409836065573771</v>
      </c>
      <c r="G112" s="504"/>
      <c r="H112" s="506">
        <f>+H111</f>
        <v>0</v>
      </c>
      <c r="I112" s="505">
        <f>+H112*F112</f>
        <v>0</v>
      </c>
      <c r="J112" s="505">
        <f>+I112+J111</f>
        <v>0</v>
      </c>
    </row>
    <row r="113" spans="1:10" ht="15.5">
      <c r="A113" s="492">
        <f>+A112+1</f>
        <v>96</v>
      </c>
      <c r="B113" s="503" t="s">
        <v>582</v>
      </c>
      <c r="C113" s="505">
        <v>31</v>
      </c>
      <c r="D113" s="508">
        <f>C113</f>
        <v>31</v>
      </c>
      <c r="E113" s="509">
        <f>$D$23-SUM($D$104:D113)+1</f>
        <v>62</v>
      </c>
      <c r="F113" s="510">
        <f>IF(E113=0,0,E113/$D$116)</f>
        <v>0.16939890710382513</v>
      </c>
      <c r="G113" s="504"/>
      <c r="H113" s="506">
        <f>+H112</f>
        <v>0</v>
      </c>
      <c r="I113" s="505">
        <f>+H113*F113</f>
        <v>0</v>
      </c>
      <c r="J113" s="505">
        <f>+I113+J112</f>
        <v>0</v>
      </c>
    </row>
    <row r="114" spans="1:10" ht="15.5">
      <c r="A114" s="492">
        <f>+A113+1</f>
        <v>97</v>
      </c>
      <c r="B114" s="503" t="s">
        <v>583</v>
      </c>
      <c r="C114" s="505">
        <v>30</v>
      </c>
      <c r="D114" s="508">
        <f>C114</f>
        <v>30</v>
      </c>
      <c r="E114" s="509">
        <f>$D$23-SUM($D$104:D114)+1</f>
        <v>32</v>
      </c>
      <c r="F114" s="510">
        <f>IF(E114=0,0,E114/$D$116)</f>
        <v>0.087431693989071038</v>
      </c>
      <c r="G114" s="504"/>
      <c r="H114" s="506">
        <f>+H113</f>
        <v>0</v>
      </c>
      <c r="I114" s="505">
        <f>+H114*F114</f>
        <v>0</v>
      </c>
      <c r="J114" s="505">
        <f>+I114+J113</f>
        <v>0</v>
      </c>
    </row>
    <row r="115" spans="1:10" ht="15.5">
      <c r="A115" s="492">
        <f>+A114+1</f>
        <v>98</v>
      </c>
      <c r="B115" s="503" t="s">
        <v>646</v>
      </c>
      <c r="C115" s="505">
        <v>31</v>
      </c>
      <c r="D115" s="508">
        <f>C115</f>
        <v>31</v>
      </c>
      <c r="E115" s="509">
        <f>$D$23-SUM($D$104:D115)+1</f>
        <v>1</v>
      </c>
      <c r="F115" s="510">
        <f>IF(E115=0,0,E115/$D$116)</f>
        <v>0.0027322404371584699</v>
      </c>
      <c r="G115" s="504"/>
      <c r="H115" s="506">
        <f>+H114</f>
        <v>0</v>
      </c>
      <c r="I115" s="505">
        <f>+H115*F115</f>
        <v>0</v>
      </c>
      <c r="J115" s="505">
        <f>+I115+J114</f>
        <v>0</v>
      </c>
    </row>
    <row r="116" spans="1:10" ht="15.5">
      <c r="A116" s="492">
        <f>+A115+1</f>
        <v>99</v>
      </c>
      <c r="B116" s="511"/>
      <c r="C116" s="511" t="s">
        <v>22</v>
      </c>
      <c r="D116" s="512">
        <f>SUM(D104:D115)</f>
        <v>366</v>
      </c>
      <c r="E116" s="511"/>
      <c r="F116" s="513"/>
      <c r="G116" s="504"/>
      <c r="H116" s="514">
        <f>SUM(H104:H115)</f>
        <v>0</v>
      </c>
      <c r="I116" s="514">
        <f>SUM(I104:I115)</f>
        <v>0</v>
      </c>
      <c r="J116" s="513"/>
    </row>
    <row r="117" spans="2:10" ht="15.5">
      <c r="B117" s="516"/>
      <c r="C117" s="516"/>
      <c r="D117" s="516"/>
      <c r="E117" s="516"/>
      <c r="F117" s="515"/>
      <c r="G117" s="515"/>
      <c r="H117" s="517"/>
      <c r="I117" s="518"/>
      <c r="J117" s="515"/>
    </row>
    <row r="118" spans="1:10" ht="15.5">
      <c r="A118" s="492">
        <f>+A116+1</f>
        <v>100</v>
      </c>
      <c r="B118" s="492" t="s">
        <v>647</v>
      </c>
      <c r="F118" s="519" t="s">
        <v>664</v>
      </c>
      <c r="G118" s="515"/>
      <c r="I118" s="515"/>
      <c r="J118" s="506">
        <v>0</v>
      </c>
    </row>
    <row r="119" spans="1:10" ht="15.5">
      <c r="A119" s="492">
        <f>+A118+1</f>
        <v>101</v>
      </c>
      <c r="B119" s="492" t="s">
        <v>649</v>
      </c>
      <c r="F119" s="492" t="str">
        <f>"(Line "&amp;A118&amp;" less line "&amp;A120&amp;")"</f>
        <v>(Line 100 less line 102)</v>
      </c>
      <c r="G119" s="515"/>
      <c r="I119" s="515"/>
      <c r="J119" s="520">
        <f>+J118-J120</f>
        <v>0</v>
      </c>
    </row>
    <row r="120" spans="1:10" ht="15.5">
      <c r="A120" s="492">
        <f t="shared" si="27" ref="A120:A126">+A119+1</f>
        <v>102</v>
      </c>
      <c r="B120" s="492" t="s">
        <v>650</v>
      </c>
      <c r="F120" s="492" t="str">
        <f>"(Line "&amp;A103&amp;", Col H)"</f>
        <v>(Line 86, Col H)</v>
      </c>
      <c r="G120" s="515"/>
      <c r="I120" s="515"/>
      <c r="J120" s="505">
        <f>+J103</f>
        <v>0</v>
      </c>
    </row>
    <row r="121" spans="1:10" ht="15.5">
      <c r="A121" s="492">
        <f>+A120+1</f>
        <v>103</v>
      </c>
      <c r="B121" s="492" t="s">
        <v>651</v>
      </c>
      <c r="F121" s="519" t="s">
        <v>665</v>
      </c>
      <c r="G121" s="515"/>
      <c r="I121" s="515"/>
      <c r="J121" s="506">
        <v>0</v>
      </c>
    </row>
    <row r="122" spans="1:10" ht="15.5">
      <c r="A122" s="492">
        <f>+A121+1</f>
        <v>104</v>
      </c>
      <c r="B122" s="492" t="str">
        <f>+B119</f>
        <v>Less non Prorated Items</v>
      </c>
      <c r="F122" s="492" t="str">
        <f>"(Line "&amp;A121&amp;" less line "&amp;A123&amp;")"</f>
        <v>(Line 103 less line 105)</v>
      </c>
      <c r="G122" s="515"/>
      <c r="I122" s="515"/>
      <c r="J122" s="520">
        <f>+J121-J123</f>
        <v>0</v>
      </c>
    </row>
    <row r="123" spans="1:10" ht="15.5">
      <c r="A123" s="492">
        <f>+A122+1</f>
        <v>105</v>
      </c>
      <c r="B123" s="492" t="s">
        <v>653</v>
      </c>
      <c r="F123" s="492" t="str">
        <f>"(Line "&amp;A115&amp;", Col H)"</f>
        <v>(Line 98, Col H)</v>
      </c>
      <c r="G123" s="515"/>
      <c r="I123" s="515"/>
      <c r="J123" s="505">
        <f>+J115</f>
        <v>0</v>
      </c>
    </row>
    <row r="124" spans="1:10" ht="15.5">
      <c r="A124" s="492">
        <f>+A123+1</f>
        <v>106</v>
      </c>
      <c r="B124" s="492" t="s">
        <v>654</v>
      </c>
      <c r="F124" s="492" t="str">
        <f>"([Lines "&amp;A120&amp;" + "&amp;A123&amp;"] /2)+([Lines "&amp;A119&amp;" +"&amp;A122&amp;")/2])"</f>
        <v>([Lines 102 + 105] /2)+([Lines 101 +104)/2])</v>
      </c>
      <c r="G124" s="515"/>
      <c r="I124" s="501"/>
      <c r="J124" s="521">
        <f>(J120+J123)/2+(J119+J122)/2</f>
        <v>0</v>
      </c>
    </row>
    <row r="125" spans="1:10" ht="15.5">
      <c r="A125" s="492">
        <f>+A124+1</f>
        <v>107</v>
      </c>
      <c r="B125" s="492" t="s">
        <v>655</v>
      </c>
      <c r="F125" s="492" t="s">
        <v>656</v>
      </c>
      <c r="G125" s="515"/>
      <c r="I125" s="501"/>
      <c r="J125" s="506">
        <v>0</v>
      </c>
    </row>
    <row r="126" spans="1:10" ht="15.5">
      <c r="A126" s="492">
        <f>+A125+1</f>
        <v>108</v>
      </c>
      <c r="B126" s="492" t="s">
        <v>657</v>
      </c>
      <c r="F126" s="492" t="str">
        <f>"(Line "&amp;A124&amp;" less line "&amp;A125&amp;")"</f>
        <v>(Line 106 less line 107)</v>
      </c>
      <c r="J126" s="522">
        <f>+J124-J125</f>
        <v>0</v>
      </c>
    </row>
    <row r="127" ht="15.5"/>
    <row r="128" spans="1:8" ht="15.5">
      <c r="A128" s="535"/>
      <c r="B128" s="535"/>
      <c r="C128" s="535"/>
      <c r="D128" s="535"/>
      <c r="E128" s="535"/>
      <c r="F128" s="535"/>
      <c r="G128" s="535"/>
      <c r="H128" s="535"/>
    </row>
    <row r="129" spans="1:8" ht="15.5">
      <c r="A129" s="535"/>
      <c r="B129" s="535"/>
      <c r="C129" s="535"/>
      <c r="D129" s="535"/>
      <c r="E129" s="535"/>
      <c r="F129" s="535"/>
      <c r="G129" s="535"/>
      <c r="H129" s="535"/>
    </row>
  </sheetData>
  <mergeCells count="11">
    <mergeCell ref="B68:F68"/>
    <mergeCell ref="H68:J68"/>
    <mergeCell ref="B99:F99"/>
    <mergeCell ref="H99:J99"/>
    <mergeCell ref="B1:K1"/>
    <mergeCell ref="B2:K2"/>
    <mergeCell ref="B3:K3"/>
    <mergeCell ref="B6:F6"/>
    <mergeCell ref="H6:J6"/>
    <mergeCell ref="B37:F37"/>
    <mergeCell ref="H37:J37"/>
  </mergeCells>
  <printOptions horizontalCentered="1"/>
  <pageMargins left="0.45" right="0.45" top="0.5" bottom="0.5" header="0.3" footer="0.3"/>
  <pageSetup orientation="portrait" scale="1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O96"/>
  <sheetViews>
    <sheetView workbookViewId="0" topLeftCell="A1"/>
  </sheetViews>
  <sheetFormatPr defaultColWidth="13.9955555555556" defaultRowHeight="13.5"/>
  <cols>
    <col min="1" max="1" width="5.77777777777778" style="536" bestFit="1" customWidth="1"/>
    <col min="2" max="2" width="23.7777777777778" style="3" customWidth="1"/>
    <col min="3" max="3" width="16.7777777777778" style="3" customWidth="1"/>
    <col min="4" max="4" width="16.2222222222222" style="3" customWidth="1"/>
    <col min="5" max="5" width="12" style="3" customWidth="1"/>
    <col min="6" max="7" width="10.7777777777778" style="3" customWidth="1"/>
    <col min="8" max="8" width="12.4444444444444" style="3" bestFit="1" customWidth="1"/>
    <col min="9" max="9" width="12.4444444444444" style="3" customWidth="1"/>
    <col min="10" max="10" width="13.7777777777778" style="3" bestFit="1" customWidth="1"/>
    <col min="11" max="11" width="12.5555555555556" style="3" bestFit="1" customWidth="1"/>
    <col min="12" max="12" width="13.2222222222222" style="3" customWidth="1"/>
    <col min="13" max="13" width="12.7777777777778" style="3" customWidth="1"/>
    <col min="14" max="14" width="14" style="3"/>
    <col min="15" max="15" width="10" style="3" bestFit="1" customWidth="1"/>
    <col min="16" max="16384" width="14" style="3"/>
  </cols>
  <sheetData>
    <row r="1" spans="7:13" ht="13">
      <c r="G1" s="218" t="s">
        <v>666</v>
      </c>
      <c r="M1" s="435" t="s">
        <v>339</v>
      </c>
    </row>
    <row r="2" spans="7:7" ht="15" customHeight="1">
      <c r="G2" s="373" t="s">
        <v>667</v>
      </c>
    </row>
    <row r="3" spans="4:14" ht="13">
      <c r="D3" s="108"/>
      <c r="E3" s="108"/>
      <c r="F3" s="108"/>
      <c r="G3" s="72" t="str">
        <f>'Attachment H'!$D$5</f>
        <v>NextEra Energy Transmission MidAtlantic Indiana, Inc.</v>
      </c>
      <c r="H3" s="108"/>
      <c r="J3" s="108"/>
      <c r="K3" s="108"/>
      <c r="L3" s="108"/>
      <c r="M3" s="108"/>
      <c r="N3" s="108"/>
    </row>
    <row r="4" spans="2:2" ht="13">
      <c r="B4" s="13"/>
    </row>
    <row r="5" ht="13"/>
    <row r="6" spans="1:15" s="541" customFormat="1" ht="69.75" customHeight="1">
      <c r="A6" s="537" t="s">
        <v>396</v>
      </c>
      <c r="B6" s="538" t="s">
        <v>554</v>
      </c>
      <c r="C6" s="538" t="s">
        <v>668</v>
      </c>
      <c r="D6" s="538" t="s">
        <v>669</v>
      </c>
      <c r="E6" s="538" t="s">
        <v>670</v>
      </c>
      <c r="F6" s="538" t="s">
        <v>671</v>
      </c>
      <c r="G6" s="538" t="s">
        <v>672</v>
      </c>
      <c r="H6" s="538" t="s">
        <v>673</v>
      </c>
      <c r="I6" s="538" t="s">
        <v>674</v>
      </c>
      <c r="J6" s="539" t="s">
        <v>675</v>
      </c>
      <c r="K6" s="539" t="s">
        <v>676</v>
      </c>
      <c r="L6" s="540" t="s">
        <v>144</v>
      </c>
      <c r="M6" s="538" t="s">
        <v>677</v>
      </c>
      <c r="O6" s="542"/>
    </row>
    <row r="7" spans="1:15" s="541" customFormat="1" ht="13">
      <c r="A7" s="537"/>
      <c r="B7" s="538"/>
      <c r="C7" s="543" t="s">
        <v>536</v>
      </c>
      <c r="D7" s="434" t="s">
        <v>537</v>
      </c>
      <c r="E7" s="434" t="s">
        <v>538</v>
      </c>
      <c r="F7" s="443" t="s">
        <v>539</v>
      </c>
      <c r="G7" s="443" t="s">
        <v>559</v>
      </c>
      <c r="H7" s="443" t="s">
        <v>560</v>
      </c>
      <c r="I7" s="444" t="s">
        <v>561</v>
      </c>
      <c r="J7" s="444" t="s">
        <v>562</v>
      </c>
      <c r="K7" s="444" t="s">
        <v>563</v>
      </c>
      <c r="L7" s="373" t="s">
        <v>678</v>
      </c>
      <c r="M7" s="373" t="s">
        <v>679</v>
      </c>
      <c r="O7" s="542"/>
    </row>
    <row r="8" spans="1:15" ht="25.5" customHeight="1">
      <c r="A8" s="544"/>
      <c r="B8" s="442" t="s">
        <v>680</v>
      </c>
      <c r="C8" s="543">
        <v>1</v>
      </c>
      <c r="D8" s="543">
        <v>2</v>
      </c>
      <c r="E8" s="543">
        <v>3</v>
      </c>
      <c r="F8" s="543">
        <v>4</v>
      </c>
      <c r="G8" s="543">
        <v>5</v>
      </c>
      <c r="H8" s="545">
        <v>6</v>
      </c>
      <c r="I8" s="543">
        <v>7</v>
      </c>
      <c r="J8" s="545">
        <v>9</v>
      </c>
      <c r="K8" s="545">
        <v>11</v>
      </c>
      <c r="L8" s="545">
        <v>12</v>
      </c>
      <c r="M8" s="543">
        <v>16</v>
      </c>
      <c r="O8" s="546"/>
    </row>
    <row r="9" spans="1:15" s="549" customFormat="1" ht="24.75" customHeight="1">
      <c r="A9" s="544"/>
      <c r="B9" s="547" t="s">
        <v>681</v>
      </c>
      <c r="C9" s="373" t="s">
        <v>682</v>
      </c>
      <c r="D9" s="373" t="s">
        <v>683</v>
      </c>
      <c r="E9" s="373" t="s">
        <v>684</v>
      </c>
      <c r="F9" s="373" t="s">
        <v>685</v>
      </c>
      <c r="G9" s="548" t="s">
        <v>686</v>
      </c>
      <c r="H9" s="548" t="str">
        <f>+G9</f>
        <v>(Note E)</v>
      </c>
      <c r="I9" s="548" t="str">
        <f>+H9</f>
        <v>(Note E)</v>
      </c>
      <c r="J9" s="548" t="s">
        <v>687</v>
      </c>
      <c r="K9" s="548" t="s">
        <v>688</v>
      </c>
      <c r="L9" s="548" t="s">
        <v>689</v>
      </c>
      <c r="M9" s="373" t="s">
        <v>690</v>
      </c>
      <c r="O9" s="550"/>
    </row>
    <row r="10" spans="1:15" s="549" customFormat="1" ht="13">
      <c r="A10" s="544"/>
      <c r="B10" s="547"/>
      <c r="O10" s="550"/>
    </row>
    <row r="11" spans="1:15" ht="13">
      <c r="A11" s="544"/>
      <c r="B11" s="551"/>
      <c r="C11" s="543"/>
      <c r="D11" s="543"/>
      <c r="E11" s="543"/>
      <c r="F11" s="543"/>
      <c r="G11" s="543"/>
      <c r="H11" s="545"/>
      <c r="I11" s="543"/>
      <c r="J11" s="545"/>
      <c r="K11" s="545"/>
      <c r="L11" s="545"/>
      <c r="M11" s="543"/>
      <c r="O11" s="546"/>
    </row>
    <row r="12" spans="1:15" ht="13">
      <c r="A12" s="544" t="s">
        <v>691</v>
      </c>
      <c r="B12" s="552" t="s">
        <v>573</v>
      </c>
      <c r="C12" s="553"/>
      <c r="D12" s="450">
        <v>0</v>
      </c>
      <c r="E12" s="450">
        <v>0</v>
      </c>
      <c r="F12" s="450"/>
      <c r="G12" s="450">
        <v>0</v>
      </c>
      <c r="H12" s="450">
        <v>0</v>
      </c>
      <c r="I12" s="450">
        <v>0</v>
      </c>
      <c r="J12" s="450">
        <v>0</v>
      </c>
      <c r="K12" s="450">
        <v>0</v>
      </c>
      <c r="L12" s="450">
        <v>0</v>
      </c>
      <c r="M12" s="450"/>
      <c r="O12" s="554"/>
    </row>
    <row r="13" spans="1:15" ht="13">
      <c r="A13" s="544" t="s">
        <v>692</v>
      </c>
      <c r="B13" s="552" t="s">
        <v>574</v>
      </c>
      <c r="C13" s="553"/>
      <c r="D13" s="450">
        <v>0</v>
      </c>
      <c r="E13" s="450">
        <v>0</v>
      </c>
      <c r="F13" s="450"/>
      <c r="G13" s="450">
        <v>0</v>
      </c>
      <c r="H13" s="450">
        <v>0</v>
      </c>
      <c r="I13" s="450">
        <v>0</v>
      </c>
      <c r="J13" s="450">
        <v>0</v>
      </c>
      <c r="K13" s="450">
        <v>0</v>
      </c>
      <c r="L13" s="450">
        <v>0</v>
      </c>
      <c r="M13" s="450"/>
      <c r="O13" s="554"/>
    </row>
    <row r="14" spans="1:15" ht="13">
      <c r="A14" s="544" t="s">
        <v>693</v>
      </c>
      <c r="B14" s="552" t="s">
        <v>644</v>
      </c>
      <c r="C14" s="553"/>
      <c r="D14" s="450">
        <v>0</v>
      </c>
      <c r="E14" s="450">
        <v>0</v>
      </c>
      <c r="F14" s="450"/>
      <c r="G14" s="450">
        <v>0</v>
      </c>
      <c r="H14" s="450">
        <v>0</v>
      </c>
      <c r="I14" s="450">
        <v>0</v>
      </c>
      <c r="J14" s="450">
        <v>0</v>
      </c>
      <c r="K14" s="450">
        <v>0</v>
      </c>
      <c r="L14" s="450">
        <v>0</v>
      </c>
      <c r="M14" s="450"/>
      <c r="O14" s="554"/>
    </row>
    <row r="15" spans="1:15" ht="13">
      <c r="A15" s="544" t="s">
        <v>694</v>
      </c>
      <c r="B15" s="552" t="s">
        <v>576</v>
      </c>
      <c r="C15" s="553"/>
      <c r="D15" s="450">
        <v>0</v>
      </c>
      <c r="E15" s="450">
        <v>0</v>
      </c>
      <c r="F15" s="450"/>
      <c r="G15" s="450">
        <v>0</v>
      </c>
      <c r="H15" s="450">
        <v>0</v>
      </c>
      <c r="I15" s="450">
        <v>0</v>
      </c>
      <c r="J15" s="450">
        <v>0</v>
      </c>
      <c r="K15" s="450">
        <v>0</v>
      </c>
      <c r="L15" s="450">
        <v>0</v>
      </c>
      <c r="M15" s="450"/>
      <c r="O15" s="554"/>
    </row>
    <row r="16" spans="1:15" ht="13">
      <c r="A16" s="544" t="s">
        <v>353</v>
      </c>
      <c r="B16" s="552" t="s">
        <v>577</v>
      </c>
      <c r="C16" s="553"/>
      <c r="D16" s="450">
        <v>0</v>
      </c>
      <c r="E16" s="450">
        <v>0</v>
      </c>
      <c r="F16" s="450"/>
      <c r="G16" s="450">
        <v>0</v>
      </c>
      <c r="H16" s="450">
        <v>0</v>
      </c>
      <c r="I16" s="450">
        <v>0</v>
      </c>
      <c r="J16" s="450">
        <v>0</v>
      </c>
      <c r="K16" s="450">
        <v>0</v>
      </c>
      <c r="L16" s="450">
        <v>0</v>
      </c>
      <c r="M16" s="450"/>
      <c r="O16" s="554"/>
    </row>
    <row r="17" spans="1:15" ht="13">
      <c r="A17" s="544" t="s">
        <v>356</v>
      </c>
      <c r="B17" s="552" t="s">
        <v>578</v>
      </c>
      <c r="C17" s="553"/>
      <c r="D17" s="450">
        <v>0</v>
      </c>
      <c r="E17" s="450">
        <v>0</v>
      </c>
      <c r="F17" s="450"/>
      <c r="G17" s="450">
        <v>0</v>
      </c>
      <c r="H17" s="450">
        <v>0</v>
      </c>
      <c r="I17" s="450">
        <v>0</v>
      </c>
      <c r="J17" s="450">
        <v>0</v>
      </c>
      <c r="K17" s="450">
        <v>0</v>
      </c>
      <c r="L17" s="450">
        <v>0</v>
      </c>
      <c r="M17" s="450"/>
      <c r="O17" s="554"/>
    </row>
    <row r="18" spans="1:15" ht="13">
      <c r="A18" s="544" t="s">
        <v>360</v>
      </c>
      <c r="B18" s="552" t="s">
        <v>579</v>
      </c>
      <c r="C18" s="553"/>
      <c r="D18" s="450">
        <v>0</v>
      </c>
      <c r="E18" s="450">
        <v>0</v>
      </c>
      <c r="F18" s="450"/>
      <c r="G18" s="450">
        <v>0</v>
      </c>
      <c r="H18" s="450">
        <v>0</v>
      </c>
      <c r="I18" s="450">
        <v>0</v>
      </c>
      <c r="J18" s="450">
        <v>0</v>
      </c>
      <c r="K18" s="450">
        <v>0</v>
      </c>
      <c r="L18" s="450">
        <v>0</v>
      </c>
      <c r="M18" s="450"/>
      <c r="O18" s="554"/>
    </row>
    <row r="19" spans="1:15" ht="13">
      <c r="A19" s="544" t="s">
        <v>363</v>
      </c>
      <c r="B19" s="552" t="s">
        <v>645</v>
      </c>
      <c r="C19" s="553"/>
      <c r="D19" s="450">
        <v>0</v>
      </c>
      <c r="E19" s="450">
        <v>0</v>
      </c>
      <c r="F19" s="450"/>
      <c r="G19" s="450">
        <v>0</v>
      </c>
      <c r="H19" s="450">
        <v>0</v>
      </c>
      <c r="I19" s="450">
        <v>0</v>
      </c>
      <c r="J19" s="450">
        <v>0</v>
      </c>
      <c r="K19" s="450">
        <v>0</v>
      </c>
      <c r="L19" s="450">
        <v>0</v>
      </c>
      <c r="M19" s="450"/>
      <c r="O19" s="554"/>
    </row>
    <row r="20" spans="1:15" ht="13">
      <c r="A20" s="544" t="s">
        <v>366</v>
      </c>
      <c r="B20" s="552" t="s">
        <v>581</v>
      </c>
      <c r="C20" s="553"/>
      <c r="D20" s="450">
        <v>0</v>
      </c>
      <c r="E20" s="450">
        <v>0</v>
      </c>
      <c r="F20" s="450"/>
      <c r="G20" s="450">
        <v>0</v>
      </c>
      <c r="H20" s="450">
        <v>0</v>
      </c>
      <c r="I20" s="450">
        <v>0</v>
      </c>
      <c r="J20" s="450">
        <v>0</v>
      </c>
      <c r="K20" s="450">
        <v>0</v>
      </c>
      <c r="L20" s="450">
        <v>0</v>
      </c>
      <c r="M20" s="450"/>
      <c r="O20" s="554"/>
    </row>
    <row r="21" spans="1:15" ht="13">
      <c r="A21" s="544" t="s">
        <v>369</v>
      </c>
      <c r="B21" s="552" t="s">
        <v>582</v>
      </c>
      <c r="C21" s="553"/>
      <c r="D21" s="450">
        <v>0</v>
      </c>
      <c r="E21" s="450">
        <v>0</v>
      </c>
      <c r="F21" s="450"/>
      <c r="G21" s="450">
        <v>0</v>
      </c>
      <c r="H21" s="450">
        <v>0</v>
      </c>
      <c r="I21" s="450">
        <v>0</v>
      </c>
      <c r="J21" s="450">
        <v>0</v>
      </c>
      <c r="K21" s="450">
        <v>0</v>
      </c>
      <c r="L21" s="450">
        <v>0</v>
      </c>
      <c r="M21" s="450"/>
      <c r="O21" s="554"/>
    </row>
    <row r="22" spans="1:15" ht="13">
      <c r="A22" s="544" t="s">
        <v>372</v>
      </c>
      <c r="B22" s="552" t="s">
        <v>583</v>
      </c>
      <c r="C22" s="553">
        <v>27658.333333333332</v>
      </c>
      <c r="D22" s="450">
        <v>0</v>
      </c>
      <c r="E22" s="450">
        <v>0</v>
      </c>
      <c r="F22" s="450">
        <v>29525.915206666668</v>
      </c>
      <c r="G22" s="450">
        <v>0</v>
      </c>
      <c r="H22" s="450">
        <v>0</v>
      </c>
      <c r="I22" s="450">
        <v>0</v>
      </c>
      <c r="J22" s="450">
        <v>0</v>
      </c>
      <c r="K22" s="450">
        <v>0</v>
      </c>
      <c r="L22" s="450">
        <v>0</v>
      </c>
      <c r="M22" s="450">
        <v>1583.0116741666664</v>
      </c>
      <c r="O22" s="554"/>
    </row>
    <row r="23" spans="1:15" ht="13">
      <c r="A23" s="544" t="s">
        <v>376</v>
      </c>
      <c r="B23" s="552" t="s">
        <v>646</v>
      </c>
      <c r="C23" s="553">
        <v>27658.333333333332</v>
      </c>
      <c r="D23" s="450">
        <v>0</v>
      </c>
      <c r="E23" s="450">
        <v>0</v>
      </c>
      <c r="F23" s="450">
        <v>29525.915206666668</v>
      </c>
      <c r="G23" s="450">
        <v>0</v>
      </c>
      <c r="H23" s="450">
        <v>0</v>
      </c>
      <c r="I23" s="450">
        <v>0</v>
      </c>
      <c r="J23" s="450">
        <v>0</v>
      </c>
      <c r="K23" s="450">
        <v>0</v>
      </c>
      <c r="L23" s="450">
        <v>0</v>
      </c>
      <c r="M23" s="450">
        <v>1583.0116741666664</v>
      </c>
      <c r="O23" s="554"/>
    </row>
    <row r="24" spans="1:15" ht="13">
      <c r="A24" s="544" t="s">
        <v>379</v>
      </c>
      <c r="B24" s="555" t="s">
        <v>22</v>
      </c>
      <c r="C24" s="556">
        <f t="shared" si="0" ref="C24:M24">SUM(C12:C23)</f>
        <v>55316.666666666664</v>
      </c>
      <c r="D24" s="557">
        <f>SUM(D12:D23)</f>
        <v>0</v>
      </c>
      <c r="E24" s="557">
        <f>SUM(E12:E23)</f>
        <v>0</v>
      </c>
      <c r="F24" s="557">
        <f>SUM(F12:F23)</f>
        <v>59051.830413333337</v>
      </c>
      <c r="G24" s="557">
        <f>SUM(G12:G23)</f>
        <v>0</v>
      </c>
      <c r="H24" s="557">
        <f>SUM(H12:H23)</f>
        <v>0</v>
      </c>
      <c r="I24" s="557">
        <f>SUM(I12:I23)</f>
        <v>0</v>
      </c>
      <c r="J24" s="557">
        <f>SUM(J12:J23)</f>
        <v>0</v>
      </c>
      <c r="K24" s="557">
        <f>SUM(K12:K23)</f>
        <v>0</v>
      </c>
      <c r="L24" s="557">
        <f>SUM(L12:L23)</f>
        <v>0</v>
      </c>
      <c r="M24" s="557">
        <f>SUM(M12:M23)</f>
        <v>3166.0233483333327</v>
      </c>
      <c r="O24" s="558"/>
    </row>
    <row r="25" spans="1:15" ht="13">
      <c r="A25" s="544"/>
      <c r="B25" s="552"/>
      <c r="C25" s="559"/>
      <c r="D25" s="552"/>
      <c r="E25" s="552"/>
      <c r="F25" s="559"/>
      <c r="G25" s="552"/>
      <c r="H25" s="552"/>
      <c r="I25" s="552"/>
      <c r="J25" s="552"/>
      <c r="N25" s="552"/>
      <c r="O25" s="560"/>
    </row>
    <row r="26" spans="1:15" ht="13">
      <c r="A26" s="544"/>
      <c r="B26" s="552"/>
      <c r="C26" s="552"/>
      <c r="D26" s="552"/>
      <c r="E26" s="552"/>
      <c r="F26" s="552"/>
      <c r="G26" s="552"/>
      <c r="H26" s="552"/>
      <c r="I26" s="552"/>
      <c r="J26" s="552"/>
      <c r="N26" s="552"/>
      <c r="O26" s="560"/>
    </row>
    <row r="27" spans="1:15" ht="39">
      <c r="A27" s="544"/>
      <c r="C27" s="538" t="s">
        <v>695</v>
      </c>
      <c r="D27" s="541" t="s">
        <v>696</v>
      </c>
      <c r="E27" s="538" t="s">
        <v>697</v>
      </c>
      <c r="F27" s="541" t="s">
        <v>698</v>
      </c>
      <c r="G27" s="538" t="s">
        <v>699</v>
      </c>
      <c r="H27" s="538" t="s">
        <v>700</v>
      </c>
      <c r="I27" s="538" t="s">
        <v>701</v>
      </c>
      <c r="J27" s="538" t="s">
        <v>702</v>
      </c>
      <c r="K27" s="538" t="s">
        <v>703</v>
      </c>
      <c r="L27" s="538" t="s">
        <v>704</v>
      </c>
      <c r="M27" s="538" t="s">
        <v>187</v>
      </c>
      <c r="N27" s="552"/>
      <c r="O27" s="467"/>
    </row>
    <row r="28" spans="1:15" ht="13">
      <c r="A28" s="544"/>
      <c r="C28" s="543" t="s">
        <v>536</v>
      </c>
      <c r="D28" s="434" t="s">
        <v>537</v>
      </c>
      <c r="E28" s="434" t="s">
        <v>538</v>
      </c>
      <c r="F28" s="443" t="s">
        <v>539</v>
      </c>
      <c r="G28" s="443" t="s">
        <v>559</v>
      </c>
      <c r="H28" s="443" t="s">
        <v>560</v>
      </c>
      <c r="I28" s="443" t="s">
        <v>561</v>
      </c>
      <c r="J28" s="444" t="s">
        <v>562</v>
      </c>
      <c r="K28" s="444" t="s">
        <v>563</v>
      </c>
      <c r="L28" s="373" t="s">
        <v>678</v>
      </c>
      <c r="M28" s="373" t="s">
        <v>679</v>
      </c>
      <c r="N28" s="552"/>
      <c r="O28" s="467"/>
    </row>
    <row r="29" spans="1:15" ht="13">
      <c r="A29" s="544"/>
      <c r="B29" s="561" t="s">
        <v>705</v>
      </c>
      <c r="C29" s="543">
        <v>17</v>
      </c>
      <c r="D29" s="544">
        <v>19</v>
      </c>
      <c r="E29" s="545">
        <v>23</v>
      </c>
      <c r="F29" s="545">
        <v>24</v>
      </c>
      <c r="G29" s="545">
        <v>26</v>
      </c>
      <c r="H29" s="545">
        <v>27</v>
      </c>
      <c r="I29" s="545">
        <v>28</v>
      </c>
      <c r="J29" s="545">
        <v>29</v>
      </c>
      <c r="K29" s="562">
        <v>37</v>
      </c>
      <c r="L29" s="545">
        <v>38</v>
      </c>
      <c r="M29" s="545">
        <v>39</v>
      </c>
      <c r="N29" s="552"/>
      <c r="O29" s="467"/>
    </row>
    <row r="30" spans="1:15" ht="26">
      <c r="A30" s="544"/>
      <c r="B30" s="547" t="s">
        <v>681</v>
      </c>
      <c r="C30" s="548" t="s">
        <v>706</v>
      </c>
      <c r="D30" s="373" t="s">
        <v>707</v>
      </c>
      <c r="E30" s="373" t="s">
        <v>708</v>
      </c>
      <c r="F30" s="373" t="str">
        <f>+E30</f>
        <v>263.i</v>
      </c>
      <c r="G30" s="373" t="str">
        <f>+F30</f>
        <v>263.i</v>
      </c>
      <c r="H30" s="373" t="str">
        <f>+G30</f>
        <v>263.i</v>
      </c>
      <c r="I30" s="373" t="str">
        <f>+H30</f>
        <v>263.i</v>
      </c>
      <c r="J30" s="373" t="str">
        <f>+I30</f>
        <v>263.i</v>
      </c>
      <c r="K30" s="373" t="s">
        <v>709</v>
      </c>
      <c r="L30" s="373" t="s">
        <v>182</v>
      </c>
      <c r="M30" s="373" t="s">
        <v>710</v>
      </c>
      <c r="N30" s="552"/>
      <c r="O30" s="467"/>
    </row>
    <row r="31" spans="1:14" s="549" customFormat="1" ht="13">
      <c r="A31" s="544"/>
      <c r="B31" s="547"/>
      <c r="N31" s="373"/>
    </row>
    <row r="32" spans="1:14" ht="13">
      <c r="A32" s="544"/>
      <c r="C32" s="543"/>
      <c r="E32" s="543"/>
      <c r="F32" s="543"/>
      <c r="G32" s="543"/>
      <c r="H32" s="543"/>
      <c r="I32" s="543"/>
      <c r="J32" s="543"/>
      <c r="K32" s="543"/>
      <c r="L32" s="543"/>
      <c r="M32" s="543"/>
      <c r="N32" s="552"/>
    </row>
    <row r="33" spans="1:14" ht="13">
      <c r="A33" s="544" t="s">
        <v>382</v>
      </c>
      <c r="B33" s="552" t="s">
        <v>573</v>
      </c>
      <c r="C33" s="563">
        <v>0</v>
      </c>
      <c r="D33" s="563">
        <v>0</v>
      </c>
      <c r="E33" s="563">
        <v>0</v>
      </c>
      <c r="F33" s="563">
        <v>0</v>
      </c>
      <c r="G33" s="563">
        <v>0</v>
      </c>
      <c r="H33" s="563">
        <v>0</v>
      </c>
      <c r="I33" s="563">
        <v>0</v>
      </c>
      <c r="J33" s="563">
        <v>0</v>
      </c>
      <c r="K33" s="563">
        <v>0</v>
      </c>
      <c r="L33" s="563">
        <v>0</v>
      </c>
      <c r="M33" s="563">
        <v>0</v>
      </c>
      <c r="N33" s="552"/>
    </row>
    <row r="34" spans="1:14" ht="13">
      <c r="A34" s="544" t="s">
        <v>385</v>
      </c>
      <c r="B34" s="552" t="s">
        <v>574</v>
      </c>
      <c r="C34" s="563">
        <v>0</v>
      </c>
      <c r="D34" s="563">
        <v>0</v>
      </c>
      <c r="E34" s="563">
        <v>0</v>
      </c>
      <c r="F34" s="563">
        <v>0</v>
      </c>
      <c r="G34" s="450">
        <v>0</v>
      </c>
      <c r="H34" s="563">
        <v>0</v>
      </c>
      <c r="I34" s="563">
        <v>0</v>
      </c>
      <c r="J34" s="563">
        <v>0</v>
      </c>
      <c r="K34" s="563">
        <v>0</v>
      </c>
      <c r="L34" s="563">
        <v>0</v>
      </c>
      <c r="M34" s="563">
        <v>0</v>
      </c>
      <c r="N34" s="552"/>
    </row>
    <row r="35" spans="1:14" ht="13">
      <c r="A35" s="544" t="s">
        <v>388</v>
      </c>
      <c r="B35" s="552" t="s">
        <v>644</v>
      </c>
      <c r="C35" s="563">
        <v>0</v>
      </c>
      <c r="D35" s="563">
        <v>0</v>
      </c>
      <c r="E35" s="563">
        <v>0</v>
      </c>
      <c r="F35" s="563">
        <v>0</v>
      </c>
      <c r="G35" s="450">
        <v>0</v>
      </c>
      <c r="H35" s="563">
        <v>0</v>
      </c>
      <c r="I35" s="563">
        <v>0</v>
      </c>
      <c r="J35" s="563">
        <v>0</v>
      </c>
      <c r="K35" s="563">
        <v>0</v>
      </c>
      <c r="L35" s="563">
        <v>0</v>
      </c>
      <c r="M35" s="563">
        <v>0</v>
      </c>
      <c r="N35" s="552"/>
    </row>
    <row r="36" spans="1:14" ht="13">
      <c r="A36" s="544" t="s">
        <v>711</v>
      </c>
      <c r="B36" s="552" t="s">
        <v>576</v>
      </c>
      <c r="C36" s="563">
        <v>0</v>
      </c>
      <c r="D36" s="563">
        <v>0</v>
      </c>
      <c r="E36" s="563">
        <v>0</v>
      </c>
      <c r="F36" s="563">
        <v>0</v>
      </c>
      <c r="G36" s="450">
        <v>0</v>
      </c>
      <c r="H36" s="563">
        <v>0</v>
      </c>
      <c r="I36" s="563">
        <v>0</v>
      </c>
      <c r="J36" s="563">
        <v>0</v>
      </c>
      <c r="K36" s="563">
        <v>0</v>
      </c>
      <c r="L36" s="563">
        <v>0</v>
      </c>
      <c r="M36" s="563">
        <v>0</v>
      </c>
      <c r="N36" s="552"/>
    </row>
    <row r="37" spans="1:14" ht="13">
      <c r="A37" s="544" t="s">
        <v>712</v>
      </c>
      <c r="B37" s="552" t="s">
        <v>577</v>
      </c>
      <c r="C37" s="563">
        <v>0</v>
      </c>
      <c r="D37" s="563">
        <v>0</v>
      </c>
      <c r="E37" s="563">
        <v>0</v>
      </c>
      <c r="F37" s="563">
        <v>0</v>
      </c>
      <c r="G37" s="450">
        <v>0</v>
      </c>
      <c r="H37" s="563">
        <v>0</v>
      </c>
      <c r="I37" s="563">
        <v>0</v>
      </c>
      <c r="J37" s="563">
        <v>0</v>
      </c>
      <c r="K37" s="563">
        <v>0</v>
      </c>
      <c r="L37" s="563">
        <v>0</v>
      </c>
      <c r="M37" s="563">
        <v>0</v>
      </c>
      <c r="N37" s="552"/>
    </row>
    <row r="38" spans="1:14" ht="13">
      <c r="A38" s="544" t="s">
        <v>713</v>
      </c>
      <c r="B38" s="552" t="s">
        <v>578</v>
      </c>
      <c r="C38" s="563">
        <v>0</v>
      </c>
      <c r="D38" s="563">
        <v>0</v>
      </c>
      <c r="E38" s="563">
        <v>0</v>
      </c>
      <c r="F38" s="563">
        <v>0</v>
      </c>
      <c r="G38" s="450">
        <v>0</v>
      </c>
      <c r="H38" s="563">
        <v>0</v>
      </c>
      <c r="I38" s="563">
        <v>0</v>
      </c>
      <c r="J38" s="563">
        <v>0</v>
      </c>
      <c r="K38" s="563">
        <v>0</v>
      </c>
      <c r="L38" s="563">
        <v>0</v>
      </c>
      <c r="M38" s="563">
        <v>0</v>
      </c>
      <c r="N38" s="552"/>
    </row>
    <row r="39" spans="1:14" ht="13">
      <c r="A39" s="544" t="s">
        <v>714</v>
      </c>
      <c r="B39" s="552" t="s">
        <v>579</v>
      </c>
      <c r="C39" s="563">
        <v>0</v>
      </c>
      <c r="D39" s="563">
        <v>0</v>
      </c>
      <c r="E39" s="563">
        <v>0</v>
      </c>
      <c r="F39" s="450">
        <v>0</v>
      </c>
      <c r="G39" s="450"/>
      <c r="H39" s="563">
        <v>0</v>
      </c>
      <c r="I39" s="563">
        <v>0</v>
      </c>
      <c r="J39" s="563">
        <v>0</v>
      </c>
      <c r="K39" s="563">
        <v>0</v>
      </c>
      <c r="L39" s="563">
        <v>0</v>
      </c>
      <c r="M39" s="563">
        <v>0</v>
      </c>
      <c r="N39" s="552"/>
    </row>
    <row r="40" spans="1:14" ht="13">
      <c r="A40" s="544" t="s">
        <v>715</v>
      </c>
      <c r="B40" s="552" t="s">
        <v>645</v>
      </c>
      <c r="C40" s="563">
        <v>0</v>
      </c>
      <c r="D40" s="563">
        <v>0</v>
      </c>
      <c r="E40" s="563">
        <v>0</v>
      </c>
      <c r="F40" s="450">
        <v>0</v>
      </c>
      <c r="G40" s="450"/>
      <c r="H40" s="563">
        <v>0</v>
      </c>
      <c r="I40" s="563">
        <v>0</v>
      </c>
      <c r="J40" s="563">
        <v>0</v>
      </c>
      <c r="K40" s="563">
        <v>0</v>
      </c>
      <c r="L40" s="563">
        <v>0</v>
      </c>
      <c r="M40" s="563">
        <v>0</v>
      </c>
      <c r="N40" s="552"/>
    </row>
    <row r="41" spans="1:14" ht="13">
      <c r="A41" s="544" t="s">
        <v>716</v>
      </c>
      <c r="B41" s="552" t="s">
        <v>581</v>
      </c>
      <c r="C41" s="563">
        <v>0</v>
      </c>
      <c r="D41" s="563">
        <v>0</v>
      </c>
      <c r="E41" s="563">
        <v>0</v>
      </c>
      <c r="F41" s="450">
        <v>0</v>
      </c>
      <c r="G41" s="450"/>
      <c r="H41" s="563">
        <v>0</v>
      </c>
      <c r="I41" s="563">
        <v>0</v>
      </c>
      <c r="J41" s="563">
        <v>0</v>
      </c>
      <c r="K41" s="563">
        <v>0</v>
      </c>
      <c r="L41" s="563">
        <v>0</v>
      </c>
      <c r="M41" s="563">
        <v>0</v>
      </c>
      <c r="N41" s="552"/>
    </row>
    <row r="42" spans="1:14" ht="13">
      <c r="A42" s="544" t="s">
        <v>717</v>
      </c>
      <c r="B42" s="552" t="s">
        <v>582</v>
      </c>
      <c r="C42" s="563">
        <v>0</v>
      </c>
      <c r="D42" s="563">
        <v>0</v>
      </c>
      <c r="E42" s="563">
        <v>0</v>
      </c>
      <c r="F42" s="450">
        <v>0</v>
      </c>
      <c r="G42" s="450">
        <v>227.00921268617643</v>
      </c>
      <c r="H42" s="563">
        <v>0</v>
      </c>
      <c r="I42" s="563">
        <v>0</v>
      </c>
      <c r="J42" s="563">
        <v>0</v>
      </c>
      <c r="K42" s="563">
        <v>0</v>
      </c>
      <c r="L42" s="563">
        <v>0</v>
      </c>
      <c r="M42" s="563">
        <v>0</v>
      </c>
      <c r="N42" s="552"/>
    </row>
    <row r="43" spans="1:14" ht="13">
      <c r="A43" s="544" t="s">
        <v>718</v>
      </c>
      <c r="B43" s="552" t="s">
        <v>583</v>
      </c>
      <c r="C43" s="563">
        <v>0</v>
      </c>
      <c r="D43" s="563">
        <v>0</v>
      </c>
      <c r="E43" s="563">
        <v>0</v>
      </c>
      <c r="F43" s="450">
        <v>0</v>
      </c>
      <c r="G43" s="450">
        <v>227.00921268617643</v>
      </c>
      <c r="H43" s="563">
        <v>0</v>
      </c>
      <c r="I43" s="563">
        <v>0</v>
      </c>
      <c r="J43" s="563">
        <v>0</v>
      </c>
      <c r="K43" s="563">
        <v>0</v>
      </c>
      <c r="L43" s="563">
        <v>0</v>
      </c>
      <c r="M43" s="563">
        <v>0</v>
      </c>
      <c r="N43" s="552"/>
    </row>
    <row r="44" spans="1:14" ht="13">
      <c r="A44" s="544" t="s">
        <v>719</v>
      </c>
      <c r="B44" s="552" t="s">
        <v>646</v>
      </c>
      <c r="C44" s="563">
        <v>0</v>
      </c>
      <c r="D44" s="563">
        <v>0</v>
      </c>
      <c r="E44" s="563">
        <v>0</v>
      </c>
      <c r="F44" s="450">
        <v>0</v>
      </c>
      <c r="G44" s="450">
        <v>227.00921268617643</v>
      </c>
      <c r="H44" s="563">
        <v>0</v>
      </c>
      <c r="I44" s="563">
        <v>0</v>
      </c>
      <c r="J44" s="563">
        <v>0</v>
      </c>
      <c r="K44" s="563">
        <v>0</v>
      </c>
      <c r="L44" s="563">
        <v>0</v>
      </c>
      <c r="M44" s="563">
        <v>0</v>
      </c>
      <c r="N44" s="552"/>
    </row>
    <row r="45" spans="1:14" ht="13">
      <c r="A45" s="544" t="s">
        <v>720</v>
      </c>
      <c r="B45" s="555" t="s">
        <v>22</v>
      </c>
      <c r="C45" s="557">
        <f t="shared" si="1" ref="C45:M45">SUM(C33:C44)</f>
        <v>0</v>
      </c>
      <c r="D45" s="557">
        <f>SUM(D33:D44)</f>
        <v>0</v>
      </c>
      <c r="E45" s="557">
        <f>SUM(E33:E44)</f>
        <v>0</v>
      </c>
      <c r="F45" s="557">
        <f>SUM(F33:F44)</f>
        <v>0</v>
      </c>
      <c r="G45" s="557">
        <f>SUM(G33:G44)</f>
        <v>681.02763805852931</v>
      </c>
      <c r="H45" s="557">
        <f>SUM(H33:H44)</f>
        <v>0</v>
      </c>
      <c r="I45" s="557">
        <f>SUM(I33:I44)</f>
        <v>0</v>
      </c>
      <c r="J45" s="557">
        <f>SUM(J33:J44)</f>
        <v>0</v>
      </c>
      <c r="K45" s="557">
        <f>SUM(K33:K44)</f>
        <v>0</v>
      </c>
      <c r="L45" s="557">
        <f>SUM(L33:L44)</f>
        <v>0</v>
      </c>
      <c r="M45" s="557">
        <f>SUM(M33:M44)</f>
        <v>0</v>
      </c>
      <c r="N45" s="552"/>
    </row>
    <row r="46" spans="2:15" ht="13">
      <c r="B46" s="552"/>
      <c r="C46" s="552"/>
      <c r="D46" s="552"/>
      <c r="E46" s="552"/>
      <c r="F46" s="552"/>
      <c r="G46" s="543" t="s">
        <v>666</v>
      </c>
      <c r="H46" s="552"/>
      <c r="I46" s="552"/>
      <c r="J46" s="552"/>
      <c r="M46" s="435" t="s">
        <v>391</v>
      </c>
      <c r="N46" s="552"/>
      <c r="O46" s="564"/>
    </row>
    <row r="47" spans="2:15" ht="13">
      <c r="B47" s="552"/>
      <c r="C47" s="552"/>
      <c r="D47" s="552"/>
      <c r="E47" s="552"/>
      <c r="F47" s="552"/>
      <c r="G47" s="543" t="s">
        <v>667</v>
      </c>
      <c r="H47" s="552"/>
      <c r="I47" s="552"/>
      <c r="J47" s="552"/>
      <c r="N47" s="552"/>
      <c r="O47" s="564"/>
    </row>
    <row r="48" spans="2:15" ht="13">
      <c r="B48" s="552"/>
      <c r="C48" s="552"/>
      <c r="D48" s="552"/>
      <c r="E48" s="552"/>
      <c r="F48" s="552"/>
      <c r="G48" s="72" t="str">
        <f>'Attachment H'!$D$5</f>
        <v>NextEra Energy Transmission MidAtlantic Indiana, Inc.</v>
      </c>
      <c r="H48" s="552"/>
      <c r="I48" s="552"/>
      <c r="J48" s="552"/>
      <c r="N48" s="552"/>
      <c r="O48" s="564"/>
    </row>
    <row r="49" spans="2:15" ht="13">
      <c r="B49" s="552"/>
      <c r="C49" s="552"/>
      <c r="D49" s="552"/>
      <c r="E49" s="552"/>
      <c r="F49" s="552"/>
      <c r="G49" s="552"/>
      <c r="H49" s="552"/>
      <c r="I49" s="552"/>
      <c r="J49" s="552"/>
      <c r="N49" s="552"/>
      <c r="O49" s="564"/>
    </row>
    <row r="50" spans="2:15" ht="13">
      <c r="B50" s="552"/>
      <c r="C50" s="552"/>
      <c r="D50" s="552"/>
      <c r="E50" s="552"/>
      <c r="F50" s="552"/>
      <c r="G50" s="552"/>
      <c r="H50" s="552"/>
      <c r="I50" s="552"/>
      <c r="J50" s="552"/>
      <c r="N50" s="552"/>
      <c r="O50" s="564"/>
    </row>
    <row r="51" spans="2:15" ht="129" customHeight="1">
      <c r="B51" s="565"/>
      <c r="C51" s="566" t="s">
        <v>721</v>
      </c>
      <c r="D51" s="567" t="s">
        <v>269</v>
      </c>
      <c r="E51" s="567" t="s">
        <v>722</v>
      </c>
      <c r="F51" s="568" t="s">
        <v>723</v>
      </c>
      <c r="G51" s="569" t="s">
        <v>27</v>
      </c>
      <c r="H51" s="552"/>
      <c r="I51" s="552"/>
      <c r="J51" s="552"/>
      <c r="N51" s="552"/>
      <c r="O51" s="552"/>
    </row>
    <row r="52" spans="3:15" ht="13">
      <c r="C52" s="545" t="s">
        <v>536</v>
      </c>
      <c r="D52" s="570" t="s">
        <v>537</v>
      </c>
      <c r="E52" s="570" t="s">
        <v>538</v>
      </c>
      <c r="F52" s="571" t="s">
        <v>539</v>
      </c>
      <c r="G52" s="571" t="s">
        <v>559</v>
      </c>
      <c r="H52" s="552"/>
      <c r="I52" s="552"/>
      <c r="J52" s="552"/>
      <c r="N52" s="552"/>
      <c r="O52" s="552"/>
    </row>
    <row r="53" spans="2:10" ht="26">
      <c r="B53" s="442" t="s">
        <v>724</v>
      </c>
      <c r="C53" s="545">
        <v>27</v>
      </c>
      <c r="D53" s="572" t="s">
        <v>725</v>
      </c>
      <c r="E53" s="545">
        <v>31</v>
      </c>
      <c r="F53" s="545">
        <v>32</v>
      </c>
      <c r="G53" s="562" t="s">
        <v>726</v>
      </c>
      <c r="H53" s="543"/>
      <c r="I53" s="543"/>
      <c r="J53" s="552"/>
    </row>
    <row r="54" spans="2:13" ht="26">
      <c r="B54" s="547"/>
      <c r="C54" s="548" t="s">
        <v>727</v>
      </c>
      <c r="D54" s="373" t="s">
        <v>728</v>
      </c>
      <c r="E54" s="440" t="s">
        <v>729</v>
      </c>
      <c r="F54" s="3" t="str">
        <f>+E54</f>
        <v>Portion of Account 456.1</v>
      </c>
      <c r="H54" s="543"/>
      <c r="L54" s="543"/>
      <c r="M54" s="543"/>
    </row>
    <row r="55" spans="3:13" ht="13">
      <c r="C55" s="543"/>
      <c r="E55" s="543"/>
      <c r="F55" s="543"/>
      <c r="G55" s="543"/>
      <c r="H55" s="543"/>
      <c r="I55" s="4"/>
      <c r="L55" s="543"/>
      <c r="M55" s="543"/>
    </row>
    <row r="56" spans="1:13" ht="13">
      <c r="A56" s="573">
        <f>+A45+1</f>
        <v>27</v>
      </c>
      <c r="B56" s="552" t="s">
        <v>573</v>
      </c>
      <c r="C56" s="563">
        <v>0</v>
      </c>
      <c r="D56" s="563">
        <v>0</v>
      </c>
      <c r="E56" s="563">
        <v>0</v>
      </c>
      <c r="F56" s="563">
        <v>0</v>
      </c>
      <c r="G56" s="563">
        <v>0</v>
      </c>
      <c r="H56" s="552"/>
      <c r="I56" s="4"/>
      <c r="L56" s="552"/>
      <c r="M56" s="552"/>
    </row>
    <row r="57" spans="1:13" ht="13">
      <c r="A57" s="573">
        <f t="shared" si="2" ref="A57:A88">+A56+1</f>
        <v>28</v>
      </c>
      <c r="B57" s="552" t="s">
        <v>574</v>
      </c>
      <c r="C57" s="563">
        <v>0</v>
      </c>
      <c r="D57" s="563">
        <v>0</v>
      </c>
      <c r="E57" s="563">
        <v>0</v>
      </c>
      <c r="F57" s="563">
        <v>0</v>
      </c>
      <c r="G57" s="563">
        <v>0</v>
      </c>
      <c r="H57" s="552"/>
      <c r="L57" s="552"/>
      <c r="M57" s="552"/>
    </row>
    <row r="58" spans="1:13" ht="13">
      <c r="A58" s="573">
        <f>+A57+1</f>
        <v>29</v>
      </c>
      <c r="B58" s="552" t="s">
        <v>644</v>
      </c>
      <c r="C58" s="563">
        <v>0</v>
      </c>
      <c r="D58" s="563">
        <v>0</v>
      </c>
      <c r="E58" s="563">
        <v>0</v>
      </c>
      <c r="F58" s="563">
        <v>0</v>
      </c>
      <c r="G58" s="563">
        <v>0</v>
      </c>
      <c r="H58" s="552"/>
      <c r="I58" s="4"/>
      <c r="L58" s="552"/>
      <c r="M58" s="552"/>
    </row>
    <row r="59" spans="1:13" ht="13">
      <c r="A59" s="573">
        <f>+A58+1</f>
        <v>30</v>
      </c>
      <c r="B59" s="552" t="s">
        <v>576</v>
      </c>
      <c r="C59" s="563">
        <v>0</v>
      </c>
      <c r="D59" s="563">
        <v>0</v>
      </c>
      <c r="E59" s="563">
        <v>0</v>
      </c>
      <c r="F59" s="563">
        <v>0</v>
      </c>
      <c r="G59" s="563">
        <v>0</v>
      </c>
      <c r="H59" s="552"/>
      <c r="I59" s="5"/>
      <c r="L59" s="552"/>
      <c r="M59" s="552"/>
    </row>
    <row r="60" spans="1:13" ht="13">
      <c r="A60" s="573">
        <f>+A59+1</f>
        <v>31</v>
      </c>
      <c r="B60" s="552" t="s">
        <v>577</v>
      </c>
      <c r="C60" s="563">
        <v>0</v>
      </c>
      <c r="D60" s="563">
        <v>0</v>
      </c>
      <c r="E60" s="563">
        <v>0</v>
      </c>
      <c r="F60" s="563">
        <v>0</v>
      </c>
      <c r="G60" s="563">
        <v>0</v>
      </c>
      <c r="H60" s="552"/>
      <c r="L60" s="552"/>
      <c r="M60" s="552"/>
    </row>
    <row r="61" spans="1:13" ht="13">
      <c r="A61" s="573">
        <f>+A60+1</f>
        <v>32</v>
      </c>
      <c r="B61" s="552" t="s">
        <v>578</v>
      </c>
      <c r="C61" s="563">
        <v>0</v>
      </c>
      <c r="D61" s="563">
        <v>0</v>
      </c>
      <c r="E61" s="563">
        <v>0</v>
      </c>
      <c r="F61" s="563">
        <v>0</v>
      </c>
      <c r="G61" s="563">
        <v>0</v>
      </c>
      <c r="H61" s="552"/>
      <c r="L61" s="552"/>
      <c r="M61" s="552"/>
    </row>
    <row r="62" spans="1:13" ht="13">
      <c r="A62" s="573">
        <f>+A61+1</f>
        <v>33</v>
      </c>
      <c r="B62" s="552" t="s">
        <v>579</v>
      </c>
      <c r="C62" s="563">
        <v>0</v>
      </c>
      <c r="D62" s="563">
        <v>0</v>
      </c>
      <c r="E62" s="563">
        <v>0</v>
      </c>
      <c r="F62" s="563">
        <v>0</v>
      </c>
      <c r="G62" s="563">
        <v>0</v>
      </c>
      <c r="H62" s="552"/>
      <c r="L62" s="552"/>
      <c r="M62" s="552"/>
    </row>
    <row r="63" spans="1:13" ht="13">
      <c r="A63" s="573">
        <f>+A62+1</f>
        <v>34</v>
      </c>
      <c r="B63" s="552" t="s">
        <v>645</v>
      </c>
      <c r="C63" s="563">
        <v>0</v>
      </c>
      <c r="D63" s="563">
        <v>0</v>
      </c>
      <c r="E63" s="563">
        <v>0</v>
      </c>
      <c r="F63" s="563">
        <v>0</v>
      </c>
      <c r="G63" s="563">
        <v>0</v>
      </c>
      <c r="H63" s="552"/>
      <c r="L63" s="552"/>
      <c r="M63" s="552"/>
    </row>
    <row r="64" spans="1:13" ht="13">
      <c r="A64" s="573">
        <f>+A63+1</f>
        <v>35</v>
      </c>
      <c r="B64" s="552" t="s">
        <v>581</v>
      </c>
      <c r="C64" s="563">
        <v>0</v>
      </c>
      <c r="D64" s="563">
        <v>0</v>
      </c>
      <c r="E64" s="563">
        <v>0</v>
      </c>
      <c r="F64" s="563">
        <v>0</v>
      </c>
      <c r="G64" s="563">
        <v>0</v>
      </c>
      <c r="H64" s="552"/>
      <c r="L64" s="552"/>
      <c r="M64" s="552"/>
    </row>
    <row r="65" spans="1:13" ht="13">
      <c r="A65" s="573">
        <f>+A64+1</f>
        <v>36</v>
      </c>
      <c r="B65" s="552" t="s">
        <v>582</v>
      </c>
      <c r="C65" s="563">
        <v>0</v>
      </c>
      <c r="D65" s="563">
        <v>0</v>
      </c>
      <c r="E65" s="563">
        <v>0</v>
      </c>
      <c r="F65" s="563">
        <v>0</v>
      </c>
      <c r="G65" s="563">
        <v>0</v>
      </c>
      <c r="H65" s="552"/>
      <c r="L65" s="552"/>
      <c r="M65" s="552"/>
    </row>
    <row r="66" spans="1:13" ht="13">
      <c r="A66" s="573">
        <f>+A65+1</f>
        <v>37</v>
      </c>
      <c r="B66" s="552" t="s">
        <v>583</v>
      </c>
      <c r="C66" s="563">
        <v>0</v>
      </c>
      <c r="D66" s="563">
        <v>0</v>
      </c>
      <c r="E66" s="563">
        <v>0</v>
      </c>
      <c r="F66" s="563">
        <v>0</v>
      </c>
      <c r="G66" s="563">
        <v>0</v>
      </c>
      <c r="H66" s="552"/>
      <c r="L66" s="552"/>
      <c r="M66" s="552"/>
    </row>
    <row r="67" spans="1:15" ht="13">
      <c r="A67" s="573">
        <f>+A66+1</f>
        <v>38</v>
      </c>
      <c r="B67" s="552" t="s">
        <v>646</v>
      </c>
      <c r="C67" s="563">
        <v>0</v>
      </c>
      <c r="D67" s="563">
        <v>0</v>
      </c>
      <c r="E67" s="563">
        <v>0</v>
      </c>
      <c r="F67" s="563">
        <v>0</v>
      </c>
      <c r="G67" s="563">
        <v>0</v>
      </c>
      <c r="H67" s="552"/>
      <c r="L67" s="552"/>
      <c r="M67" s="552"/>
      <c r="N67" s="552"/>
      <c r="O67" s="552"/>
    </row>
    <row r="68" spans="1:15" ht="13">
      <c r="A68" s="573">
        <f>+A67+1</f>
        <v>39</v>
      </c>
      <c r="B68" s="555" t="s">
        <v>22</v>
      </c>
      <c r="C68" s="557">
        <f>SUM(C56:C67)</f>
        <v>0</v>
      </c>
      <c r="D68" s="557">
        <f>SUM(D56:D67)</f>
        <v>0</v>
      </c>
      <c r="E68" s="557">
        <f>SUM(E56:E67)</f>
        <v>0</v>
      </c>
      <c r="F68" s="557">
        <f>SUM(F56:F67)</f>
        <v>0</v>
      </c>
      <c r="G68" s="557">
        <f>SUM(G56:G67)</f>
        <v>0</v>
      </c>
      <c r="H68" s="552"/>
      <c r="I68" s="552"/>
      <c r="J68" s="552"/>
      <c r="N68" s="552"/>
      <c r="O68" s="552"/>
    </row>
    <row r="69" spans="1:15" ht="13">
      <c r="A69" s="573">
        <f>+A68+1</f>
        <v>40</v>
      </c>
      <c r="B69" s="552"/>
      <c r="C69" s="552"/>
      <c r="D69" s="552"/>
      <c r="E69" s="552"/>
      <c r="F69" s="552"/>
      <c r="G69" s="552"/>
      <c r="H69" s="552"/>
      <c r="I69" s="552"/>
      <c r="J69" s="552"/>
      <c r="N69" s="552"/>
      <c r="O69" s="552"/>
    </row>
    <row r="70" spans="1:15" ht="13">
      <c r="A70" s="573">
        <f>+A69+1</f>
        <v>41</v>
      </c>
      <c r="B70" s="5" t="s">
        <v>246</v>
      </c>
      <c r="C70" s="13"/>
      <c r="F70" s="13"/>
      <c r="G70" s="13"/>
      <c r="H70" s="13"/>
      <c r="I70" s="13"/>
      <c r="J70" s="28"/>
      <c r="K70" s="574"/>
      <c r="L70" s="28"/>
      <c r="N70" s="552"/>
      <c r="O70" s="552"/>
    </row>
    <row r="71" spans="1:15" ht="24" customHeight="1">
      <c r="A71" s="573"/>
      <c r="B71" s="5" t="s">
        <v>730</v>
      </c>
      <c r="C71" s="13"/>
      <c r="F71" s="13"/>
      <c r="G71" s="13"/>
      <c r="H71" s="13"/>
      <c r="I71" s="13"/>
      <c r="J71" s="13"/>
      <c r="K71" s="575"/>
      <c r="L71" s="13"/>
      <c r="N71" s="552"/>
      <c r="O71" s="552"/>
    </row>
    <row r="72" spans="1:15" ht="16" thickBot="1">
      <c r="A72" s="573"/>
      <c r="B72" s="5"/>
      <c r="C72" s="13"/>
      <c r="D72" s="576"/>
      <c r="E72" s="576"/>
      <c r="F72" s="576"/>
      <c r="G72" s="576"/>
      <c r="H72" s="576"/>
      <c r="I72" s="576"/>
      <c r="J72" s="577" t="s">
        <v>220</v>
      </c>
      <c r="K72" s="575"/>
      <c r="L72" s="13"/>
      <c r="N72" s="578"/>
      <c r="O72" s="578"/>
    </row>
    <row r="73" spans="1:15" ht="15.5">
      <c r="A73" s="573">
        <f>+A70+1</f>
        <v>42</v>
      </c>
      <c r="B73" s="5"/>
      <c r="C73" s="13"/>
      <c r="D73" s="576" t="s">
        <v>731</v>
      </c>
      <c r="E73" s="576"/>
      <c r="F73" s="576"/>
      <c r="G73" s="576"/>
      <c r="H73" s="576"/>
      <c r="I73" s="576"/>
      <c r="J73" s="579">
        <v>0</v>
      </c>
      <c r="N73" s="552"/>
      <c r="O73" s="552"/>
    </row>
    <row r="74" spans="1:15" ht="15.5">
      <c r="A74" s="573"/>
      <c r="B74" s="5"/>
      <c r="C74" s="13"/>
      <c r="D74" s="576"/>
      <c r="E74" s="576"/>
      <c r="F74" s="576"/>
      <c r="G74" s="576"/>
      <c r="H74" s="576"/>
      <c r="I74" s="576"/>
      <c r="J74" s="329"/>
      <c r="N74" s="552"/>
      <c r="O74" s="552"/>
    </row>
    <row r="75" spans="1:15" ht="15.5">
      <c r="A75" s="573">
        <f>+A73+1</f>
        <v>43</v>
      </c>
      <c r="B75" s="5"/>
      <c r="C75" s="13"/>
      <c r="D75" s="576" t="s">
        <v>732</v>
      </c>
      <c r="E75" s="576"/>
      <c r="F75" s="576"/>
      <c r="G75" s="576"/>
      <c r="H75" s="576"/>
      <c r="I75" s="580"/>
      <c r="J75" s="579">
        <v>0</v>
      </c>
      <c r="N75" s="552"/>
      <c r="O75" s="552"/>
    </row>
    <row r="76" spans="1:10" ht="15.5">
      <c r="A76" s="573"/>
      <c r="B76" s="5"/>
      <c r="C76" s="13"/>
      <c r="D76" s="576"/>
      <c r="E76" s="576"/>
      <c r="F76" s="576"/>
      <c r="G76" s="576"/>
      <c r="H76" s="576"/>
      <c r="I76" s="576"/>
      <c r="J76" s="329"/>
    </row>
    <row r="77" spans="1:10" ht="15.5">
      <c r="A77" s="573">
        <f>+A75+1</f>
        <v>44</v>
      </c>
      <c r="B77" s="5"/>
      <c r="C77" s="13"/>
      <c r="D77" s="576" t="s">
        <v>733</v>
      </c>
      <c r="E77" s="581"/>
      <c r="F77" s="576"/>
      <c r="G77" s="576"/>
      <c r="H77" s="576"/>
      <c r="I77" s="576"/>
      <c r="J77" s="579">
        <v>0</v>
      </c>
    </row>
    <row r="78" spans="1:10" ht="15.5">
      <c r="A78" s="573">
        <f>+A77+1</f>
        <v>45</v>
      </c>
      <c r="B78" s="5"/>
      <c r="C78" s="13"/>
      <c r="D78" s="576" t="s">
        <v>734</v>
      </c>
      <c r="E78" s="576"/>
      <c r="F78" s="576"/>
      <c r="G78" s="576"/>
      <c r="H78" s="576"/>
      <c r="I78" s="576"/>
      <c r="J78" s="582">
        <v>0</v>
      </c>
    </row>
    <row r="79" spans="1:10" ht="16" thickBot="1">
      <c r="A79" s="573">
        <f>+A78+1</f>
        <v>46</v>
      </c>
      <c r="B79" s="5"/>
      <c r="C79" s="13"/>
      <c r="D79" s="576" t="s">
        <v>735</v>
      </c>
      <c r="E79" s="576"/>
      <c r="F79" s="576"/>
      <c r="G79" s="576"/>
      <c r="H79" s="576"/>
      <c r="I79" s="576"/>
      <c r="J79" s="583">
        <v>0</v>
      </c>
    </row>
    <row r="80" spans="1:10" ht="15.5">
      <c r="A80" s="573">
        <f>+A79+1</f>
        <v>47</v>
      </c>
      <c r="B80" s="5"/>
      <c r="C80" s="13"/>
      <c r="D80" s="576" t="s">
        <v>736</v>
      </c>
      <c r="E80" s="581" t="s">
        <v>737</v>
      </c>
      <c r="F80" s="581"/>
      <c r="G80" s="581"/>
      <c r="H80" s="584"/>
      <c r="I80" s="581"/>
      <c r="J80" s="329">
        <f>+J77-J78-J79</f>
        <v>0</v>
      </c>
    </row>
    <row r="81" spans="1:10" ht="13">
      <c r="A81" s="573"/>
      <c r="B81" s="5"/>
      <c r="C81" s="13"/>
      <c r="J81" s="50"/>
    </row>
    <row r="82" spans="1:12" ht="13">
      <c r="A82" s="573"/>
      <c r="B82" s="5"/>
      <c r="C82" s="13"/>
      <c r="G82" s="13"/>
      <c r="H82" s="13"/>
      <c r="I82" s="13"/>
      <c r="J82" s="13"/>
      <c r="K82" s="575"/>
      <c r="L82" s="13"/>
    </row>
    <row r="83" spans="1:12" ht="13">
      <c r="A83" s="573"/>
      <c r="B83" s="27"/>
      <c r="C83" s="13"/>
      <c r="F83" s="13"/>
      <c r="G83" s="13"/>
      <c r="H83" s="13"/>
      <c r="I83" s="14" t="s">
        <v>248</v>
      </c>
      <c r="J83" s="13"/>
      <c r="K83" s="13"/>
      <c r="L83" s="13"/>
    </row>
    <row r="84" spans="1:12" ht="13.5" thickBot="1">
      <c r="A84" s="573"/>
      <c r="B84" s="27"/>
      <c r="C84" s="13"/>
      <c r="F84" s="23" t="s">
        <v>220</v>
      </c>
      <c r="G84" s="23" t="s">
        <v>249</v>
      </c>
      <c r="H84" s="13"/>
      <c r="I84" s="156"/>
      <c r="J84" s="13"/>
      <c r="K84" s="23" t="s">
        <v>250</v>
      </c>
      <c r="L84" s="13"/>
    </row>
    <row r="85" spans="1:12" ht="13">
      <c r="A85" s="573">
        <f>+A80+1</f>
        <v>48</v>
      </c>
      <c r="B85" s="5" t="s">
        <v>251</v>
      </c>
      <c r="C85" s="89" t="s">
        <v>738</v>
      </c>
      <c r="F85" s="469">
        <v>59999.796000000009</v>
      </c>
      <c r="G85" s="30">
        <f>IF(F$88=0,0,F85/F$88)</f>
        <v>0.40</v>
      </c>
      <c r="H85" s="31"/>
      <c r="I85" s="585">
        <v>0.037400000000000003</v>
      </c>
      <c r="J85" s="31"/>
      <c r="K85" s="31">
        <f>G85*I85</f>
        <v>0.014960000000000001</v>
      </c>
      <c r="L85" s="161" t="s">
        <v>253</v>
      </c>
    </row>
    <row r="86" spans="1:12" ht="13">
      <c r="A86" s="573">
        <f>+A85+1</f>
        <v>49</v>
      </c>
      <c r="B86" s="5" t="s">
        <v>254</v>
      </c>
      <c r="C86" s="4" t="s">
        <v>542</v>
      </c>
      <c r="F86" s="469">
        <v>0</v>
      </c>
      <c r="G86" s="30">
        <f>IF(F$88=0,0,F86/F$88)</f>
        <v>0</v>
      </c>
      <c r="H86" s="31"/>
      <c r="I86" s="30">
        <v>0</v>
      </c>
      <c r="J86" s="31"/>
      <c r="K86" s="31">
        <f>G86*I86</f>
        <v>0</v>
      </c>
      <c r="L86" s="13"/>
    </row>
    <row r="87" spans="1:12" ht="13.5" thickBot="1">
      <c r="A87" s="573">
        <f>+A86+1</f>
        <v>50</v>
      </c>
      <c r="B87" s="5" t="s">
        <v>256</v>
      </c>
      <c r="C87" s="4" t="s">
        <v>739</v>
      </c>
      <c r="F87" s="586">
        <v>89999.694000000003</v>
      </c>
      <c r="G87" s="30">
        <f>IF(F$88=0,0,F87/F$88)</f>
        <v>0.60</v>
      </c>
      <c r="H87" s="587"/>
      <c r="I87" s="588">
        <v>0.10100000000000001</v>
      </c>
      <c r="J87" s="31"/>
      <c r="K87" s="36">
        <f>G87*I87</f>
        <v>0.060600000000000001</v>
      </c>
      <c r="L87" s="13"/>
    </row>
    <row r="88" spans="1:12" ht="13">
      <c r="A88" s="573">
        <f>+A87+1</f>
        <v>51</v>
      </c>
      <c r="B88" s="27" t="s">
        <v>258</v>
      </c>
      <c r="C88" s="4" t="s">
        <v>740</v>
      </c>
      <c r="F88" s="157">
        <f>SUM(F85:F87)</f>
        <v>149999.49000000002</v>
      </c>
      <c r="G88" s="31" t="s">
        <v>11</v>
      </c>
      <c r="H88" s="13"/>
      <c r="I88" s="30"/>
      <c r="J88" s="31"/>
      <c r="K88" s="31">
        <f>SUM(K85:K87)</f>
        <v>0.075560000000000002</v>
      </c>
      <c r="L88" s="161" t="s">
        <v>260</v>
      </c>
    </row>
    <row r="89" spans="1:7" ht="13">
      <c r="A89" s="573"/>
      <c r="G89" s="31"/>
    </row>
    <row r="90" spans="1:1" ht="13">
      <c r="A90" s="3" t="s">
        <v>741</v>
      </c>
    </row>
    <row r="91" spans="1:13" ht="13">
      <c r="A91" s="572" t="s">
        <v>431</v>
      </c>
      <c r="B91" s="93" t="s">
        <v>742</v>
      </c>
      <c r="C91" s="93"/>
      <c r="D91" s="93"/>
      <c r="E91" s="93"/>
      <c r="F91" s="93"/>
      <c r="G91" s="93"/>
      <c r="H91" s="93"/>
      <c r="I91" s="93"/>
      <c r="J91" s="93"/>
      <c r="K91" s="93"/>
      <c r="L91" s="93"/>
      <c r="M91" s="93"/>
    </row>
    <row r="92" spans="1:13" ht="13">
      <c r="A92" s="572"/>
      <c r="B92" s="589" t="s">
        <v>743</v>
      </c>
      <c r="C92" s="93"/>
      <c r="D92" s="93"/>
      <c r="E92" s="93"/>
      <c r="F92" s="93"/>
      <c r="G92" s="93"/>
      <c r="H92" s="93"/>
      <c r="I92" s="93"/>
      <c r="J92" s="93"/>
      <c r="K92" s="93"/>
      <c r="L92" s="93"/>
      <c r="M92" s="93"/>
    </row>
    <row r="93" spans="1:13" ht="13">
      <c r="A93" s="572" t="s">
        <v>433</v>
      </c>
      <c r="B93" s="93" t="s">
        <v>744</v>
      </c>
      <c r="C93" s="93"/>
      <c r="D93" s="93"/>
      <c r="E93" s="93"/>
      <c r="F93" s="93"/>
      <c r="G93" s="93"/>
      <c r="H93" s="93"/>
      <c r="I93" s="93"/>
      <c r="J93" s="93"/>
      <c r="K93" s="93"/>
      <c r="L93" s="93"/>
      <c r="M93" s="93"/>
    </row>
    <row r="94" spans="1:13" ht="13">
      <c r="A94" s="572" t="s">
        <v>286</v>
      </c>
      <c r="B94" s="93" t="s">
        <v>745</v>
      </c>
      <c r="C94" s="93"/>
      <c r="D94" s="93"/>
      <c r="E94" s="93"/>
      <c r="F94" s="93"/>
      <c r="G94" s="93"/>
      <c r="H94" s="93"/>
      <c r="I94" s="93"/>
      <c r="J94" s="93"/>
      <c r="K94" s="93"/>
      <c r="L94" s="93"/>
      <c r="M94" s="93"/>
    </row>
    <row r="95" spans="1:11" ht="13">
      <c r="A95" s="544"/>
      <c r="B95" s="718" t="s">
        <v>309</v>
      </c>
      <c r="C95" s="718"/>
      <c r="D95" s="718"/>
      <c r="E95" s="718"/>
      <c r="F95" s="718"/>
      <c r="G95" s="718"/>
      <c r="H95" s="718"/>
      <c r="I95" s="718"/>
      <c r="J95" s="718"/>
      <c r="K95" s="718"/>
    </row>
    <row r="96" spans="1:1" ht="13">
      <c r="A96" s="544"/>
    </row>
  </sheetData>
  <mergeCells count="1">
    <mergeCell ref="B95:K95"/>
  </mergeCells>
  <pageMargins left="0.25" right="0.25" top="0.75" bottom="0.75" header="0.3" footer="0.3"/>
  <pageSetup fitToHeight="0" orientation="landscape" scale="62" r:id="rId1"/>
  <rowBreaks count="1" manualBreakCount="1">
    <brk id="45" max="12" man="1"/>
  </rowBreaks>
  <customProperties>
    <customPr name="_pios_id" r:id="rId2"/>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A56"/>
  <sheetViews>
    <sheetView zoomScale="85" zoomScaleNormal="85" zoomScaleSheetLayoutView="100" workbookViewId="0" topLeftCell="A1"/>
  </sheetViews>
  <sheetFormatPr defaultColWidth="8.76555555555556" defaultRowHeight="13.5"/>
  <cols>
    <col min="1" max="1" width="4" style="3" customWidth="1"/>
    <col min="2" max="2" width="12" style="3" bestFit="1" customWidth="1"/>
    <col min="3" max="3" width="8.77777777777778" style="3"/>
    <col min="4" max="6" width="7.77777777777778" style="3" customWidth="1"/>
    <col min="7" max="7" width="8.22222222222222" style="3" customWidth="1"/>
    <col min="8" max="16" width="7.77777777777778" style="3" customWidth="1"/>
    <col min="17" max="17" width="10.7777777777778" style="3" bestFit="1" customWidth="1"/>
    <col min="18" max="27" width="8.77777777777778" style="3"/>
    <col min="28" max="16384" width="8.77777777777778" style="3"/>
  </cols>
  <sheetData>
    <row r="1" spans="9:17" ht="13">
      <c r="I1" s="218" t="s">
        <v>746</v>
      </c>
      <c r="Q1" s="435" t="s">
        <v>451</v>
      </c>
    </row>
    <row r="2" spans="9:9" ht="13">
      <c r="I2" s="373" t="s">
        <v>747</v>
      </c>
    </row>
    <row r="3" spans="9:9" ht="13">
      <c r="I3" s="72" t="str">
        <f>'Attachment H'!$D$5</f>
        <v>NextEra Energy Transmission MidAtlantic Indiana, Inc.</v>
      </c>
    </row>
    <row r="4" spans="9:9" ht="13">
      <c r="I4" s="461"/>
    </row>
    <row r="5" spans="9:9" ht="13">
      <c r="I5" s="461"/>
    </row>
    <row r="6" spans="5:8" ht="15.5">
      <c r="E6" s="590" t="s">
        <v>748</v>
      </c>
      <c r="F6" s="591" t="s">
        <v>749</v>
      </c>
      <c r="G6" s="592" t="s">
        <v>750</v>
      </c>
      <c r="H6" s="591" t="s">
        <v>751</v>
      </c>
    </row>
    <row r="7" spans="1:27" ht="51">
      <c r="A7" s="593"/>
      <c r="B7" s="594"/>
      <c r="C7" s="595" t="s">
        <v>752</v>
      </c>
      <c r="D7" s="595"/>
      <c r="E7" s="596" t="s">
        <v>753</v>
      </c>
      <c r="F7" s="596" t="s">
        <v>754</v>
      </c>
      <c r="G7" s="596" t="s">
        <v>755</v>
      </c>
      <c r="H7" s="596" t="s">
        <v>756</v>
      </c>
      <c r="R7" s="467"/>
      <c r="S7" s="467"/>
      <c r="T7" s="467"/>
      <c r="U7" s="467"/>
      <c r="V7" s="467"/>
      <c r="W7" s="467"/>
      <c r="X7" s="467"/>
      <c r="Y7" s="467"/>
      <c r="Z7" s="467"/>
      <c r="AA7" s="467"/>
    </row>
    <row r="8" spans="1:27" ht="15.5">
      <c r="A8" s="593">
        <v>1</v>
      </c>
      <c r="B8" s="597"/>
      <c r="C8" s="598" t="s">
        <v>757</v>
      </c>
      <c r="D8" s="599"/>
      <c r="E8" s="600"/>
      <c r="F8" s="600"/>
      <c r="G8" s="601">
        <f>IF(F8&gt;0,MIN(E8:F8),E8)</f>
        <v>0</v>
      </c>
      <c r="H8" s="601">
        <f t="shared" si="0" ref="H8:H15">E8</f>
        <v>0</v>
      </c>
      <c r="R8" s="602"/>
      <c r="S8" s="603"/>
      <c r="T8" s="603"/>
      <c r="U8" s="603"/>
      <c r="V8" s="604"/>
      <c r="W8" s="605"/>
      <c r="X8" s="606"/>
      <c r="Y8" s="605"/>
      <c r="Z8" s="603"/>
      <c r="AA8" s="467"/>
    </row>
    <row r="9" spans="1:27" ht="15.5">
      <c r="A9" s="593">
        <v>2</v>
      </c>
      <c r="B9" s="597"/>
      <c r="C9" s="598" t="s">
        <v>758</v>
      </c>
      <c r="D9" s="599"/>
      <c r="E9" s="600"/>
      <c r="F9" s="600"/>
      <c r="G9" s="601">
        <f t="shared" si="1" ref="G9:G15">IF(F9&gt;0,MIN(E9:F9),E9)</f>
        <v>0</v>
      </c>
      <c r="H9" s="601">
        <f>E9</f>
        <v>0</v>
      </c>
      <c r="R9" s="602"/>
      <c r="S9" s="603"/>
      <c r="T9" s="602"/>
      <c r="U9" s="602"/>
      <c r="V9" s="607"/>
      <c r="W9" s="607"/>
      <c r="X9" s="607"/>
      <c r="Y9" s="607"/>
      <c r="Z9" s="607"/>
      <c r="AA9" s="467"/>
    </row>
    <row r="10" spans="1:27" ht="15.5">
      <c r="A10" s="593">
        <v>3</v>
      </c>
      <c r="B10" s="597"/>
      <c r="C10" s="598" t="s">
        <v>759</v>
      </c>
      <c r="D10" s="599"/>
      <c r="E10" s="600"/>
      <c r="F10" s="600"/>
      <c r="G10" s="601">
        <f>IF(F10&gt;0,MIN(E10:F10),E10)</f>
        <v>0</v>
      </c>
      <c r="H10" s="601">
        <f>E10</f>
        <v>0</v>
      </c>
      <c r="R10" s="602"/>
      <c r="S10" s="603"/>
      <c r="T10" s="602"/>
      <c r="U10" s="602"/>
      <c r="V10" s="608"/>
      <c r="W10" s="608"/>
      <c r="X10" s="609"/>
      <c r="Y10" s="609"/>
      <c r="Z10" s="609"/>
      <c r="AA10" s="467"/>
    </row>
    <row r="11" spans="1:27" ht="15.5">
      <c r="A11" s="593">
        <v>4</v>
      </c>
      <c r="B11" s="597"/>
      <c r="C11" s="598" t="s">
        <v>760</v>
      </c>
      <c r="D11" s="599"/>
      <c r="E11" s="600"/>
      <c r="F11" s="600"/>
      <c r="G11" s="601">
        <f>IF(F11&gt;0,MIN(E11:F11),E11)</f>
        <v>0</v>
      </c>
      <c r="H11" s="601">
        <f>E11</f>
        <v>0</v>
      </c>
      <c r="R11" s="602"/>
      <c r="S11" s="603"/>
      <c r="T11" s="602"/>
      <c r="U11" s="602"/>
      <c r="V11" s="608"/>
      <c r="W11" s="608"/>
      <c r="X11" s="609"/>
      <c r="Y11" s="609"/>
      <c r="Z11" s="609"/>
      <c r="AA11" s="467"/>
    </row>
    <row r="12" spans="1:27" ht="15.75" customHeight="1">
      <c r="A12" s="593">
        <v>5</v>
      </c>
      <c r="B12" s="597"/>
      <c r="C12" s="598" t="s">
        <v>761</v>
      </c>
      <c r="D12" s="599"/>
      <c r="E12" s="600"/>
      <c r="F12" s="600"/>
      <c r="G12" s="601">
        <f>IF(F12&gt;0,MIN(E12:F12),E12)</f>
        <v>0</v>
      </c>
      <c r="H12" s="601">
        <f>E12</f>
        <v>0</v>
      </c>
      <c r="R12" s="602"/>
      <c r="S12" s="603"/>
      <c r="T12" s="602"/>
      <c r="U12" s="602"/>
      <c r="V12" s="608"/>
      <c r="W12" s="608"/>
      <c r="X12" s="609"/>
      <c r="Y12" s="609"/>
      <c r="Z12" s="609"/>
      <c r="AA12" s="467"/>
    </row>
    <row r="13" spans="1:27" ht="15.5">
      <c r="A13" s="593">
        <v>6</v>
      </c>
      <c r="B13" s="597"/>
      <c r="C13" s="598" t="s">
        <v>758</v>
      </c>
      <c r="D13" s="599"/>
      <c r="E13" s="600"/>
      <c r="F13" s="600"/>
      <c r="G13" s="601">
        <f>IF(F13&gt;0,MIN(E13:F13),E13)</f>
        <v>0</v>
      </c>
      <c r="H13" s="601">
        <f>E13</f>
        <v>0</v>
      </c>
      <c r="R13" s="602"/>
      <c r="S13" s="603"/>
      <c r="T13" s="602"/>
      <c r="U13" s="602"/>
      <c r="V13" s="608"/>
      <c r="W13" s="608"/>
      <c r="X13" s="609"/>
      <c r="Y13" s="609"/>
      <c r="Z13" s="609"/>
      <c r="AA13" s="467"/>
    </row>
    <row r="14" spans="1:27" ht="15.5">
      <c r="A14" s="593">
        <v>7</v>
      </c>
      <c r="B14" s="597"/>
      <c r="C14" s="598" t="s">
        <v>759</v>
      </c>
      <c r="D14" s="599"/>
      <c r="E14" s="600"/>
      <c r="F14" s="600"/>
      <c r="G14" s="601">
        <f>IF(F14&gt;0,MIN(E14:F14),E14)</f>
        <v>0</v>
      </c>
      <c r="H14" s="601">
        <f>E14</f>
        <v>0</v>
      </c>
      <c r="R14" s="602"/>
      <c r="S14" s="603"/>
      <c r="T14" s="603"/>
      <c r="U14" s="603"/>
      <c r="V14" s="603"/>
      <c r="W14" s="603"/>
      <c r="X14" s="603"/>
      <c r="Y14" s="603"/>
      <c r="Z14" s="603"/>
      <c r="AA14" s="467"/>
    </row>
    <row r="15" spans="1:27" ht="15.5">
      <c r="A15" s="593"/>
      <c r="B15" s="597"/>
      <c r="C15" s="597"/>
      <c r="D15" s="610"/>
      <c r="E15" s="600"/>
      <c r="F15" s="600"/>
      <c r="G15" s="611">
        <f>IF(F15&gt;0,MIN(E15:F15),E15)</f>
        <v>0</v>
      </c>
      <c r="H15" s="611">
        <f>E15</f>
        <v>0</v>
      </c>
      <c r="R15" s="602"/>
      <c r="S15" s="603"/>
      <c r="T15" s="603"/>
      <c r="U15" s="603"/>
      <c r="V15" s="603"/>
      <c r="W15" s="603"/>
      <c r="X15" s="603"/>
      <c r="Y15" s="603"/>
      <c r="Z15" s="603"/>
      <c r="AA15" s="467"/>
    </row>
    <row r="16" spans="1:27" ht="15.5">
      <c r="A16" s="593"/>
      <c r="B16" s="597"/>
      <c r="C16" s="612"/>
      <c r="D16" s="613"/>
      <c r="E16" s="613"/>
      <c r="F16" s="610"/>
      <c r="G16" s="610"/>
      <c r="H16" s="610"/>
      <c r="R16" s="602"/>
      <c r="S16" s="603"/>
      <c r="T16" s="603"/>
      <c r="U16" s="603"/>
      <c r="V16" s="614"/>
      <c r="W16" s="609"/>
      <c r="X16" s="603"/>
      <c r="Y16" s="603"/>
      <c r="Z16" s="603"/>
      <c r="AA16" s="467"/>
    </row>
    <row r="17" spans="1:27" ht="15.5">
      <c r="A17" s="593">
        <v>8</v>
      </c>
      <c r="B17" s="615" t="s">
        <v>762</v>
      </c>
      <c r="C17" s="616"/>
      <c r="D17" s="613"/>
      <c r="E17" s="610"/>
      <c r="F17" s="610"/>
      <c r="G17" s="617">
        <f>AVERAGE(G8:G14)</f>
        <v>0</v>
      </c>
      <c r="H17" s="617">
        <f>AVERAGE(H8:H14)</f>
        <v>0</v>
      </c>
      <c r="R17" s="602"/>
      <c r="S17" s="603"/>
      <c r="T17" s="603"/>
      <c r="U17" s="603"/>
      <c r="V17" s="614"/>
      <c r="W17" s="609"/>
      <c r="X17" s="603"/>
      <c r="Y17" s="603"/>
      <c r="Z17" s="603"/>
      <c r="AA17" s="467"/>
    </row>
    <row r="18" spans="1:27" ht="15.5">
      <c r="A18" s="597"/>
      <c r="B18" s="597"/>
      <c r="C18" s="616"/>
      <c r="D18" s="613"/>
      <c r="E18" s="613"/>
      <c r="F18" s="610"/>
      <c r="G18" s="610"/>
      <c r="H18" s="610"/>
      <c r="R18" s="602"/>
      <c r="S18" s="603"/>
      <c r="T18" s="603"/>
      <c r="U18" s="603"/>
      <c r="V18" s="603"/>
      <c r="W18" s="603"/>
      <c r="X18" s="603"/>
      <c r="Y18" s="603"/>
      <c r="Z18" s="603"/>
      <c r="AA18" s="467"/>
    </row>
    <row r="19" spans="1:27" ht="15.5">
      <c r="A19" s="597" t="s">
        <v>763</v>
      </c>
      <c r="B19" s="597"/>
      <c r="C19" s="597"/>
      <c r="D19" s="597"/>
      <c r="E19" s="597"/>
      <c r="F19" s="597"/>
      <c r="G19" s="597"/>
      <c r="H19" s="597"/>
      <c r="R19" s="602"/>
      <c r="S19" s="603"/>
      <c r="T19" s="603"/>
      <c r="U19" s="603"/>
      <c r="V19" s="603"/>
      <c r="W19" s="603"/>
      <c r="X19" s="603"/>
      <c r="Y19" s="603"/>
      <c r="Z19" s="603"/>
      <c r="AA19" s="467"/>
    </row>
    <row r="20" spans="1:27" ht="15.5">
      <c r="A20" s="597"/>
      <c r="B20" s="618" t="s">
        <v>764</v>
      </c>
      <c r="C20" s="597"/>
      <c r="D20" s="597"/>
      <c r="E20" s="597"/>
      <c r="F20" s="597"/>
      <c r="G20" s="597"/>
      <c r="H20" s="597"/>
      <c r="R20" s="602"/>
      <c r="S20" s="602"/>
      <c r="T20" s="467"/>
      <c r="U20" s="603"/>
      <c r="V20" s="603"/>
      <c r="W20" s="603"/>
      <c r="X20" s="603"/>
      <c r="Y20" s="603"/>
      <c r="Z20" s="603"/>
      <c r="AA20" s="467"/>
    </row>
    <row r="21" spans="1:26" ht="15.5">
      <c r="A21" s="597"/>
      <c r="B21" s="618" t="s">
        <v>765</v>
      </c>
      <c r="C21" s="597"/>
      <c r="D21" s="597"/>
      <c r="E21" s="597"/>
      <c r="F21" s="597"/>
      <c r="G21" s="597"/>
      <c r="H21" s="597"/>
      <c r="R21" s="619"/>
      <c r="S21" s="618"/>
      <c r="U21" s="618"/>
      <c r="V21" s="618"/>
      <c r="W21" s="618"/>
      <c r="X21" s="618"/>
      <c r="Y21" s="618"/>
      <c r="Z21" s="618"/>
    </row>
    <row r="22" spans="1:26" ht="15.5">
      <c r="A22" s="597"/>
      <c r="B22" s="618" t="s">
        <v>766</v>
      </c>
      <c r="C22" s="597"/>
      <c r="D22" s="597"/>
      <c r="E22" s="597"/>
      <c r="F22" s="597"/>
      <c r="G22" s="597"/>
      <c r="H22" s="597"/>
      <c r="R22" s="619"/>
      <c r="S22" s="618"/>
      <c r="T22" s="618"/>
      <c r="U22" s="618"/>
      <c r="V22" s="618"/>
      <c r="W22" s="618"/>
      <c r="X22" s="618"/>
      <c r="Y22" s="618"/>
      <c r="Z22" s="618"/>
    </row>
    <row r="23" spans="1:8" ht="15.5">
      <c r="A23" s="597"/>
      <c r="B23" s="597"/>
      <c r="C23" s="597"/>
      <c r="D23" s="597"/>
      <c r="E23" s="597"/>
      <c r="F23" s="597"/>
      <c r="G23" s="597"/>
      <c r="H23" s="597"/>
    </row>
    <row r="24" spans="1:12" ht="13">
      <c r="A24" s="371"/>
      <c r="B24" s="372"/>
      <c r="C24" s="372"/>
      <c r="D24" s="753"/>
      <c r="E24" s="753"/>
      <c r="F24" s="620"/>
      <c r="G24" s="620"/>
      <c r="H24" s="621"/>
      <c r="I24" s="620"/>
      <c r="J24" s="620"/>
      <c r="K24" s="620"/>
      <c r="L24" s="620"/>
    </row>
    <row r="25" spans="1:12" ht="13">
      <c r="A25" s="371">
        <v>9</v>
      </c>
      <c r="B25" s="372" t="s">
        <v>767</v>
      </c>
      <c r="C25" s="372"/>
      <c r="D25" s="753"/>
      <c r="E25" s="753"/>
      <c r="F25" s="753"/>
      <c r="G25" s="753"/>
      <c r="H25" s="621"/>
      <c r="I25" s="753"/>
      <c r="J25" s="753"/>
      <c r="K25" s="753"/>
      <c r="L25" s="753"/>
    </row>
    <row r="26" spans="1:12" ht="13">
      <c r="A26" s="371">
        <v>10</v>
      </c>
      <c r="B26" s="382"/>
      <c r="C26" s="372"/>
      <c r="D26" s="620"/>
      <c r="E26" s="620"/>
      <c r="F26" s="622"/>
      <c r="G26" s="620"/>
      <c r="H26" s="620"/>
      <c r="I26" s="620"/>
      <c r="J26" s="620"/>
      <c r="K26" s="620"/>
      <c r="L26" s="620"/>
    </row>
    <row r="27" spans="1:17" ht="13">
      <c r="A27" s="370"/>
      <c r="B27" s="386" t="s">
        <v>431</v>
      </c>
      <c r="C27" s="386" t="s">
        <v>433</v>
      </c>
      <c r="D27" s="623" t="s">
        <v>286</v>
      </c>
      <c r="E27" s="624" t="s">
        <v>288</v>
      </c>
      <c r="F27" s="624" t="s">
        <v>290</v>
      </c>
      <c r="G27" s="624" t="s">
        <v>292</v>
      </c>
      <c r="H27" s="624" t="s">
        <v>294</v>
      </c>
      <c r="I27" s="624" t="s">
        <v>302</v>
      </c>
      <c r="J27" s="624" t="s">
        <v>304</v>
      </c>
      <c r="K27" s="624" t="s">
        <v>306</v>
      </c>
      <c r="L27" s="624" t="s">
        <v>308</v>
      </c>
      <c r="M27" s="625" t="s">
        <v>768</v>
      </c>
      <c r="N27" s="625" t="s">
        <v>312</v>
      </c>
      <c r="O27" s="626" t="s">
        <v>446</v>
      </c>
      <c r="P27" s="390" t="s">
        <v>316</v>
      </c>
      <c r="Q27" s="627" t="s">
        <v>318</v>
      </c>
    </row>
    <row r="28" spans="1:17" ht="13">
      <c r="A28" s="371"/>
      <c r="B28" s="383"/>
      <c r="C28" s="375"/>
      <c r="D28" s="628"/>
      <c r="E28" s="621"/>
      <c r="F28" s="621"/>
      <c r="G28" s="370"/>
      <c r="H28" s="621"/>
      <c r="I28" s="620"/>
      <c r="J28" s="621"/>
      <c r="K28" s="620"/>
      <c r="L28" s="620"/>
      <c r="M28" s="481"/>
      <c r="N28" s="481"/>
      <c r="O28" s="629"/>
      <c r="P28" s="630"/>
      <c r="Q28" s="631"/>
    </row>
    <row r="29" spans="1:17" ht="13">
      <c r="A29" s="371"/>
      <c r="B29" s="385"/>
      <c r="C29" s="387"/>
      <c r="D29" s="628"/>
      <c r="E29" s="621"/>
      <c r="F29" s="621"/>
      <c r="G29" s="621"/>
      <c r="H29" s="621"/>
      <c r="I29" s="621"/>
      <c r="J29" s="621"/>
      <c r="K29" s="621"/>
      <c r="L29" s="621"/>
      <c r="M29" s="389"/>
      <c r="N29" s="389"/>
      <c r="O29" s="632"/>
      <c r="P29" s="388"/>
      <c r="Q29" s="387"/>
    </row>
    <row r="30" spans="1:17" ht="13">
      <c r="A30" s="371"/>
      <c r="B30" s="387" t="s">
        <v>504</v>
      </c>
      <c r="C30" s="387"/>
      <c r="D30" s="754" t="s">
        <v>769</v>
      </c>
      <c r="E30" s="753"/>
      <c r="F30" s="753"/>
      <c r="G30" s="753"/>
      <c r="H30" s="753"/>
      <c r="I30" s="753"/>
      <c r="J30" s="753"/>
      <c r="K30" s="753"/>
      <c r="L30" s="753"/>
      <c r="M30" s="753"/>
      <c r="N30" s="753"/>
      <c r="O30" s="755"/>
      <c r="P30" s="388" t="s">
        <v>503</v>
      </c>
      <c r="Q30" s="387" t="s">
        <v>503</v>
      </c>
    </row>
    <row r="31" spans="1:17" ht="13">
      <c r="A31" s="371"/>
      <c r="B31" s="379" t="s">
        <v>512</v>
      </c>
      <c r="C31" s="379" t="s">
        <v>513</v>
      </c>
      <c r="D31" s="633" t="s">
        <v>573</v>
      </c>
      <c r="E31" s="634" t="s">
        <v>574</v>
      </c>
      <c r="F31" s="635" t="s">
        <v>644</v>
      </c>
      <c r="G31" s="635" t="s">
        <v>576</v>
      </c>
      <c r="H31" s="634" t="s">
        <v>577</v>
      </c>
      <c r="I31" s="634" t="s">
        <v>578</v>
      </c>
      <c r="J31" s="634" t="s">
        <v>579</v>
      </c>
      <c r="K31" s="634" t="s">
        <v>645</v>
      </c>
      <c r="L31" s="634" t="s">
        <v>581</v>
      </c>
      <c r="M31" s="636" t="s">
        <v>582</v>
      </c>
      <c r="N31" s="636" t="s">
        <v>583</v>
      </c>
      <c r="O31" s="637" t="s">
        <v>646</v>
      </c>
      <c r="P31" s="638" t="s">
        <v>770</v>
      </c>
      <c r="Q31" s="379" t="s">
        <v>540</v>
      </c>
    </row>
    <row r="32" spans="1:17" ht="13">
      <c r="A32" s="371">
        <v>11</v>
      </c>
      <c r="B32" s="398"/>
      <c r="C32" s="398"/>
      <c r="D32" s="399"/>
      <c r="E32" s="639"/>
      <c r="F32" s="639"/>
      <c r="G32" s="639"/>
      <c r="H32" s="639"/>
      <c r="I32" s="640"/>
      <c r="J32" s="640"/>
      <c r="K32" s="640"/>
      <c r="L32" s="640"/>
      <c r="M32" s="641"/>
      <c r="N32" s="641"/>
      <c r="O32" s="642"/>
      <c r="P32" s="643"/>
      <c r="Q32" s="644"/>
    </row>
    <row r="33" spans="1:17" ht="13">
      <c r="A33" s="371" t="s">
        <v>771</v>
      </c>
      <c r="B33" s="398"/>
      <c r="C33" s="398"/>
      <c r="D33" s="399"/>
      <c r="E33" s="639"/>
      <c r="F33" s="639"/>
      <c r="G33" s="639"/>
      <c r="H33" s="639"/>
      <c r="I33" s="639"/>
      <c r="J33" s="639"/>
      <c r="K33" s="640"/>
      <c r="L33" s="640"/>
      <c r="M33" s="641"/>
      <c r="N33" s="641"/>
      <c r="O33" s="642"/>
      <c r="P33" s="645">
        <f>+H17</f>
        <v>0</v>
      </c>
      <c r="Q33" s="646">
        <f>+P33*(D33+E33*0.91667+F33*0.83333+G33*0.75+H33*0.66667+I33*7/12+J33*6/12+K33*5/12+L33*4/12+M33*3/12+N33*2/12+O33*1/12)+P33*1.5*SUM(D33:O33)</f>
        <v>0</v>
      </c>
    </row>
    <row r="34" spans="1:17" ht="13">
      <c r="A34" s="371" t="s">
        <v>772</v>
      </c>
      <c r="B34" s="398"/>
      <c r="C34" s="398"/>
      <c r="D34" s="399"/>
      <c r="E34" s="639"/>
      <c r="F34" s="639"/>
      <c r="G34" s="639"/>
      <c r="H34" s="639"/>
      <c r="I34" s="639"/>
      <c r="J34" s="639"/>
      <c r="K34" s="640"/>
      <c r="L34" s="640"/>
      <c r="M34" s="641"/>
      <c r="N34" s="641"/>
      <c r="O34" s="642"/>
      <c r="P34" s="645">
        <f>+P33</f>
        <v>0</v>
      </c>
      <c r="Q34" s="646">
        <f t="shared" si="2" ref="Q34:Q51">+P34*(D34+E34*0.91667+F34*0.83333+G34*0.75+H34*0.66667+I34*7/12+J34*6/12+K34*5/12+L34*4/12+M34*3/12+N34*2/12+O34*1/12)+P34*1.5*SUM(D34:O34)</f>
        <v>0</v>
      </c>
    </row>
    <row r="35" spans="1:17" ht="13">
      <c r="A35" s="371" t="s">
        <v>773</v>
      </c>
      <c r="B35" s="398"/>
      <c r="C35" s="398"/>
      <c r="D35" s="399"/>
      <c r="E35" s="639"/>
      <c r="F35" s="639"/>
      <c r="G35" s="639"/>
      <c r="H35" s="639"/>
      <c r="I35" s="639"/>
      <c r="J35" s="639"/>
      <c r="K35" s="640"/>
      <c r="L35" s="640"/>
      <c r="M35" s="641"/>
      <c r="N35" s="641"/>
      <c r="O35" s="642"/>
      <c r="P35" s="645">
        <f t="shared" si="3" ref="P35:P51">+P34</f>
        <v>0</v>
      </c>
      <c r="Q35" s="646">
        <f>+P35*(D35+E35*0.91667+F35*0.83333+G35*0.75+H35*0.66667+I35*7/12+J35*6/12+K35*5/12+L35*4/12+M35*3/12+N35*2/12+O35*1/12)+P35*1.5*SUM(D35:O35)</f>
        <v>0</v>
      </c>
    </row>
    <row r="36" spans="1:17" ht="13">
      <c r="A36" s="371" t="s">
        <v>618</v>
      </c>
      <c r="B36" s="398"/>
      <c r="C36" s="398"/>
      <c r="D36" s="399"/>
      <c r="E36" s="639"/>
      <c r="F36" s="639"/>
      <c r="G36" s="639"/>
      <c r="H36" s="639"/>
      <c r="I36" s="639"/>
      <c r="J36" s="639"/>
      <c r="K36" s="640"/>
      <c r="L36" s="640"/>
      <c r="M36" s="641"/>
      <c r="N36" s="641"/>
      <c r="O36" s="642"/>
      <c r="P36" s="645">
        <f>+P35</f>
        <v>0</v>
      </c>
      <c r="Q36" s="646">
        <f>+P36*(D36+E36*0.91667+F36*0.83333+G36*0.75+H36*0.66667+I36*7/12+J36*6/12+K36*5/12+L36*4/12+M36*3/12+N36*2/12+O36*1/12)+P36*1.5*SUM(D36:O36)</f>
        <v>0</v>
      </c>
    </row>
    <row r="37" spans="1:17" ht="13">
      <c r="A37" s="371"/>
      <c r="B37" s="398"/>
      <c r="C37" s="398"/>
      <c r="D37" s="399"/>
      <c r="E37" s="639"/>
      <c r="F37" s="639"/>
      <c r="G37" s="639"/>
      <c r="H37" s="639"/>
      <c r="I37" s="639"/>
      <c r="J37" s="639"/>
      <c r="K37" s="640"/>
      <c r="L37" s="640"/>
      <c r="M37" s="641"/>
      <c r="N37" s="641"/>
      <c r="O37" s="642"/>
      <c r="P37" s="645">
        <f>+P36</f>
        <v>0</v>
      </c>
      <c r="Q37" s="646">
        <f>+P37*(D37+E37*0.91667+F37*0.83333+G37*0.75+H37*0.66667+I37*7/12+J37*6/12+K37*5/12+L37*4/12+M37*3/12+N37*2/12+O37*1/12)+P37*1.5*SUM(D37:O37)</f>
        <v>0</v>
      </c>
    </row>
    <row r="38" spans="1:17" ht="13">
      <c r="A38" s="371"/>
      <c r="B38" s="398"/>
      <c r="C38" s="398"/>
      <c r="D38" s="399"/>
      <c r="E38" s="639"/>
      <c r="F38" s="639"/>
      <c r="G38" s="639"/>
      <c r="H38" s="639"/>
      <c r="I38" s="639"/>
      <c r="J38" s="639"/>
      <c r="K38" s="640"/>
      <c r="L38" s="640"/>
      <c r="M38" s="641"/>
      <c r="N38" s="641"/>
      <c r="O38" s="642"/>
      <c r="P38" s="645">
        <f>+P37</f>
        <v>0</v>
      </c>
      <c r="Q38" s="646">
        <f>+P38*(D38+E38*0.91667+F38*0.83333+G38*0.75+H38*0.66667+I38*7/12+J38*6/12+K38*5/12+L38*4/12+M38*3/12+N38*2/12+O38*1/12)+P38*1.5*SUM(D38:O38)</f>
        <v>0</v>
      </c>
    </row>
    <row r="39" spans="1:17" ht="13">
      <c r="A39" s="371"/>
      <c r="B39" s="398"/>
      <c r="C39" s="398"/>
      <c r="D39" s="399"/>
      <c r="E39" s="639"/>
      <c r="F39" s="639"/>
      <c r="G39" s="639"/>
      <c r="H39" s="639"/>
      <c r="I39" s="639"/>
      <c r="J39" s="639"/>
      <c r="K39" s="640"/>
      <c r="L39" s="640"/>
      <c r="M39" s="641"/>
      <c r="N39" s="641"/>
      <c r="O39" s="642"/>
      <c r="P39" s="645">
        <f>+P38</f>
        <v>0</v>
      </c>
      <c r="Q39" s="646">
        <f>+P39*(D39+E39*0.91667+F39*0.83333+G39*0.75+H39*0.66667+I39*7/12+J39*6/12+K39*5/12+L39*4/12+M39*3/12+N39*2/12+O39*1/12)+P39*1.5*SUM(D39:O39)</f>
        <v>0</v>
      </c>
    </row>
    <row r="40" spans="1:17" ht="13">
      <c r="A40" s="371"/>
      <c r="B40" s="398"/>
      <c r="C40" s="398"/>
      <c r="D40" s="399"/>
      <c r="E40" s="639"/>
      <c r="F40" s="639"/>
      <c r="G40" s="639"/>
      <c r="H40" s="639"/>
      <c r="I40" s="639"/>
      <c r="J40" s="639"/>
      <c r="K40" s="640"/>
      <c r="L40" s="640"/>
      <c r="M40" s="641"/>
      <c r="N40" s="641"/>
      <c r="O40" s="642"/>
      <c r="P40" s="645">
        <f>+P39</f>
        <v>0</v>
      </c>
      <c r="Q40" s="646">
        <f>+P40*(D40+E40*0.91667+F40*0.83333+G40*0.75+H40*0.66667+I40*7/12+J40*6/12+K40*5/12+L40*4/12+M40*3/12+N40*2/12+O40*1/12)+P40*1.5*SUM(D40:O40)</f>
        <v>0</v>
      </c>
    </row>
    <row r="41" spans="1:17" ht="13">
      <c r="A41" s="371"/>
      <c r="B41" s="398"/>
      <c r="C41" s="398"/>
      <c r="D41" s="399"/>
      <c r="E41" s="639"/>
      <c r="F41" s="639"/>
      <c r="G41" s="639"/>
      <c r="H41" s="639"/>
      <c r="I41" s="639"/>
      <c r="J41" s="639"/>
      <c r="K41" s="640"/>
      <c r="L41" s="640"/>
      <c r="M41" s="641"/>
      <c r="N41" s="641"/>
      <c r="O41" s="642"/>
      <c r="P41" s="645">
        <f>+P40</f>
        <v>0</v>
      </c>
      <c r="Q41" s="646">
        <f>+P41*(D41+E41*0.91667+F41*0.83333+G41*0.75+H41*0.66667+I41*7/12+J41*6/12+K41*5/12+L41*4/12+M41*3/12+N41*2/12+O41*1/12)+P41*1.5*SUM(D41:O41)</f>
        <v>0</v>
      </c>
    </row>
    <row r="42" spans="1:17" ht="13">
      <c r="A42" s="371"/>
      <c r="B42" s="398"/>
      <c r="C42" s="398"/>
      <c r="D42" s="399"/>
      <c r="E42" s="639"/>
      <c r="F42" s="639"/>
      <c r="G42" s="639"/>
      <c r="H42" s="639"/>
      <c r="I42" s="639"/>
      <c r="J42" s="639"/>
      <c r="K42" s="640"/>
      <c r="L42" s="640"/>
      <c r="M42" s="641"/>
      <c r="N42" s="641"/>
      <c r="O42" s="642"/>
      <c r="P42" s="645">
        <f>+P41</f>
        <v>0</v>
      </c>
      <c r="Q42" s="646">
        <f>+P42*(D42+E42*0.91667+F42*0.83333+G42*0.75+H42*0.66667+I42*7/12+J42*6/12+K42*5/12+L42*4/12+M42*3/12+N42*2/12+O42*1/12)+P42*1.5*SUM(D42:O42)</f>
        <v>0</v>
      </c>
    </row>
    <row r="43" spans="1:17" ht="13">
      <c r="A43" s="371"/>
      <c r="B43" s="398"/>
      <c r="C43" s="398"/>
      <c r="D43" s="399"/>
      <c r="E43" s="639"/>
      <c r="F43" s="639"/>
      <c r="G43" s="639"/>
      <c r="H43" s="639"/>
      <c r="I43" s="639"/>
      <c r="J43" s="639"/>
      <c r="K43" s="640"/>
      <c r="L43" s="640"/>
      <c r="M43" s="641"/>
      <c r="N43" s="641"/>
      <c r="O43" s="642"/>
      <c r="P43" s="645">
        <f>+P42</f>
        <v>0</v>
      </c>
      <c r="Q43" s="646">
        <f>+P43*(D43+E43*0.91667+F43*0.83333+G43*0.75+H43*0.66667+I43*7/12+J43*6/12+K43*5/12+L43*4/12+M43*3/12+N43*2/12+O43*1/12)+P43*1.5*SUM(D43:O43)</f>
        <v>0</v>
      </c>
    </row>
    <row r="44" spans="1:17" ht="13">
      <c r="A44" s="371"/>
      <c r="B44" s="398"/>
      <c r="C44" s="398"/>
      <c r="D44" s="399"/>
      <c r="E44" s="639"/>
      <c r="F44" s="639"/>
      <c r="G44" s="639"/>
      <c r="H44" s="639"/>
      <c r="I44" s="639"/>
      <c r="J44" s="639"/>
      <c r="K44" s="640"/>
      <c r="L44" s="640"/>
      <c r="M44" s="641"/>
      <c r="N44" s="641"/>
      <c r="O44" s="642"/>
      <c r="P44" s="645">
        <f>+P43</f>
        <v>0</v>
      </c>
      <c r="Q44" s="646">
        <f>+P44*(D44+E44*0.91667+F44*0.83333+G44*0.75+H44*0.66667+I44*7/12+J44*6/12+K44*5/12+L44*4/12+M44*3/12+N44*2/12+O44*1/12)+P44*1.5*SUM(D44:O44)</f>
        <v>0</v>
      </c>
    </row>
    <row r="45" spans="1:17" ht="13">
      <c r="A45" s="371"/>
      <c r="B45" s="398"/>
      <c r="C45" s="398"/>
      <c r="D45" s="399"/>
      <c r="E45" s="639"/>
      <c r="F45" s="639"/>
      <c r="G45" s="639"/>
      <c r="H45" s="639"/>
      <c r="I45" s="639"/>
      <c r="J45" s="639"/>
      <c r="K45" s="640"/>
      <c r="L45" s="640"/>
      <c r="M45" s="641"/>
      <c r="N45" s="641"/>
      <c r="O45" s="642"/>
      <c r="P45" s="645">
        <f>+P44</f>
        <v>0</v>
      </c>
      <c r="Q45" s="646">
        <f>+P45*(D45+E45*0.91667+F45*0.83333+G45*0.75+H45*0.66667+I45*7/12+J45*6/12+K45*5/12+L45*4/12+M45*3/12+N45*2/12+O45*1/12)+P45*1.5*SUM(D45:O45)</f>
        <v>0</v>
      </c>
    </row>
    <row r="46" spans="1:17" ht="13">
      <c r="A46" s="371"/>
      <c r="B46" s="398"/>
      <c r="C46" s="398"/>
      <c r="D46" s="399"/>
      <c r="E46" s="639"/>
      <c r="F46" s="639"/>
      <c r="G46" s="639"/>
      <c r="H46" s="639"/>
      <c r="I46" s="639"/>
      <c r="J46" s="639"/>
      <c r="K46" s="640"/>
      <c r="L46" s="640"/>
      <c r="M46" s="641"/>
      <c r="N46" s="641"/>
      <c r="O46" s="642"/>
      <c r="P46" s="645">
        <f>+P45</f>
        <v>0</v>
      </c>
      <c r="Q46" s="646">
        <f>+P46*(D46+E46*0.91667+F46*0.83333+G46*0.75+H46*0.66667+I46*7/12+J46*6/12+K46*5/12+L46*4/12+M46*3/12+N46*2/12+O46*1/12)+P46*1.5*SUM(D46:O46)</f>
        <v>0</v>
      </c>
    </row>
    <row r="47" spans="1:17" ht="13">
      <c r="A47" s="371"/>
      <c r="B47" s="398"/>
      <c r="C47" s="398"/>
      <c r="D47" s="399"/>
      <c r="E47" s="639"/>
      <c r="F47" s="639"/>
      <c r="G47" s="639"/>
      <c r="H47" s="639"/>
      <c r="I47" s="639"/>
      <c r="J47" s="639"/>
      <c r="K47" s="640"/>
      <c r="L47" s="640"/>
      <c r="M47" s="641"/>
      <c r="N47" s="641"/>
      <c r="O47" s="642"/>
      <c r="P47" s="645">
        <f>+P46</f>
        <v>0</v>
      </c>
      <c r="Q47" s="646">
        <f>+P47*(D47+E47*0.91667+F47*0.83333+G47*0.75+H47*0.66667+I47*7/12+J47*6/12+K47*5/12+L47*4/12+M47*3/12+N47*2/12+O47*1/12)+P47*1.5*SUM(D47:O47)</f>
        <v>0</v>
      </c>
    </row>
    <row r="48" spans="1:17" ht="13">
      <c r="A48" s="371"/>
      <c r="B48" s="398"/>
      <c r="C48" s="398"/>
      <c r="D48" s="399"/>
      <c r="E48" s="639"/>
      <c r="F48" s="639"/>
      <c r="G48" s="639"/>
      <c r="H48" s="639"/>
      <c r="I48" s="639"/>
      <c r="J48" s="639"/>
      <c r="K48" s="640"/>
      <c r="L48" s="640"/>
      <c r="M48" s="641"/>
      <c r="N48" s="641"/>
      <c r="O48" s="642"/>
      <c r="P48" s="645">
        <f>+P47</f>
        <v>0</v>
      </c>
      <c r="Q48" s="646">
        <f>+P48*(D48+E48*0.91667+F48*0.83333+G48*0.75+H48*0.66667+I48*7/12+J48*6/12+K48*5/12+L48*4/12+M48*3/12+N48*2/12+O48*1/12)+P48*1.5*SUM(D48:O48)</f>
        <v>0</v>
      </c>
    </row>
    <row r="49" spans="1:17" ht="13">
      <c r="A49" s="371"/>
      <c r="B49" s="398"/>
      <c r="C49" s="398"/>
      <c r="D49" s="399"/>
      <c r="E49" s="639"/>
      <c r="F49" s="639"/>
      <c r="G49" s="639"/>
      <c r="H49" s="639"/>
      <c r="I49" s="639"/>
      <c r="J49" s="639"/>
      <c r="K49" s="640"/>
      <c r="L49" s="640"/>
      <c r="M49" s="641"/>
      <c r="N49" s="641"/>
      <c r="O49" s="642"/>
      <c r="P49" s="645">
        <f>+P48</f>
        <v>0</v>
      </c>
      <c r="Q49" s="646">
        <f>+P49*(D49+E49*0.91667+F49*0.83333+G49*0.75+H49*0.66667+I49*7/12+J49*6/12+K49*5/12+L49*4/12+M49*3/12+N49*2/12+O49*1/12)+P49*1.5*SUM(D49:O49)</f>
        <v>0</v>
      </c>
    </row>
    <row r="50" spans="1:17" ht="13">
      <c r="A50" s="371"/>
      <c r="B50" s="398"/>
      <c r="C50" s="398"/>
      <c r="D50" s="399"/>
      <c r="E50" s="639"/>
      <c r="F50" s="639"/>
      <c r="G50" s="639"/>
      <c r="H50" s="639"/>
      <c r="I50" s="639"/>
      <c r="J50" s="639"/>
      <c r="K50" s="640"/>
      <c r="L50" s="640"/>
      <c r="M50" s="641"/>
      <c r="N50" s="641"/>
      <c r="O50" s="642"/>
      <c r="P50" s="645">
        <f>+P49</f>
        <v>0</v>
      </c>
      <c r="Q50" s="646">
        <f>+P50*(D50+E50*0.91667+F50*0.83333+G50*0.75+H50*0.66667+I50*7/12+J50*6/12+K50*5/12+L50*4/12+M50*3/12+N50*2/12+O50*1/12)+P50*1.5*SUM(D50:O50)</f>
        <v>0</v>
      </c>
    </row>
    <row r="51" spans="1:17" ht="13">
      <c r="A51" s="371"/>
      <c r="B51" s="398"/>
      <c r="C51" s="398"/>
      <c r="D51" s="399"/>
      <c r="E51" s="639"/>
      <c r="F51" s="639"/>
      <c r="G51" s="639"/>
      <c r="H51" s="639"/>
      <c r="I51" s="639"/>
      <c r="J51" s="639"/>
      <c r="K51" s="640"/>
      <c r="L51" s="640"/>
      <c r="M51" s="641"/>
      <c r="N51" s="641"/>
      <c r="O51" s="642"/>
      <c r="P51" s="645">
        <f>+P50</f>
        <v>0</v>
      </c>
      <c r="Q51" s="646">
        <f>+P51*(D51+E51*0.91667+F51*0.83333+G51*0.75+H51*0.66667+I51*7/12+J51*6/12+K51*5/12+L51*4/12+M51*3/12+N51*2/12+O51*1/12)+P51*1.5*SUM(D51:O51)</f>
        <v>0</v>
      </c>
    </row>
    <row r="52" spans="1:17" ht="13">
      <c r="A52" s="371"/>
      <c r="B52" s="403"/>
      <c r="C52" s="403"/>
      <c r="D52" s="404"/>
      <c r="E52" s="647"/>
      <c r="F52" s="648"/>
      <c r="G52" s="647"/>
      <c r="H52" s="649"/>
      <c r="I52" s="648"/>
      <c r="J52" s="648"/>
      <c r="K52" s="648"/>
      <c r="L52" s="648"/>
      <c r="M52" s="380"/>
      <c r="N52" s="380"/>
      <c r="O52" s="381"/>
      <c r="P52" s="650"/>
      <c r="Q52" s="651"/>
    </row>
    <row r="53" spans="1:12" ht="13">
      <c r="A53" s="371"/>
      <c r="B53" s="372"/>
      <c r="C53" s="372"/>
      <c r="D53" s="652"/>
      <c r="E53" s="652"/>
      <c r="F53" s="652"/>
      <c r="G53" s="652"/>
      <c r="H53" s="652"/>
      <c r="I53" s="652"/>
      <c r="J53" s="652"/>
      <c r="K53" s="652"/>
      <c r="L53" s="652"/>
    </row>
    <row r="54" spans="1:12" ht="13">
      <c r="A54" s="371"/>
      <c r="B54" s="372" t="s">
        <v>542</v>
      </c>
      <c r="C54" s="372"/>
      <c r="D54" s="408"/>
      <c r="E54" s="408"/>
      <c r="F54" s="408"/>
      <c r="G54" s="408"/>
      <c r="H54" s="408"/>
      <c r="I54" s="408"/>
      <c r="J54" s="408"/>
      <c r="K54" s="408"/>
      <c r="L54" s="408"/>
    </row>
    <row r="55" spans="1:12" ht="13">
      <c r="A55" s="371"/>
      <c r="B55" s="372" t="s">
        <v>774</v>
      </c>
      <c r="C55" s="372"/>
      <c r="D55" s="408"/>
      <c r="E55" s="408"/>
      <c r="F55" s="408"/>
      <c r="G55" s="408"/>
      <c r="H55" s="653"/>
      <c r="I55" s="653"/>
      <c r="J55" s="653"/>
      <c r="K55" s="653"/>
      <c r="L55" s="408"/>
    </row>
    <row r="56" spans="1:12" ht="13">
      <c r="A56" s="371"/>
      <c r="B56" s="372" t="s">
        <v>775</v>
      </c>
      <c r="C56" s="372"/>
      <c r="D56" s="408"/>
      <c r="E56" s="408"/>
      <c r="F56" s="408"/>
      <c r="G56" s="408"/>
      <c r="H56" s="653"/>
      <c r="I56" s="653"/>
      <c r="J56" s="653"/>
      <c r="K56" s="653"/>
      <c r="L56" s="408"/>
    </row>
    <row r="70" ht="24" customHeight="1"/>
  </sheetData>
  <mergeCells count="5">
    <mergeCell ref="D24:E24"/>
    <mergeCell ref="D25:E25"/>
    <mergeCell ref="F25:G25"/>
    <mergeCell ref="I25:L25"/>
    <mergeCell ref="D30:O30"/>
  </mergeCells>
  <pageMargins left="0.25" right="0.25" top="0.75" bottom="0.75" header="0.3" footer="0.3"/>
  <pageSetup orientation="landscape" scale="49"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22"/>
  <sheetViews>
    <sheetView zoomScale="85" zoomScaleNormal="85" zoomScaleSheetLayoutView="75" workbookViewId="0" topLeftCell="A1"/>
  </sheetViews>
  <sheetFormatPr defaultColWidth="8.84555555555555" defaultRowHeight="15.75"/>
  <cols>
    <col min="1" max="1" width="8.88888888888889" style="321"/>
    <col min="2" max="2" width="43.7777777777778" style="321" customWidth="1"/>
    <col min="3" max="3" width="15.5555555555556" style="321" customWidth="1"/>
    <col min="4" max="4" width="16.2222222222222" style="321" customWidth="1"/>
    <col min="5" max="13" width="8.88888888888889" style="321"/>
    <col min="14" max="16384" width="8.88888888888889" style="321"/>
  </cols>
  <sheetData>
    <row r="1" spans="1:6" ht="15.5">
      <c r="A1" s="595"/>
      <c r="C1" s="654" t="s">
        <v>776</v>
      </c>
      <c r="F1" s="655" t="s">
        <v>451</v>
      </c>
    </row>
    <row r="2" spans="3:3" ht="15.5">
      <c r="C2" s="656" t="s">
        <v>777</v>
      </c>
    </row>
    <row r="3" spans="3:3" ht="15.5">
      <c r="C3" s="328" t="str">
        <f>'Attachment H'!$D$5</f>
        <v>NextEra Energy Transmission MidAtlantic Indiana, Inc.</v>
      </c>
    </row>
    <row r="4" spans="3:3" ht="15.5">
      <c r="C4" s="657"/>
    </row>
    <row r="5" spans="1:4" ht="15.5">
      <c r="A5" s="658"/>
      <c r="B5" s="659" t="s">
        <v>778</v>
      </c>
      <c r="C5" s="660"/>
      <c r="D5" s="661"/>
    </row>
    <row r="6" spans="1:5" s="665" customFormat="1" ht="15.5">
      <c r="A6" s="662"/>
      <c r="B6" s="663" t="s">
        <v>536</v>
      </c>
      <c r="C6" s="664"/>
      <c r="D6" s="663" t="s">
        <v>537</v>
      </c>
      <c r="E6" s="663"/>
    </row>
    <row r="7" spans="1:4" ht="15.5">
      <c r="A7" s="658"/>
      <c r="B7" s="666"/>
      <c r="C7" s="666"/>
      <c r="D7" s="667"/>
    </row>
    <row r="8" spans="1:5" ht="15.5">
      <c r="A8" s="668">
        <v>1</v>
      </c>
      <c r="B8" s="481"/>
      <c r="C8" s="669"/>
      <c r="D8" s="670" t="s">
        <v>779</v>
      </c>
      <c r="E8" s="671"/>
    </row>
    <row r="9" spans="1:5" ht="15.5">
      <c r="A9" s="668">
        <v>2</v>
      </c>
      <c r="B9" s="672" t="s">
        <v>780</v>
      </c>
      <c r="C9" s="672"/>
      <c r="D9" s="673">
        <v>0</v>
      </c>
      <c r="E9" s="31"/>
    </row>
    <row r="10" spans="1:5" ht="15.5">
      <c r="A10" s="668">
        <v>3</v>
      </c>
      <c r="B10" s="672" t="s">
        <v>781</v>
      </c>
      <c r="C10" s="672"/>
      <c r="D10" s="673">
        <v>0</v>
      </c>
      <c r="E10" s="31"/>
    </row>
    <row r="11" spans="1:5" ht="15.5">
      <c r="A11" s="668">
        <v>4</v>
      </c>
      <c r="B11" s="672" t="s">
        <v>782</v>
      </c>
      <c r="C11" s="672"/>
      <c r="D11" s="116">
        <f>IF(D9=0,0,D9/D10)</f>
        <v>0</v>
      </c>
      <c r="E11" s="31"/>
    </row>
    <row r="12" spans="1:5" ht="15.5">
      <c r="A12" s="668">
        <v>5</v>
      </c>
      <c r="B12" s="672" t="s">
        <v>783</v>
      </c>
      <c r="C12" s="672"/>
      <c r="D12" s="674">
        <v>0</v>
      </c>
      <c r="E12" s="31"/>
    </row>
    <row r="13" spans="1:5" ht="15.5">
      <c r="A13" s="668">
        <v>6</v>
      </c>
      <c r="B13" s="672" t="s">
        <v>784</v>
      </c>
      <c r="C13" s="672" t="s">
        <v>785</v>
      </c>
      <c r="D13" s="675">
        <f>D11*D12</f>
        <v>0</v>
      </c>
      <c r="E13" s="31"/>
    </row>
    <row r="14" spans="1:5" ht="15.5">
      <c r="A14" s="668">
        <v>7</v>
      </c>
      <c r="B14" s="672" t="s">
        <v>786</v>
      </c>
      <c r="C14" s="672"/>
      <c r="D14" s="675"/>
      <c r="E14" s="31"/>
    </row>
    <row r="15" spans="1:5" ht="15.5">
      <c r="A15" s="481"/>
      <c r="B15" s="481"/>
      <c r="C15" s="3"/>
      <c r="D15" s="3"/>
      <c r="E15" s="3"/>
    </row>
    <row r="16" spans="1:5" ht="26.5">
      <c r="A16" s="463">
        <v>8</v>
      </c>
      <c r="B16" s="676" t="s">
        <v>787</v>
      </c>
      <c r="C16" s="3"/>
      <c r="D16" s="677"/>
      <c r="E16" s="50"/>
    </row>
    <row r="17" ht="15.5"/>
    <row r="18" spans="1:13" ht="15.5">
      <c r="A18" s="678" t="s">
        <v>280</v>
      </c>
      <c r="B18" s="678"/>
      <c r="C18" s="215"/>
      <c r="D18" s="215"/>
      <c r="E18" s="215"/>
      <c r="F18" s="215"/>
      <c r="G18" s="215"/>
      <c r="H18" s="215"/>
      <c r="I18" s="215"/>
      <c r="J18" s="215"/>
      <c r="K18" s="215"/>
      <c r="L18" s="215"/>
      <c r="M18" s="215"/>
    </row>
    <row r="19" spans="1:13" ht="16" thickBot="1">
      <c r="A19" s="679" t="s">
        <v>281</v>
      </c>
      <c r="B19" s="678"/>
      <c r="C19" s="215"/>
      <c r="D19" s="215"/>
      <c r="E19" s="215"/>
      <c r="F19" s="215"/>
      <c r="G19" s="215"/>
      <c r="H19" s="215"/>
      <c r="I19" s="215"/>
      <c r="J19" s="215"/>
      <c r="K19" s="215"/>
      <c r="L19" s="215"/>
      <c r="M19" s="215"/>
    </row>
    <row r="20" spans="1:13" ht="15.5">
      <c r="A20" s="680" t="s">
        <v>431</v>
      </c>
      <c r="B20" s="681" t="s">
        <v>788</v>
      </c>
      <c r="C20" s="682"/>
      <c r="D20" s="682"/>
      <c r="E20" s="682"/>
      <c r="F20" s="682"/>
      <c r="G20" s="682"/>
      <c r="H20" s="683"/>
      <c r="I20" s="683"/>
      <c r="J20" s="683"/>
      <c r="K20" s="683"/>
      <c r="L20" s="683"/>
      <c r="M20" s="683"/>
    </row>
    <row r="21" spans="1:7" ht="15.5">
      <c r="A21" s="684"/>
      <c r="B21" s="685"/>
      <c r="C21" s="685"/>
      <c r="D21" s="685"/>
      <c r="E21" s="685"/>
      <c r="F21" s="686"/>
      <c r="G21" s="686"/>
    </row>
    <row r="22" spans="1:7" ht="15.5">
      <c r="A22" s="686"/>
      <c r="B22" s="686"/>
      <c r="C22" s="686"/>
      <c r="D22" s="686"/>
      <c r="E22" s="686"/>
      <c r="F22" s="686"/>
      <c r="G22" s="686"/>
    </row>
    <row r="68" ht="24" customHeight="1"/>
  </sheetData>
  <pageMargins left="0.7" right="0.7" top="0.75" bottom="0.75" header="0.3" footer="0.3"/>
  <pageSetup orientation="portrait" scale="10"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Siti, Jeffrey</cp:lastModifiedBy>
  <dcterms:created xsi:type="dcterms:W3CDTF">2020-11-16T18:38:37Z</dcterms:created>
  <dcterms:modified xsi:type="dcterms:W3CDTF">2020-11-16T18:38:39Z</dcterms:modified>
  <cp:category/>
</cp:coreProperties>
</file>