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E:\FORMULA TRANSMISSION RATES TRANSOURCE\Pennsylvania\2024 True Up\Filing Documents\Source Data\"/>
    </mc:Choice>
  </mc:AlternateContent>
  <xr:revisionPtr revIDLastSave="0" documentId="8_{392B046A-66BE-4893-AE89-988487D7A69C}" xr6:coauthVersionLast="47" xr6:coauthVersionMax="47" xr10:uidLastSave="{00000000-0000-0000-0000-000000000000}"/>
  <bookViews>
    <workbookView xWindow="-90" yWindow="-16320" windowWidth="29040" windowHeight="15720" tabRatio="862" xr2:uid="{00000000-000D-0000-FFFF-FFFF00000000}"/>
  </bookViews>
  <sheets>
    <sheet name="Attachment H-29A" sheetId="1" r:id="rId1"/>
    <sheet name="1-Project Rev Req" sheetId="2" r:id="rId2"/>
    <sheet name="2-Incentive ROE" sheetId="3" r:id="rId3"/>
    <sheet name="3-Project True-up" sheetId="4" r:id="rId4"/>
    <sheet name="4- Rate Base" sheetId="5" r:id="rId5"/>
    <sheet name="4a - ADIT Average Balances" sheetId="26" r:id="rId6"/>
    <sheet name="4b - ADIT Beginning Ending" sheetId="27" r:id="rId7"/>
    <sheet name="4c - ADIT Proration" sheetId="28" r:id="rId8"/>
    <sheet name="4d - ADIT Amortization" sheetId="29" r:id="rId9"/>
    <sheet name="4e - Tax Remeasurement" sheetId="30" r:id="rId10"/>
    <sheet name="5-Return" sheetId="6" r:id="rId11"/>
    <sheet name="6 - True-Up Interest" sheetId="7" r:id="rId12"/>
    <sheet name="6a - True-up Interest Rate" sheetId="8" r:id="rId13"/>
    <sheet name="7 - PBOP" sheetId="9" r:id="rId14"/>
    <sheet name="8-Construction Debt" sheetId="10" r:id="rId15"/>
    <sheet name="9- Cost of Debt True-up" sheetId="11" r:id="rId16"/>
    <sheet name="10 -Depreciation Rates" sheetId="12" r:id="rId17"/>
    <sheet name="11-Corrections" sheetId="13" r:id="rId18"/>
    <sheet name="12 - Revenue Credits" sheetId="14" r:id="rId19"/>
    <sheet name="13 - 30.9 credits" sheetId="15" r:id="rId20"/>
  </sheets>
  <definedNames>
    <definedName name="___INDEX_SHEET___ASAP_Utilities" localSheetId="9">#REF!</definedName>
    <definedName name="___INDEX_SHEET___ASAP_Utilities">#REF!</definedName>
    <definedName name="___WSH7" localSheetId="9">#REF!</definedName>
    <definedName name="___WSH7">#REF!</definedName>
    <definedName name="__WSH7" localSheetId="9">#REF!</definedName>
    <definedName name="__WSH7">#REF!</definedName>
    <definedName name="_1E_1">#N/A</definedName>
    <definedName name="_31_Dec_00" localSheetId="9">#REF!</definedName>
    <definedName name="_31_Dec_00">#REF!</definedName>
    <definedName name="_31_Jan_01" localSheetId="9">#REF!</definedName>
    <definedName name="_31_Jan_01">#REF!</definedName>
    <definedName name="_AMO_UniqueIdentifier" hidden="1">"'8403d099-e876-4d31-b913-cb2efff0232f'"</definedName>
    <definedName name="_Fill" localSheetId="9" hidden="1">#REF!</definedName>
    <definedName name="_Fill" hidden="1">#REF!</definedName>
    <definedName name="_Key1" localSheetId="9" hidden="1">#REF!</definedName>
    <definedName name="_Key1" hidden="1">#REF!</definedName>
    <definedName name="_Key2" localSheetId="9" hidden="1">#REF!</definedName>
    <definedName name="_Key2" hidden="1">#REF!</definedName>
    <definedName name="_Order1" localSheetId="6" hidden="1">0</definedName>
    <definedName name="_Order1" hidden="1">255</definedName>
    <definedName name="_Order2" hidden="1">255</definedName>
    <definedName name="_Parse_Out" localSheetId="9" hidden="1">#REF!</definedName>
    <definedName name="_Parse_Out" hidden="1">#REF!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Sort" localSheetId="9" hidden="1">#REF!</definedName>
    <definedName name="_Sort" hidden="1">#REF!</definedName>
    <definedName name="_WSH7" localSheetId="9">#REF!</definedName>
    <definedName name="_WSH7">#REF!</definedName>
    <definedName name="a" hidden="1">{"MATALL",#N/A,FALSE,"Sheet4";"matclass",#N/A,FALSE,"Sheet4"}</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wvu.OP." localSheetId="9" hidden="1">#REF!</definedName>
    <definedName name="ACwvu.OP." hidden="1">#REF!</definedName>
    <definedName name="Alloc02" localSheetId="9">#REF!</definedName>
    <definedName name="Alloc02">#REF!</definedName>
    <definedName name="Alloc03" localSheetId="9">#REF!</definedName>
    <definedName name="Alloc03">#REF!</definedName>
    <definedName name="AllocTY" localSheetId="9">#REF!</definedName>
    <definedName name="AllocTY">#REF!</definedName>
    <definedName name="anscount" hidden="1">1</definedName>
    <definedName name="Arkansas" localSheetId="9">#REF!</definedName>
    <definedName name="Arkansas">#REF!</definedName>
    <definedName name="AS2DocOpenMode" hidden="1">"AS2DocumentEdit"</definedName>
    <definedName name="Balances" localSheetId="9">#REF!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lank" localSheetId="7" hidden="1">{"ARK_JURIS_FUEL",#N/A,FALSE,"Ark_Fuel&amp;Rev"}</definedName>
    <definedName name="Blank" localSheetId="8" hidden="1">{"ARK_JURIS_FUEL",#N/A,FALSE,"Ark_Fuel&amp;Rev"}</definedName>
    <definedName name="Blank" localSheetId="9" hidden="1">{"ARK_JURIS_FUEL",#N/A,FALSE,"Ark_Fuel&amp;Rev"}</definedName>
    <definedName name="Blank" hidden="1">{"ARK_JURIS_FUEL",#N/A,FALSE,"Ark_Fuel&amp;Rev"}</definedName>
    <definedName name="can" hidden="1">{#N/A,#N/A,FALSE,"O&amp;M by processes";#N/A,#N/A,FALSE,"Elec Act vs Bud";#N/A,#N/A,FALSE,"G&amp;A";#N/A,#N/A,FALSE,"BGS";#N/A,#N/A,FALSE,"Res Cost"}</definedName>
    <definedName name="CapAlloc" localSheetId="9">#REF!</definedName>
    <definedName name="CapAlloc">#REF!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9">#REF!</definedName>
    <definedName name="CH_COS">#REF!</definedName>
    <definedName name="CoCode0100" localSheetId="9">#REF!</definedName>
    <definedName name="CoCode0100">#REF!</definedName>
    <definedName name="CoCode0200" localSheetId="9">#REF!</definedName>
    <definedName name="CoCode0200">#REF!</definedName>
    <definedName name="CoCode0400" localSheetId="9">#REF!</definedName>
    <definedName name="CoCode0400">#REF!</definedName>
    <definedName name="CoCode0500" localSheetId="9">#REF!</definedName>
    <definedName name="CoCode0500">#REF!</definedName>
    <definedName name="Columns" localSheetId="9">#REF!</definedName>
    <definedName name="Columns">#REF!</definedName>
    <definedName name="CONOCO_FAC" localSheetId="9">#REF!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p_by_group" localSheetId="9">#REF!</definedName>
    <definedName name="cp_by_group">#REF!</definedName>
    <definedName name="cp_by_serv_level" localSheetId="9">#REF!</definedName>
    <definedName name="cp_by_serv_level">#REF!</definedName>
    <definedName name="cp_input_area" localSheetId="9">#REF!</definedName>
    <definedName name="cp_input_area">#REF!</definedName>
    <definedName name="Current_sum" localSheetId="9">#REF!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efaultCopy" localSheetId="9">#REF!</definedName>
    <definedName name="DefaultCopy">#REF!</definedName>
    <definedName name="DefaultPaste" localSheetId="9">#REF!</definedName>
    <definedName name="DefaultPaste">#REF!</definedName>
    <definedName name="delete" hidden="1">{#N/A,#N/A,FALSE,"CURRENT"}</definedName>
    <definedName name="detail" localSheetId="9">#REF!</definedName>
    <definedName name="detail">#REF!</definedName>
    <definedName name="dg" localSheetId="9">#REF!</definedName>
    <definedName name="dg">#REF!</definedName>
    <definedName name="dsfds" localSheetId="9" hidden="1">#REF!</definedName>
    <definedName name="dsfds" hidden="1">#REF!</definedName>
    <definedName name="eeee" hidden="1">{#N/A,#N/A,FALSE,"O&amp;M by processes";#N/A,#N/A,FALSE,"Elec Act vs Bud";#N/A,#N/A,FALSE,"G&amp;A";#N/A,#N/A,FALSE,"BGS";#N/A,#N/A,FALSE,"Res Cost"}</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localSheetId="9"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ror" localSheetId="9">#REF!</definedName>
    <definedName name="error">#REF!</definedName>
    <definedName name="EV__LASTREFTIME__" hidden="1">39826.8319444444</definedName>
    <definedName name="FED" localSheetId="9">#REF!</definedName>
    <definedName name="FED">#REF!</definedName>
    <definedName name="g" localSheetId="9">#REF!</definedName>
    <definedName name="g">#REF!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#REF!</definedName>
    <definedName name="haha" localSheetId="7" hidden="1">{"OMPA_FAC",#N/A,FALSE,"OMPA FAC"}</definedName>
    <definedName name="haha" localSheetId="8" hidden="1">{"OMPA_FAC",#N/A,FALSE,"OMPA FAC"}</definedName>
    <definedName name="haha" localSheetId="9" hidden="1">{"OMPA_FAC",#N/A,FALSE,"OMPA FAC"}</definedName>
    <definedName name="haha" hidden="1">{"OMPA_FAC",#N/A,FALSE,"OMPA FAC"}</definedName>
    <definedName name="HEADA" localSheetId="9">#REF!</definedName>
    <definedName name="HEADA">#REF!</definedName>
    <definedName name="HEADB" localSheetId="9">#REF!</definedName>
    <definedName name="HEADB">#REF!</definedName>
    <definedName name="HEADC" localSheetId="9">#REF!</definedName>
    <definedName name="HEADC">#REF!</definedName>
    <definedName name="HEADD" localSheetId="9">#REF!</definedName>
    <definedName name="HEADD">#REF!</definedName>
    <definedName name="itc" localSheetId="9">#REF!</definedName>
    <definedName name="itc">#REF!</definedName>
    <definedName name="kk" localSheetId="9">#REF!</definedName>
    <definedName name="kk">#REF!</definedName>
    <definedName name="limcount" hidden="1">1</definedName>
    <definedName name="MED" localSheetId="9">#REF!</definedName>
    <definedName name="MED">#REF!</definedName>
    <definedName name="MEDICARE" localSheetId="9">#REF!</definedName>
    <definedName name="MEDICARE">#REF!</definedName>
    <definedName name="Mgmt" localSheetId="9">#REF!</definedName>
    <definedName name="Mgmt">#REF!</definedName>
    <definedName name="MonthlyAdj" localSheetId="9">#REF!</definedName>
    <definedName name="MonthlyAdj">#REF!</definedName>
    <definedName name="MonthlyDetail" localSheetId="9">#REF!</definedName>
    <definedName name="MonthlyDetail">#REF!</definedName>
    <definedName name="months">#REF!</definedName>
    <definedName name="new" localSheetId="9">#REF!</definedName>
    <definedName name="new">#REF!</definedName>
    <definedName name="NP" localSheetId="9">#REF!</definedName>
    <definedName name="NP">#REF!</definedName>
    <definedName name="NSP_COS" localSheetId="9">#REF!</definedName>
    <definedName name="NSP_COS">#REF!</definedName>
    <definedName name="OASDI" localSheetId="9">#REF!</definedName>
    <definedName name="OASDI">#REF!</definedName>
    <definedName name="OCT" localSheetId="9">#REF!</definedName>
    <definedName name="OCT">#REF!</definedName>
    <definedName name="Oklahoma" localSheetId="9">#REF!</definedName>
    <definedName name="Oklahoma">#REF!</definedName>
    <definedName name="PAGEA" localSheetId="9">#REF!</definedName>
    <definedName name="PAGEA">#REF!</definedName>
    <definedName name="PAGEB" localSheetId="9">#REF!</definedName>
    <definedName name="PAGEB">#REF!</definedName>
    <definedName name="PAGEC" localSheetId="9">#REF!</definedName>
    <definedName name="PAGEC">#REF!</definedName>
    <definedName name="PAGED" localSheetId="9">#REF!</definedName>
    <definedName name="PAGED">#REF!</definedName>
    <definedName name="Percent" localSheetId="9">#REF!</definedName>
    <definedName name="Percent">#REF!</definedName>
    <definedName name="plus_pmts" localSheetId="9">#REF!</definedName>
    <definedName name="plus_pmts">#REF!</definedName>
    <definedName name="print" localSheetId="9">#REF!</definedName>
    <definedName name="print">#REF!</definedName>
    <definedName name="print_all" localSheetId="9">#REF!</definedName>
    <definedName name="print_all">#REF!</definedName>
    <definedName name="print_all_D_1" localSheetId="9">#REF!</definedName>
    <definedName name="print_all_D_1">#REF!</definedName>
    <definedName name="_xlnm.Print_Area" localSheetId="17">'11-Corrections'!$A$1:$G$35</definedName>
    <definedName name="_xlnm.Print_Area" localSheetId="18">'12 - Revenue Credits'!$A$1:$G$42</definedName>
    <definedName name="_xlnm.Print_Area" localSheetId="19">'13 - 30.9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 - ADIT Average Balances'!$A$1:$J$169</definedName>
    <definedName name="_xlnm.Print_Area" localSheetId="6">'4b - ADIT Beginning Ending'!$A$1:$H$155</definedName>
    <definedName name="_xlnm.Print_Area" localSheetId="7">'4c - ADIT Proration'!$A$1:$K$129</definedName>
    <definedName name="_xlnm.Print_Area" localSheetId="8">'4d - ADIT Amortization'!$A$1:$L$100</definedName>
    <definedName name="_xlnm.Print_Area" localSheetId="9">'4e - Tax Remeasurement'!$A$1:$J$45</definedName>
    <definedName name="_xlnm.Print_Area" localSheetId="10">'5-Return'!$A$1:$L$47</definedName>
    <definedName name="_xlnm.Print_Area" localSheetId="12">'6a - True-up Interest Rate'!$A$1:$H$35</definedName>
    <definedName name="_xlnm.Print_Area" localSheetId="14">'8-Construction Debt'!$A$1:$J$60</definedName>
    <definedName name="_xlnm.Print_Area" localSheetId="15">'9- Cost of Debt True-up'!$A$1:$G$39</definedName>
    <definedName name="_xlnm.Print_Area" localSheetId="0">'Attachment H-29A'!$A$1:$J$249</definedName>
    <definedName name="_xlnm.Print_Area">#REF!</definedName>
    <definedName name="PRINT_AREA_MI" localSheetId="9">#REF!</definedName>
    <definedName name="PRINT_AREA_MI">#REF!</definedName>
    <definedName name="print_sch" localSheetId="9">#REF!</definedName>
    <definedName name="print_sch">#REF!</definedName>
    <definedName name="Print1" localSheetId="9">#REF!</definedName>
    <definedName name="Print1">#REF!</definedName>
    <definedName name="Print3" localSheetId="9">#REF!</definedName>
    <definedName name="Print3">#REF!</definedName>
    <definedName name="Print4" localSheetId="9">#REF!</definedName>
    <definedName name="Print4">#REF!</definedName>
    <definedName name="Print5" localSheetId="9">#REF!</definedName>
    <definedName name="Print5">#REF!</definedName>
    <definedName name="ProjIDList" localSheetId="9">#REF!</definedName>
    <definedName name="ProjIDList">#REF!</definedName>
    <definedName name="PSCo_COS" localSheetId="9">#REF!</definedName>
    <definedName name="PSCo_COS">#REF!</definedName>
    <definedName name="py_cent" localSheetId="9">#REF!</definedName>
    <definedName name="py_cent">#REF!</definedName>
    <definedName name="py_clint" localSheetId="9">#REF!</definedName>
    <definedName name="py_clint">#REF!</definedName>
    <definedName name="py_eec" localSheetId="9">#REF!</definedName>
    <definedName name="py_eec">#REF!</definedName>
    <definedName name="py_ei" localSheetId="9">#REF!</definedName>
    <definedName name="py_ei">#REF!</definedName>
    <definedName name="py_engl" localSheetId="9">#REF!</definedName>
    <definedName name="py_engl">#REF!</definedName>
    <definedName name="py_epc" localSheetId="9">#REF!</definedName>
    <definedName name="py_epc">#REF!</definedName>
    <definedName name="py_esc" localSheetId="9">#REF!</definedName>
    <definedName name="py_esc">#REF!</definedName>
    <definedName name="q" localSheetId="7" hidden="1">{"MATALL",#N/A,FALSE,"Sheet4";"matclass",#N/A,FALSE,"Sheet4"}</definedName>
    <definedName name="q" localSheetId="8" hidden="1">{"MATALL",#N/A,FALSE,"Sheet4";"matclass",#N/A,FALSE,"Sheet4"}</definedName>
    <definedName name="q" localSheetId="9" hidden="1">{"MATALL",#N/A,FALSE,"Sheet4";"matclass",#N/A,FALSE,"Sheet4"}</definedName>
    <definedName name="q" hidden="1">{"MATALL",#N/A,FALSE,"Sheet4";"matclass",#N/A,FALSE,"Sheet4"}</definedName>
    <definedName name="q_MTEP06_App_AB_Facility" localSheetId="9">#REF!</definedName>
    <definedName name="q_MTEP06_App_AB_Facility">#REF!</definedName>
    <definedName name="q_MTEP06_App_AB_Projects" localSheetId="9">#REF!</definedName>
    <definedName name="q_MTEP06_App_AB_Projects">#REF!</definedName>
    <definedName name="revreq" localSheetId="9">#REF!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imoutaneous" localSheetId="9">#REF!</definedName>
    <definedName name="simoutaneous">#REF!</definedName>
    <definedName name="solver_adj" localSheetId="14" hidden="1">'8-Construction Debt'!#REF!</definedName>
    <definedName name="solver_adj" localSheetId="15" hidden="1">'9- Cost of Debt True-up'!#REF!</definedName>
    <definedName name="solver_cvg" localSheetId="14" hidden="1">0.0001</definedName>
    <definedName name="solver_cvg" localSheetId="15" hidden="1">0.0001</definedName>
    <definedName name="solver_drv" localSheetId="14" hidden="1">1</definedName>
    <definedName name="solver_drv" localSheetId="15" hidden="1">1</definedName>
    <definedName name="solver_eng" localSheetId="14" hidden="1">1</definedName>
    <definedName name="solver_eng" localSheetId="15" hidden="1">1</definedName>
    <definedName name="solver_est" localSheetId="14" hidden="1">1</definedName>
    <definedName name="solver_est" localSheetId="15" hidden="1">1</definedName>
    <definedName name="solver_itr" localSheetId="14" hidden="1">2147483647</definedName>
    <definedName name="solver_itr" localSheetId="15" hidden="1">2147483647</definedName>
    <definedName name="solver_mip" localSheetId="14" hidden="1">2147483647</definedName>
    <definedName name="solver_mip" localSheetId="15" hidden="1">2147483647</definedName>
    <definedName name="solver_mni" localSheetId="14" hidden="1">30</definedName>
    <definedName name="solver_mni" localSheetId="15" hidden="1">30</definedName>
    <definedName name="solver_mrt" localSheetId="14" hidden="1">0.075</definedName>
    <definedName name="solver_mrt" localSheetId="15" hidden="1">0.075</definedName>
    <definedName name="solver_msl" localSheetId="14" hidden="1">2</definedName>
    <definedName name="solver_msl" localSheetId="15" hidden="1">2</definedName>
    <definedName name="solver_neg" localSheetId="14" hidden="1">1</definedName>
    <definedName name="solver_neg" localSheetId="15" hidden="1">1</definedName>
    <definedName name="solver_nod" localSheetId="14" hidden="1">2147483647</definedName>
    <definedName name="solver_nod" localSheetId="15" hidden="1">2147483647</definedName>
    <definedName name="solver_num" localSheetId="14" hidden="1">0</definedName>
    <definedName name="solver_num" localSheetId="15" hidden="1">0</definedName>
    <definedName name="solver_nwt" localSheetId="14" hidden="1">1</definedName>
    <definedName name="solver_nwt" localSheetId="15" hidden="1">1</definedName>
    <definedName name="solver_opt" localSheetId="14" hidden="1">'8-Construction Debt'!#REF!</definedName>
    <definedName name="solver_opt" localSheetId="15" hidden="1">'9- Cost of Debt True-up'!#REF!</definedName>
    <definedName name="solver_pre" localSheetId="14" hidden="1">0.000001</definedName>
    <definedName name="solver_pre" localSheetId="15" hidden="1">0.000001</definedName>
    <definedName name="solver_rbv" localSheetId="14" hidden="1">1</definedName>
    <definedName name="solver_rbv" localSheetId="15" hidden="1">1</definedName>
    <definedName name="solver_rlx" localSheetId="14" hidden="1">2</definedName>
    <definedName name="solver_rlx" localSheetId="15" hidden="1">2</definedName>
    <definedName name="solver_rsd" localSheetId="14" hidden="1">0</definedName>
    <definedName name="solver_rsd" localSheetId="15" hidden="1">0</definedName>
    <definedName name="solver_scl" localSheetId="14" hidden="1">1</definedName>
    <definedName name="solver_scl" localSheetId="15" hidden="1">1</definedName>
    <definedName name="solver_sho" localSheetId="14" hidden="1">2</definedName>
    <definedName name="solver_sho" localSheetId="15" hidden="1">2</definedName>
    <definedName name="solver_ssz" localSheetId="14" hidden="1">100</definedName>
    <definedName name="solver_ssz" localSheetId="15" hidden="1">100</definedName>
    <definedName name="solver_tim" localSheetId="14" hidden="1">2147483647</definedName>
    <definedName name="solver_tim" localSheetId="15" hidden="1">2147483647</definedName>
    <definedName name="solver_tol" localSheetId="14" hidden="1">0.01</definedName>
    <definedName name="solver_tol" localSheetId="15" hidden="1">0.01</definedName>
    <definedName name="solver_typ" localSheetId="14" hidden="1">3</definedName>
    <definedName name="solver_typ" localSheetId="15" hidden="1">3</definedName>
    <definedName name="solver_val" localSheetId="14" hidden="1">200000000</definedName>
    <definedName name="solver_val" localSheetId="15" hidden="1">200000000</definedName>
    <definedName name="solver_ver" localSheetId="14" hidden="1">3</definedName>
    <definedName name="solver_ver" localSheetId="15" hidden="1">3</definedName>
    <definedName name="SPS_COS" localSheetId="9">#REF!</definedName>
    <definedName name="SPS_COS">#REF!</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E" localSheetId="9">#REF!</definedName>
    <definedName name="STATE">#REF!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vu.OP." localSheetId="9" hidden="1">#REF!</definedName>
    <definedName name="Swvu.OP." hidden="1">#REF!</definedName>
    <definedName name="taxcalc" localSheetId="9">#REF!</definedName>
    <definedName name="taxcalc">#REF!</definedName>
    <definedName name="test" localSheetId="6" hidden="1">{"ARK_JURIS_FUEL",#N/A,FALSE,"Ark_Fuel&amp;Rev"}</definedName>
    <definedName name="TEST" localSheetId="7" hidden="1">{TRUE,TRUE,-1.25,-15.5,484.5,279.75,FALSE,FALSE,TRUE,TRUE,0,3,#N/A,1,#N/A,6.54545454545454,15.55,1,FALSE,FALSE,3,TRUE,1,FALSE,100,"Swvu.WP1.","ACwvu.WP1.",1,FALSE,FALSE,0.25,0.25,0.25,0.25,1,"","&amp;L&amp;D &amp;T NBW&amp;C&amp;P&amp;R&amp;F",FALSE,FALSE,FALSE,FALSE,1,100,#N/A,#N/A,FALSE,FALSE,#N/A,#N/A,FALSE,FALSE}</definedName>
    <definedName name="TEST" localSheetId="8" hidden="1">{TRUE,TRUE,-1.25,-15.5,484.5,279.75,FALSE,FALSE,TRUE,TRUE,0,3,#N/A,1,#N/A,6.54545454545454,15.55,1,FALSE,FALSE,3,TRUE,1,FALSE,100,"Swvu.WP1.","ACwvu.WP1.",1,FALSE,FALSE,0.25,0.25,0.25,0.25,1,"","&amp;L&amp;D &amp;T NBW&amp;C&amp;P&amp;R&amp;F",FALSE,FALSE,FALSE,FALSE,1,100,#N/A,#N/A,FALSE,FALSE,#N/A,#N/A,FALSE,FALSE}</definedName>
    <definedName name="TEST" localSheetId="9" hidden="1">{TRUE,TRUE,-1.25,-15.5,484.5,279.75,FALSE,FALSE,TRUE,TRUE,0,3,#N/A,1,#N/A,6.54545454545454,15.55,1,FALSE,FALSE,3,TRUE,1,FALSE,100,"Swvu.WP1.","ACwvu.WP1.",1,FALSE,FALSE,0.25,0.25,0.25,0.25,1,"","&amp;L&amp;D &amp;T NBW&amp;C&amp;P&amp;R&amp;F",FALSE,FALSE,FALSE,FALSE,1,100,#N/A,#N/A,FALSE,FALSE,#N/A,#N/A,FALSE,FALSE}</definedName>
    <definedName name="TEST" hidden="1">{TRUE,TRUE,-1.25,-15.5,484.5,279.75,FALSE,FALSE,TRUE,TRUE,0,3,#N/A,1,#N/A,6.54545454545454,15.55,1,FALSE,FALSE,3,TRUE,1,FALSE,100,"Swvu.WP1.","ACwvu.WP1.",1,FALSE,FALSE,0.25,0.25,0.25,0.25,1,"","&amp;L&amp;D &amp;T NBW&amp;C&amp;P&amp;R&amp;F",FALSE,FALSE,FALSE,FALSE,1,100,#N/A,#N/A,FALSE,FALSE,#N/A,#N/A,FALSE,FALSE}</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9">#REF!</definedName>
    <definedName name="Tota_Deferred">#REF!</definedName>
    <definedName name="Total" localSheetId="9">#REF!</definedName>
    <definedName name="Total">#REF!</definedName>
    <definedName name="tp" localSheetId="9">#REF!</definedName>
    <definedName name="tp">#REF!</definedName>
    <definedName name="w" localSheetId="7" hidden="1">{"MATALL",#N/A,FALSE,"Sheet4";"matclass",#N/A,FALSE,"Sheet4"}</definedName>
    <definedName name="w" localSheetId="8" hidden="1">{"MATALL",#N/A,FALSE,"Sheet4";"matclass",#N/A,FALSE,"Sheet4"}</definedName>
    <definedName name="w" localSheetId="9" hidden="1">{"MATALL",#N/A,FALSE,"Sheet4";"matclass",#N/A,FALSE,"Sheet4"}</definedName>
    <definedName name="w" hidden="1">{"MATALL",#N/A,FALSE,"Sheet4";"matclass",#N/A,FALSE,"Sheet4"}</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localSheetId="9" hidden="1">{"WCCWCLL",#N/A,FALSE,"Sheet3";"PP",#N/A,FALSE,"Sheet3";"MAT1",#N/A,FALSE,"Sheet3";"MAT2",#N/A,FALSE,"Sheet3"}</definedName>
    <definedName name="WORKCAPa" hidden="1">{"WCCWCLL",#N/A,FALSE,"Sheet3";"PP",#N/A,FALSE,"Sheet3";"MAT1",#N/A,FALSE,"Sheet3";"MAT2",#N/A,FALSE,"Sheet3"}</definedName>
    <definedName name="wrn" hidden="1">{#N/A,#N/A,FALSE,"O&amp;M by processes";#N/A,#N/A,FALSE,"Elec Act vs Bud";#N/A,#N/A,FALSE,"G&amp;A";#N/A,#N/A,FALSE,"BGS";#N/A,#N/A,FALSE,"Res Cost"}</definedName>
    <definedName name="wrn.2006._.Rate._.Case." localSheetId="7" hidden="1">{"DAB-1, Sch 21, Pg 1",#N/A,FALSE,"ELEC ENERGY";"DAB-1, Sch 21, Pg 2",#N/A,FALSE,"RTPDenverWater";"DAB-1, Sch 21, Pg 3",#N/A,FALSE,"INCREMENTAL - WHOLESALE"}</definedName>
    <definedName name="wrn.2006._.Rate._.Case." localSheetId="8" hidden="1">{"DAB-1, Sch 21, Pg 1",#N/A,FALSE,"ELEC ENERGY";"DAB-1, Sch 21, Pg 2",#N/A,FALSE,"RTPDenverWater";"DAB-1, Sch 21, Pg 3",#N/A,FALSE,"INCREMENTAL - WHOLESALE"}</definedName>
    <definedName name="wrn.2006._.Rate._.Case." localSheetId="9" hidden="1">{"DAB-1, Sch 21, Pg 1",#N/A,FALSE,"ELEC ENERGY";"DAB-1, Sch 21, Pg 2",#N/A,FALSE,"RTPDenverWater";"DAB-1, Sch 21, Pg 3",#N/A,FALSE,"INCREMENTAL - WHOLESALE"}</definedName>
    <definedName name="wrn.2006._.Rate._.Case." hidden="1">{"DAB-1, Sch 21, Pg 1",#N/A,FALSE,"ELEC ENERGY";"DAB-1, Sch 21, Pg 2",#N/A,FALSE,"RTPDenverWater";"DAB-1, Sch 21, Pg 3",#N/A,FALSE,"INCREMENTAL - WHOLESALE"}</definedName>
    <definedName name="wrn.722." hidden="1">{#N/A,#N/A,FALSE,"CURRENT"}</definedName>
    <definedName name="wrn.AGT." hidden="1">{"AGT",#N/A,FALSE,"Revenue"}</definedName>
    <definedName name="wrn.ARK._.JURIS._.FAC._.CALC." localSheetId="7" hidden="1">{"ARK_JURIS_FAC",#N/A,FALSE,"Ark_Fuel&amp;Rev"}</definedName>
    <definedName name="wrn.ARK._.JURIS._.FAC._.CALC." localSheetId="8" hidden="1">{"ARK_JURIS_FAC",#N/A,FALSE,"Ark_Fuel&amp;Rev"}</definedName>
    <definedName name="wrn.ARK._.JURIS._.FAC._.CALC." localSheetId="9" hidden="1">{"ARK_JURIS_FAC",#N/A,FALSE,"Ark_Fuel&amp;Rev"}</definedName>
    <definedName name="wrn.ARK._.JURIS._.FAC._.CALC." hidden="1">{"ARK_JURIS_FAC",#N/A,FALSE,"Ark_Fuel&amp;Rev"}</definedName>
    <definedName name="wrn.ARK._.JURIS._.FUEL._.COST." localSheetId="7" hidden="1">{"ARK_JURIS_FUEL",#N/A,FALSE,"Ark_Fuel&amp;Rev"}</definedName>
    <definedName name="wrn.ARK._.JURIS._.FUEL._.COST." localSheetId="8" hidden="1">{"ARK_JURIS_FUEL",#N/A,FALSE,"Ark_Fuel&amp;Rev"}</definedName>
    <definedName name="wrn.ARK._.JURIS._.FUEL._.COST." localSheetId="9" hidden="1">{"ARK_JURIS_FUEL",#N/A,FALSE,"Ark_Fuel&amp;Rev"}</definedName>
    <definedName name="wrn.ARK._.JURIS._.FUEL._.COST." hidden="1">{"ARK_JURIS_FUEL",#N/A,FALSE,"Ark_Fuel&amp;Rev"}</definedName>
    <definedName name="wrn.ATOKA._.FAC._.CALC." localSheetId="7" hidden="1">{"ATOKA_FAC",#N/A,FALSE,"Atoka"}</definedName>
    <definedName name="wrn.ATOKA._.FAC._.CALC." localSheetId="8" hidden="1">{"ATOKA_FAC",#N/A,FALSE,"Atoka"}</definedName>
    <definedName name="wrn.ATOKA._.FAC._.CALC." localSheetId="9" hidden="1">{"ATOKA_FAC",#N/A,FALSE,"Atoka"}</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ONOCO._.FAC." localSheetId="7" hidden="1">{"CONOCO_FAC",#N/A,FALSE,"Conoco FAC"}</definedName>
    <definedName name="wrn.CONOCO._.FAC." localSheetId="8" hidden="1">{"CONOCO_FAC",#N/A,FALSE,"Conoco FAC"}</definedName>
    <definedName name="wrn.CONOCO._.FAC." localSheetId="9" hidden="1">{"CONOCO_FAC",#N/A,FALSE,"Conoco FAC"}</definedName>
    <definedName name="wrn.CONOCO._.FAC." hidden="1">{"CONOCO_FAC",#N/A,FALSE,"Conoco FAC"}</definedName>
    <definedName name="wrn.cwip." localSheetId="7" hidden="1">{"CWIP2",#N/A,FALSE,"CWIP";"CWIP3",#N/A,FALSE,"CWIP"}</definedName>
    <definedName name="wrn.cwip." localSheetId="8" hidden="1">{"CWIP2",#N/A,FALSE,"CWIP";"CWIP3",#N/A,FALSE,"CWIP"}</definedName>
    <definedName name="wrn.cwip." localSheetId="9"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localSheetId="9" hidden="1">{"CWIP2",#N/A,FALSE,"CWIP";"CWIP3",#N/A,FALSE,"CWIP"}</definedName>
    <definedName name="wrn.cwipa"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9"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T._.Schedules." localSheetId="7" hidden="1">{"ET Schedule 7",#N/A,FALSE,"Plant Adjustments";"ET Schedule 9",#N/A,FALSE,"SterlingStip";"ET Schedule 10",#N/A,FALSE,"Plant Adjustments";"ET Schedule 13",#N/A,FALSE,"Plant Adjustments";"ET Schedule 16",#N/A,FALSE,"DeferredTaxes"}</definedName>
    <definedName name="wrn.ET._.Schedules." localSheetId="8" hidden="1">{"ET Schedule 7",#N/A,FALSE,"Plant Adjustments";"ET Schedule 9",#N/A,FALSE,"SterlingStip";"ET Schedule 10",#N/A,FALSE,"Plant Adjustments";"ET Schedule 13",#N/A,FALSE,"Plant Adjustments";"ET Schedule 16",#N/A,FALSE,"DeferredTaxes"}</definedName>
    <definedName name="wrn.ET._.Schedules." localSheetId="9" hidden="1">{"ET Schedule 7",#N/A,FALSE,"Plant Adjustments";"ET Schedule 9",#N/A,FALSE,"SterlingStip";"ET Schedule 10",#N/A,FALSE,"Plant Adjustments";"ET Schedule 13",#N/A,FALSE,"Plant Adjustments";"ET Schedule 16",#N/A,FALSE,"DeferredTaxes"}</definedName>
    <definedName name="wrn.ET._.Schedules." hidden="1">{"ET Schedule 7",#N/A,FALSE,"Plant Adjustments";"ET Schedule 9",#N/A,FALSE,"SterlingStip";"ET Schedule 10",#N/A,FALSE,"Plant Adjustments";"ET Schedule 13",#N/A,FALSE,"Plant Adjustments";"ET Schedule 16",#N/A,FALSE,"DeferredTaxes"}</definedName>
    <definedName name="wrn.FAC._.SUMMARY." localSheetId="7" hidden="1">{"FAC_SUMMARY",#N/A,FALSE,"Summaries"}</definedName>
    <definedName name="wrn.FAC._.SUMMARY." localSheetId="8" hidden="1">{"FAC_SUMMARY",#N/A,FALSE,"Summaries"}</definedName>
    <definedName name="wrn.FAC._.SUMMARY." localSheetId="9" hidden="1">{"FAC_SUMMARY",#N/A,FALSE,"Summaries"}</definedName>
    <definedName name="wrn.FAC._.SUMMARY." hidden="1">{"FAC_SUMMARY",#N/A,FALSE,"Summaries"}</definedName>
    <definedName name="wrn.FERC._.FAC._.CALC." localSheetId="7" hidden="1">{"FERC_FAC",#N/A,FALSE,"FERC_Fuel&amp;Rev"}</definedName>
    <definedName name="wrn.FERC._.FAC._.CALC." localSheetId="8" hidden="1">{"FERC_FAC",#N/A,FALSE,"FERC_Fuel&amp;Rev"}</definedName>
    <definedName name="wrn.FERC._.FAC._.CALC." localSheetId="9" hidden="1">{"FERC_FAC",#N/A,FALSE,"FERC_Fuel&amp;Rev"}</definedName>
    <definedName name="wrn.FERC._.FAC._.CALC." hidden="1">{"FERC_FAC",#N/A,FALSE,"FERC_Fuel&amp;Rev"}</definedName>
    <definedName name="wrn.FERC._.WEATHER._.and._.JURIS._.FUEL." localSheetId="7" hidden="1">{"FERC_WEATHER_AND_FUEL",#N/A,FALSE,"FERC_Fuel&amp;Rev"}</definedName>
    <definedName name="wrn.FERC._.WEATHER._.and._.JURIS._.FUEL." localSheetId="8" hidden="1">{"FERC_WEATHER_AND_FUEL",#N/A,FALSE,"FERC_Fuel&amp;Rev"}</definedName>
    <definedName name="wrn.FERC._.WEATHER._.and._.JURIS._.FUEL." localSheetId="9" hidden="1">{"FERC_WEATHER_AND_FUEL",#N/A,FALSE,"FERC_Fuel&amp;Rev"}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9"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go." localSheetId="7" hidden="1">{"wp_h4.2",#N/A,FALSE,"WP_H4.2";"wp_h4.3",#N/A,FALSE,"WP_H4.3"}</definedName>
    <definedName name="wrn.go." localSheetId="8" hidden="1">{"wp_h4.2",#N/A,FALSE,"WP_H4.2";"wp_h4.3",#N/A,FALSE,"WP_H4.3"}</definedName>
    <definedName name="wrn.go." localSheetId="9" hidden="1">{"wp_h4.2",#N/A,FALSE,"WP_H4.2";"wp_h4.3",#N/A,FALSE,"WP_H4.3"}</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matdtl." localSheetId="7" hidden="1">{"MATALL",#N/A,FALSE,"Sheet4";"matclass",#N/A,FALSE,"Sheet4"}</definedName>
    <definedName name="wrn.matdtl." localSheetId="8" hidden="1">{"MATALL",#N/A,FALSE,"Sheet4";"matclass",#N/A,FALSE,"Sheet4"}</definedName>
    <definedName name="wrn.matdtl." localSheetId="9"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localSheetId="9" hidden="1">{"MATALL",#N/A,FALSE,"Sheet4";"matclass",#N/A,FALSE,"Sheet4"}</definedName>
    <definedName name="wrn.matdtla" hidden="1">{"MATALL",#N/A,FALSE,"Sheet4";"matclass",#N/A,FALSE,"Sheet4"}</definedName>
    <definedName name="wrn.MFR." localSheetId="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7" hidden="1">{"OK_FUEL_COMPARISON",#N/A,FALSE,"Ok_Fuel&amp;Rev"}</definedName>
    <definedName name="wrn.OK._.FUEL._.COMPARISON." localSheetId="8" hidden="1">{"OK_FUEL_COMPARISON",#N/A,FALSE,"Ok_Fuel&amp;Rev"}</definedName>
    <definedName name="wrn.OK._.FUEL._.COMPARISON." localSheetId="9" hidden="1">{"OK_FUEL_COMPARISON",#N/A,FALSE,"Ok_Fuel&amp;Rev"}</definedName>
    <definedName name="wrn.OK._.FUEL._.COMPARISON." hidden="1">{"OK_FUEL_COMPARISON",#N/A,FALSE,"Ok_Fuel&amp;Rev"}</definedName>
    <definedName name="wrn.OK._.JURIS._.FAC._.CALCULATION." localSheetId="7" hidden="1">{"OK_JURIS_FAC",#N/A,FALSE,"Ok_Fuel&amp;Rev"}</definedName>
    <definedName name="wrn.OK._.JURIS._.FAC._.CALCULATION." localSheetId="8" hidden="1">{"OK_JURIS_FAC",#N/A,FALSE,"Ok_Fuel&amp;Rev"}</definedName>
    <definedName name="wrn.OK._.JURIS._.FAC._.CALCULATION." localSheetId="9" hidden="1">{"OK_JURIS_FAC",#N/A,FALSE,"Ok_Fuel&amp;Rev"}</definedName>
    <definedName name="wrn.OK._.JURIS._.FAC._.CALCULATION." hidden="1">{"OK_JURIS_FAC",#N/A,FALSE,"Ok_Fuel&amp;Rev"}</definedName>
    <definedName name="wrn.OK._.JURIS._.FUEL._.COST." localSheetId="7" hidden="1">{"OK_JURIS_FUEL",#N/A,FALSE,"Ok_Fuel&amp;Rev"}</definedName>
    <definedName name="wrn.OK._.JURIS._.FUEL._.COST." localSheetId="8" hidden="1">{"OK_JURIS_FUEL",#N/A,FALSE,"Ok_Fuel&amp;Rev"}</definedName>
    <definedName name="wrn.OK._.JURIS._.FUEL._.COST." localSheetId="9" hidden="1">{"OK_JURIS_FUEL",#N/A,FALSE,"Ok_Fuel&amp;Rev"}</definedName>
    <definedName name="wrn.OK._.JURIS._.FUEL._.COST." hidden="1">{"OK_JURIS_FUEL",#N/A,FALSE,"Ok_Fuel&amp;Rev"}</definedName>
    <definedName name="wrn.OKLA._.PRO._.FORMA._.FUEL." localSheetId="7" hidden="1">{"OK_PRO_FORMA_FUEL",#N/A,FALSE,"Ok_Fuel&amp;Rev"}</definedName>
    <definedName name="wrn.OKLA._.PRO._.FORMA._.FUEL." localSheetId="8" hidden="1">{"OK_PRO_FORMA_FUEL",#N/A,FALSE,"Ok_Fuel&amp;Rev"}</definedName>
    <definedName name="wrn.OKLA._.PRO._.FORMA._.FUEL." localSheetId="9" hidden="1">{"OK_PRO_FORMA_FUEL",#N/A,FALSE,"Ok_Fuel&amp;Rev"}</definedName>
    <definedName name="wrn.OKLA._.PRO._.FORMA._.FUEL." hidden="1">{"OK_PRO_FORMA_FUEL",#N/A,FALSE,"Ok_Fuel&amp;Rev"}</definedName>
    <definedName name="wrn.OMPA._.FAC." localSheetId="7" hidden="1">{"OMPA_FAC",#N/A,FALSE,"OMPA FAC"}</definedName>
    <definedName name="wrn.OMPA._.FAC." localSheetId="8" hidden="1">{"OMPA_FAC",#N/A,FALSE,"OMPA FAC"}</definedName>
    <definedName name="wrn.OMPA._.FAC." localSheetId="9" hidden="1">{"OMPA_FAC",#N/A,FALSE,"OMPA FAC"}</definedName>
    <definedName name="wrn.OMPA._.FAC." hidden="1">{"OMPA_FAC",#N/A,FALSE,"OMPA FAC"}</definedName>
    <definedName name="wrn.OTHER._.DATA." localSheetId="7" hidden="1">{"OTHER_DATA",#N/A,FALSE,"Ok_Fuel&amp;Rev"}</definedName>
    <definedName name="wrn.OTHER._.DATA." localSheetId="8" hidden="1">{"OTHER_DATA",#N/A,FALSE,"Ok_Fuel&amp;Rev"}</definedName>
    <definedName name="wrn.OTHER._.DATA." localSheetId="9" hidden="1">{"OTHER_DATA",#N/A,FALSE,"Ok_Fuel&amp;Rev"}</definedName>
    <definedName name="wrn.OTHER._.DATA." hidden="1">{"OTHER_DATA",#N/A,FALSE,"Ok_Fuel&amp;Rev"}</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localSheetId="9"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nt." localSheetId="6"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7"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8"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9"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OR._.PERIOD._.ADJMT." localSheetId="7" hidden="1">{#N/A,#N/A,FALSE,"PRIOR PERIOD ADJMT"}</definedName>
    <definedName name="wrn.PRIOR._.PERIOD._.ADJMT." localSheetId="8" hidden="1">{#N/A,#N/A,FALSE,"PRIOR PERIOD ADJMT"}</definedName>
    <definedName name="wrn.PRIOR._.PERIOD._.ADJMT." localSheetId="9"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localSheetId="9" hidden="1">{"Production",#N/A,FALSE,"Electric O&amp;M Functionalization"}</definedName>
    <definedName name="wrn.Production." hidden="1">{"Production",#N/A,FALSE,"Electric O&amp;M Functionalization"}</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PA._.FAC." localSheetId="7" hidden="1">{"SPA_FAC",#N/A,FALSE,"OMPA SPA FAC"}</definedName>
    <definedName name="wrn.SPA._.FAC." localSheetId="8" hidden="1">{"SPA_FAC",#N/A,FALSE,"OMPA SPA FAC"}</definedName>
    <definedName name="wrn.SPA._.FAC." localSheetId="9" hidden="1">{"SPA_FAC",#N/A,FALSE,"OMPA SPA FAC"}</definedName>
    <definedName name="wrn.SPA._.FAC." hidden="1">{"SPA_FAC",#N/A,FALSE,"OMPA SPA FAC"}</definedName>
    <definedName name="wrn.SUP." localSheetId="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7"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8"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orting._.Calculations." hidden="1">{#N/A,#N/A,FALSE,"Work performed";#N/A,#N/A,FALSE,"Resources"}</definedName>
    <definedName name="wrn.Tax._.Accrual." hidden="1">{#N/A,#N/A,TRUE,"TAXPROV";#N/A,#N/A,TRUE,"FLOWTHRU";#N/A,#N/A,TRUE,"SCHEDULE M'S";#N/A,#N/A,TRUE,"PLANT M'S";#N/A,#N/A,TRUE,"TAXJE"}</definedName>
    <definedName name="wrn.Transmission." localSheetId="7" hidden="1">{"Transmission",#N/A,FALSE,"Electric O&amp;M Functionalization"}</definedName>
    <definedName name="wrn.Transmission." localSheetId="8" hidden="1">{"Transmission",#N/A,FALSE,"Electric O&amp;M Functionalization"}</definedName>
    <definedName name="wrn.Transmission." localSheetId="9" hidden="1">{"Transmission",#N/A,FALSE,"Electric O&amp;M Functionalization"}</definedName>
    <definedName name="wrn.Transmission." hidden="1">{"Transmission",#N/A,FALSE,"Electric O&amp;M Functionalization"}</definedName>
    <definedName name="wrn.WEATHER._.AND._.YR._.END._.CUST._.ADJ." localSheetId="7" hidden="1">{"WEATHER_CUSTOMERS",#N/A,FALSE,"Ok_Fuel&amp;Rev"}</definedName>
    <definedName name="wrn.WEATHER._.AND._.YR._.END._.CUST._.ADJ." localSheetId="8" hidden="1">{"WEATHER_CUSTOMERS",#N/A,FALSE,"Ok_Fuel&amp;Rev"}</definedName>
    <definedName name="wrn.WEATHER._.AND._.YR._.END._.CUST._.ADJ." localSheetId="9" hidden="1">{"WEATHER_CUSTOMERS",#N/A,FALSE,"Ok_Fuel&amp;Rev"}</definedName>
    <definedName name="wrn.WEATHER._.AND._.YR._.END._.CUST._.ADJ." hidden="1">{"WEATHER_CUSTOMERS",#N/A,FALSE,"Ok_Fuel&amp;Rev"}</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localSheetId="9" hidden="1">{"WCCWCLL",#N/A,FALSE,"Sheet3";"PP",#N/A,FALSE,"Sheet3";"MAT1",#N/A,FALSE,"Sheet3";"MAT2",#N/A,FALSE,"Sheet3"}</definedName>
    <definedName name="wrn.WORKCAP." hidden="1">{"WCCWCLL",#N/A,FALSE,"Sheet3";"PP",#N/A,FALSE,"Sheet3";"MAT1",#N/A,FALSE,"Sheet3";"MAT2",#N/A,FALSE,"Sheet3"}</definedName>
    <definedName name="WS">#REF!</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9"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9"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localSheetId="9"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cel" localSheetId="9">#REF!</definedName>
    <definedName name="Xcel">#REF!</definedName>
    <definedName name="Xcel_COS" localSheetId="9">#REF!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3768C7C8_9953_11DA_B318_000FB55D51DC_.wvu.PrintArea" localSheetId="18" hidden="1">'12 - Revenue Credits'!$A$5:$E$37</definedName>
    <definedName name="Z_3768C7C8_9953_11DA_B318_000FB55D51DC_.wvu.PrintArea" localSheetId="19" hidden="1">'13 - 30.9 credits'!$A$5:$E$29</definedName>
    <definedName name="Z_3BDD6235_B127_4929_8311_BDAF7BB89818_.wvu.PrintArea" localSheetId="18" hidden="1">'12 - Revenue Credits'!$A$5:$E$37</definedName>
    <definedName name="Z_3BDD6235_B127_4929_8311_BDAF7BB89818_.wvu.PrintArea" localSheetId="19" hidden="1">'13 - 30.9 credits'!$A$5:$E$29</definedName>
    <definedName name="Z_63AFAF34_E340_4B5E_A289_FFB7051CA9B6_.wvu.PrintArea" localSheetId="17" hidden="1">'11-Corrections'!$A$1:$G$31</definedName>
    <definedName name="Z_63AFAF34_E340_4B5E_A289_FFB7051CA9B6_.wvu.PrintArea" localSheetId="18" hidden="1">'12 - Revenue Credits'!$A$1:$G$42</definedName>
    <definedName name="Z_63AFAF34_E340_4B5E_A289_FFB7051CA9B6_.wvu.PrintArea" localSheetId="19"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10" hidden="1">'5-Return'!$A$1:$L$46</definedName>
    <definedName name="Z_63AFAF34_E340_4B5E_A289_FFB7051CA9B6_.wvu.PrintArea" localSheetId="12" hidden="1">'6a - True-up Interest Rate'!$A$1:$H$35</definedName>
    <definedName name="Z_63AFAF34_E340_4B5E_A289_FFB7051CA9B6_.wvu.PrintArea" localSheetId="14" hidden="1">'8-Construction Debt'!$A$1:$J$60</definedName>
    <definedName name="Z_63AFAF34_E340_4B5E_A289_FFB7051CA9B6_.wvu.PrintArea" localSheetId="15" hidden="1">'9- Cost of Debt True-up'!$A$1:$G$38</definedName>
    <definedName name="Z_B0241363_5C8A_48FC_89A6_56D55586BABE_.wvu.PrintArea" localSheetId="18" hidden="1">'12 - Revenue Credits'!$A$5:$E$37</definedName>
    <definedName name="Z_B0241363_5C8A_48FC_89A6_56D55586BABE_.wvu.PrintArea" localSheetId="19" hidden="1">'13 - 30.9 credits'!$A$5:$E$29</definedName>
    <definedName name="Z_C0EA0F9F_7310_4201_82C9_7B8FC8DB9137_.wvu.PrintArea" localSheetId="18" hidden="1">'12 - Revenue Credits'!$A$5:$E$37</definedName>
    <definedName name="Z_C0EA0F9F_7310_4201_82C9_7B8FC8DB9137_.wvu.PrintArea" localSheetId="19" hidden="1">'13 - 30.9 credits'!$A$5:$E$29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4" hidden="1">'8-Construction Debt'!$A$1:$K$57</definedName>
    <definedName name="Z_F04A2B9A_C6FE_4FEB_AD1E_2CF9AC309BE4_.wvu.PrintArea" localSheetId="15" hidden="1">'9- Cost of Debt True-up'!$A$1:$K$38</definedName>
    <definedName name="Z_F04A2B9A_C6FE_4FEB_AD1E_2CF9AC309BE4_.wvu.PrintArea" localSheetId="0" hidden="1">'Attachment H-29A'!$A$1:$J$247</definedName>
    <definedName name="Z_F1DC5514_577A_46EB_866C_26F0BED2C286_.wvu.PrintArea" localSheetId="17" hidden="1">'11-Corrections'!$A$1:$G$35</definedName>
    <definedName name="Z_F1DC5514_577A_46EB_866C_26F0BED2C286_.wvu.PrintArea" localSheetId="18" hidden="1">'12 - Revenue Credits'!$A$1:$G$38</definedName>
    <definedName name="Z_F1DC5514_577A_46EB_866C_26F0BED2C286_.wvu.PrintArea" localSheetId="19"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10" hidden="1">'5-Return'!$A$1:$J$46</definedName>
    <definedName name="Z_F1DC5514_577A_46EB_866C_26F0BED2C286_.wvu.PrintArea" localSheetId="12" hidden="1">'6a - True-up Interest Rate'!$A$1:$H$35</definedName>
    <definedName name="Z_F1DC5514_577A_46EB_866C_26F0BED2C286_.wvu.PrintArea" localSheetId="14" hidden="1">'8-Construction Debt'!$A$1:$I$60</definedName>
    <definedName name="Z_F1DC5514_577A_46EB_866C_26F0BED2C286_.wvu.PrintArea" localSheetId="15" hidden="1">'9- Cost of Debt True-up'!$A$1:$G$38</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 name="CKD - Personal View" guid="{F1DC5514-577A-46EB-866C-26F0BED2C286}" mergeInterval="0" personalView="1" maximized="1" windowWidth="1280" windowHeight="799" tabRatio="829" activeSheetId="6"/>
    <customWorkbookView name="Jim Martin - Personal View" guid="{63AFAF34-E340-4B5E-A289-FFB7051CA9B6}" mergeInterval="0" personalView="1" maximized="1" windowWidth="1465" windowHeight="908" tabRatio="829"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2" i="26" l="1"/>
  <c r="I150" i="26" l="1"/>
  <c r="F63" i="2" l="1"/>
  <c r="B159" i="26" l="1"/>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61" i="26"/>
  <c r="B60" i="26"/>
  <c r="B59" i="26"/>
  <c r="B58" i="26"/>
  <c r="B57" i="26"/>
  <c r="B56" i="26"/>
  <c r="B55" i="26"/>
  <c r="B54" i="26"/>
  <c r="B53" i="26"/>
  <c r="B52" i="26"/>
  <c r="B51" i="26"/>
  <c r="B50" i="26"/>
  <c r="H76" i="27" l="1"/>
  <c r="C137" i="26" s="1"/>
  <c r="H84" i="27"/>
  <c r="C145" i="26" s="1"/>
  <c r="H96" i="27"/>
  <c r="C157" i="26" s="1"/>
  <c r="F157" i="26" s="1"/>
  <c r="I157" i="26" s="1"/>
  <c r="H72" i="27"/>
  <c r="C133" i="26" s="1"/>
  <c r="H133" i="26" s="1"/>
  <c r="H80" i="27"/>
  <c r="C141" i="26" s="1"/>
  <c r="H88" i="27"/>
  <c r="C149" i="26" s="1"/>
  <c r="G149" i="26" s="1"/>
  <c r="H92" i="27"/>
  <c r="C153" i="26" s="1"/>
  <c r="G153" i="26" s="1"/>
  <c r="I153" i="26" s="1"/>
  <c r="H50" i="27"/>
  <c r="C101" i="26" s="1"/>
  <c r="H54" i="27"/>
  <c r="C105" i="26" s="1"/>
  <c r="F105" i="26" s="1"/>
  <c r="I105" i="26" s="1"/>
  <c r="H62" i="27"/>
  <c r="C113" i="26" s="1"/>
  <c r="F113" i="26" s="1"/>
  <c r="I113" i="26" s="1"/>
  <c r="H39" i="27"/>
  <c r="C90" i="26" s="1"/>
  <c r="H43" i="27"/>
  <c r="C94" i="26" s="1"/>
  <c r="H47" i="27"/>
  <c r="C98" i="26" s="1"/>
  <c r="H51" i="27"/>
  <c r="C102" i="26" s="1"/>
  <c r="H55" i="27"/>
  <c r="C106" i="26" s="1"/>
  <c r="F106" i="26" s="1"/>
  <c r="I106" i="26" s="1"/>
  <c r="H71" i="27"/>
  <c r="C132" i="26" s="1"/>
  <c r="H75" i="27"/>
  <c r="C136" i="26" s="1"/>
  <c r="H79" i="27"/>
  <c r="C140" i="26" s="1"/>
  <c r="H83" i="27"/>
  <c r="C144" i="26" s="1"/>
  <c r="H87" i="27"/>
  <c r="C148" i="26" s="1"/>
  <c r="H91" i="27"/>
  <c r="C152" i="26" s="1"/>
  <c r="G152" i="26" s="1"/>
  <c r="I152" i="26" s="1"/>
  <c r="H95" i="27"/>
  <c r="C156" i="26" s="1"/>
  <c r="F156" i="26" s="1"/>
  <c r="I156" i="26" s="1"/>
  <c r="H70" i="27"/>
  <c r="C131" i="26" s="1"/>
  <c r="H74" i="27"/>
  <c r="C135" i="26" s="1"/>
  <c r="H78" i="27"/>
  <c r="C139" i="26" s="1"/>
  <c r="H77" i="27"/>
  <c r="C138" i="26" s="1"/>
  <c r="H85" i="27"/>
  <c r="C146" i="26" s="1"/>
  <c r="H93" i="27"/>
  <c r="C154" i="26" s="1"/>
  <c r="H154" i="26" s="1"/>
  <c r="I154" i="26" s="1"/>
  <c r="H59" i="27"/>
  <c r="C110" i="26" s="1"/>
  <c r="F110" i="26" s="1"/>
  <c r="I110" i="26" s="1"/>
  <c r="H82" i="27"/>
  <c r="C143" i="26" s="1"/>
  <c r="H86" i="27"/>
  <c r="C147" i="26" s="1"/>
  <c r="H90" i="27"/>
  <c r="C151" i="26" s="1"/>
  <c r="G151" i="26" s="1"/>
  <c r="I151" i="26" s="1"/>
  <c r="H94" i="27"/>
  <c r="C155" i="26" s="1"/>
  <c r="F155" i="26" s="1"/>
  <c r="I155" i="26" s="1"/>
  <c r="H98" i="27"/>
  <c r="C159" i="26" s="1"/>
  <c r="F159" i="26" s="1"/>
  <c r="I159" i="26" s="1"/>
  <c r="H73" i="27"/>
  <c r="C134" i="26" s="1"/>
  <c r="H81" i="27"/>
  <c r="C142" i="26" s="1"/>
  <c r="H89" i="27"/>
  <c r="C150" i="26" s="1"/>
  <c r="D150" i="26" s="1"/>
  <c r="H97" i="27"/>
  <c r="C158" i="26" s="1"/>
  <c r="F158" i="26" s="1"/>
  <c r="I158" i="26" s="1"/>
  <c r="H37" i="27"/>
  <c r="C88" i="26" s="1"/>
  <c r="H45" i="27"/>
  <c r="C96" i="26" s="1"/>
  <c r="H53" i="27"/>
  <c r="C104" i="26" s="1"/>
  <c r="F104" i="26" s="1"/>
  <c r="I104" i="26" s="1"/>
  <c r="H61" i="27"/>
  <c r="C112" i="26" s="1"/>
  <c r="F112" i="26" s="1"/>
  <c r="I112" i="26" s="1"/>
  <c r="H46" i="27"/>
  <c r="C97" i="26" s="1"/>
  <c r="H38" i="27"/>
  <c r="C89" i="26" s="1"/>
  <c r="H19" i="27"/>
  <c r="C53" i="26" s="1"/>
  <c r="H23" i="27"/>
  <c r="C57" i="26" s="1"/>
  <c r="H27" i="27"/>
  <c r="C61" i="26" s="1"/>
  <c r="H42" i="27"/>
  <c r="C93" i="26" s="1"/>
  <c r="H58" i="27"/>
  <c r="C109" i="26" s="1"/>
  <c r="F109" i="26" s="1"/>
  <c r="I109" i="26" s="1"/>
  <c r="H17" i="27"/>
  <c r="C51" i="26" s="1"/>
  <c r="H40" i="27"/>
  <c r="C91" i="26" s="1"/>
  <c r="H44" i="27"/>
  <c r="C95" i="26" s="1"/>
  <c r="H48" i="27"/>
  <c r="C99" i="26" s="1"/>
  <c r="H52" i="27"/>
  <c r="C103" i="26" s="1"/>
  <c r="H56" i="27"/>
  <c r="C107" i="26" s="1"/>
  <c r="F107" i="26" s="1"/>
  <c r="I107" i="26" s="1"/>
  <c r="H60" i="27"/>
  <c r="C111" i="26" s="1"/>
  <c r="F111" i="26" s="1"/>
  <c r="I111" i="26" s="1"/>
  <c r="H41" i="27"/>
  <c r="C92" i="26" s="1"/>
  <c r="H49" i="27"/>
  <c r="C100" i="26" s="1"/>
  <c r="H57" i="27"/>
  <c r="C108" i="26" s="1"/>
  <c r="F108" i="26" s="1"/>
  <c r="I108" i="26" s="1"/>
  <c r="H18" i="27"/>
  <c r="C52" i="26" s="1"/>
  <c r="H22" i="27"/>
  <c r="C56" i="26" s="1"/>
  <c r="H16" i="27"/>
  <c r="C50" i="26" s="1"/>
  <c r="H20" i="27"/>
  <c r="C54" i="26" s="1"/>
  <c r="H24" i="27"/>
  <c r="C58" i="26" s="1"/>
  <c r="G58" i="26" s="1"/>
  <c r="I58" i="26" s="1"/>
  <c r="H26" i="27"/>
  <c r="C60" i="26" s="1"/>
  <c r="G60" i="26" s="1"/>
  <c r="I60" i="26" s="1"/>
  <c r="C32" i="27"/>
  <c r="F32" i="27"/>
  <c r="H21" i="27"/>
  <c r="C55" i="26" s="1"/>
  <c r="H25" i="27"/>
  <c r="C59" i="26" s="1"/>
  <c r="G59" i="26" s="1"/>
  <c r="I59" i="26" s="1"/>
  <c r="I149" i="26" l="1"/>
  <c r="G162" i="26"/>
  <c r="G61" i="26"/>
  <c r="I61" i="26" s="1"/>
  <c r="I143" i="26"/>
  <c r="F65" i="27" l="1"/>
  <c r="C65" i="27"/>
  <c r="F100" i="27"/>
  <c r="F148" i="26"/>
  <c r="I148" i="26" s="1"/>
  <c r="F96" i="26"/>
  <c r="I96" i="26" s="1"/>
  <c r="G145" i="26"/>
  <c r="I145" i="26" s="1"/>
  <c r="C100" i="27"/>
  <c r="F100" i="26"/>
  <c r="I100" i="26" s="1"/>
  <c r="F94" i="26"/>
  <c r="I94" i="26" s="1"/>
  <c r="F102" i="26" l="1"/>
  <c r="I102" i="26" s="1"/>
  <c r="F147" i="26"/>
  <c r="I147" i="26" s="1"/>
  <c r="F98" i="26"/>
  <c r="I98" i="26" s="1"/>
  <c r="G146" i="26"/>
  <c r="I146" i="26" s="1"/>
  <c r="F101" i="26"/>
  <c r="I101" i="26" s="1"/>
  <c r="F103" i="26"/>
  <c r="I103" i="26" s="1"/>
  <c r="D143" i="26"/>
  <c r="F99" i="26"/>
  <c r="I99" i="26" s="1"/>
  <c r="F95" i="26"/>
  <c r="I95" i="26" s="1"/>
  <c r="F97" i="26"/>
  <c r="I97" i="26" s="1"/>
  <c r="G144" i="26"/>
  <c r="I144" i="26" s="1"/>
  <c r="D29" i="30" l="1"/>
  <c r="D16" i="30"/>
  <c r="D15" i="30"/>
  <c r="F142" i="26" l="1"/>
  <c r="I142" i="26" s="1"/>
  <c r="G57" i="26"/>
  <c r="F141" i="26"/>
  <c r="I141" i="26" s="1"/>
  <c r="G56" i="26"/>
  <c r="I56" i="26" s="1"/>
  <c r="F140" i="26"/>
  <c r="I140" i="26" s="1"/>
  <c r="G53" i="26"/>
  <c r="G72" i="26" s="1"/>
  <c r="F139" i="26"/>
  <c r="G54" i="26"/>
  <c r="I54" i="26" s="1"/>
  <c r="G55" i="26"/>
  <c r="I55" i="26" s="1"/>
  <c r="F93" i="26"/>
  <c r="I93" i="26" s="1"/>
  <c r="F92" i="26"/>
  <c r="I92" i="26" s="1"/>
  <c r="H113" i="27"/>
  <c r="G136" i="26"/>
  <c r="I136" i="26" s="1"/>
  <c r="G137" i="26"/>
  <c r="I137" i="26" s="1"/>
  <c r="H112" i="27"/>
  <c r="F138" i="26"/>
  <c r="I138" i="26" s="1"/>
  <c r="F162" i="26" l="1"/>
  <c r="G71" i="26"/>
  <c r="I139" i="26"/>
  <c r="I53" i="26"/>
  <c r="C72" i="26"/>
  <c r="I57" i="26"/>
  <c r="A3" i="30" l="1"/>
  <c r="A2" i="30"/>
  <c r="A3" i="29"/>
  <c r="A2" i="29"/>
  <c r="A3" i="28"/>
  <c r="A2" i="28"/>
  <c r="A3" i="27"/>
  <c r="A2" i="27"/>
  <c r="A3" i="26"/>
  <c r="A2" i="26"/>
  <c r="H40" i="30"/>
  <c r="D38" i="30"/>
  <c r="J38" i="30" s="1"/>
  <c r="D31" i="30"/>
  <c r="J31" i="30" s="1"/>
  <c r="D24" i="30"/>
  <c r="D17" i="30"/>
  <c r="J17" i="30" s="1"/>
  <c r="A13" i="30"/>
  <c r="A14" i="30" s="1"/>
  <c r="A15" i="30" s="1"/>
  <c r="A16" i="30" s="1"/>
  <c r="A17" i="30" s="1"/>
  <c r="A19" i="30" s="1"/>
  <c r="A20" i="30" s="1"/>
  <c r="A21" i="30" s="1"/>
  <c r="A22" i="30" s="1"/>
  <c r="A23" i="30" s="1"/>
  <c r="A24" i="30" s="1"/>
  <c r="A26" i="30" s="1"/>
  <c r="A27" i="30" s="1"/>
  <c r="A28" i="30" s="1"/>
  <c r="A29" i="30" s="1"/>
  <c r="A30" i="30" s="1"/>
  <c r="A31" i="30" s="1"/>
  <c r="A33" i="30" s="1"/>
  <c r="A34" i="30" s="1"/>
  <c r="A35" i="30" s="1"/>
  <c r="A36" i="30" s="1"/>
  <c r="A37" i="30" s="1"/>
  <c r="A38" i="30" s="1"/>
  <c r="A40" i="30" s="1"/>
  <c r="H66" i="29"/>
  <c r="H68" i="29" s="1"/>
  <c r="G66" i="29"/>
  <c r="G68" i="29" s="1"/>
  <c r="E66" i="29"/>
  <c r="E68" i="29" s="1"/>
  <c r="D66" i="29"/>
  <c r="D68" i="29" s="1"/>
  <c r="C66" i="29"/>
  <c r="H24" i="29"/>
  <c r="H26" i="29" s="1"/>
  <c r="E24" i="29"/>
  <c r="E26" i="29" s="1"/>
  <c r="D24" i="29"/>
  <c r="D26" i="29" s="1"/>
  <c r="I17" i="29"/>
  <c r="I16" i="29"/>
  <c r="I15" i="29"/>
  <c r="I14" i="29"/>
  <c r="A14" i="29"/>
  <c r="A15" i="29" s="1"/>
  <c r="A16" i="29" s="1"/>
  <c r="A17" i="29" s="1"/>
  <c r="A18" i="29" s="1"/>
  <c r="A19" i="29" s="1"/>
  <c r="A20" i="29" s="1"/>
  <c r="A21" i="29" s="1"/>
  <c r="A22" i="29" s="1"/>
  <c r="A23" i="29" s="1"/>
  <c r="A24" i="29" s="1"/>
  <c r="C24" i="29"/>
  <c r="H120" i="28"/>
  <c r="C120" i="28"/>
  <c r="H89" i="28"/>
  <c r="C89" i="28"/>
  <c r="H57" i="28"/>
  <c r="C57" i="28"/>
  <c r="J32" i="28"/>
  <c r="C26" i="28"/>
  <c r="E116" i="28" s="1"/>
  <c r="H25" i="28"/>
  <c r="H24" i="28"/>
  <c r="H23" i="28"/>
  <c r="H22" i="28"/>
  <c r="H21" i="28"/>
  <c r="H20" i="28"/>
  <c r="H19" i="28"/>
  <c r="H18" i="28"/>
  <c r="H17" i="28"/>
  <c r="H16" i="28"/>
  <c r="H15" i="28"/>
  <c r="A10" i="28"/>
  <c r="A11" i="28" s="1"/>
  <c r="A12" i="28" s="1"/>
  <c r="A13" i="28" s="1"/>
  <c r="A14" i="28" s="1"/>
  <c r="A15" i="28" s="1"/>
  <c r="A16" i="28" s="1"/>
  <c r="A17" i="28" s="1"/>
  <c r="A18" i="28" s="1"/>
  <c r="A19" i="28" s="1"/>
  <c r="A20" i="28" s="1"/>
  <c r="A21" i="28" s="1"/>
  <c r="A22" i="28" s="1"/>
  <c r="A23" i="28" s="1"/>
  <c r="A24" i="28" s="1"/>
  <c r="A25" i="28" s="1"/>
  <c r="F145" i="27"/>
  <c r="F147" i="27" s="1"/>
  <c r="F149" i="27" s="1"/>
  <c r="C145" i="27"/>
  <c r="E105" i="27"/>
  <c r="B105" i="27"/>
  <c r="H100" i="27"/>
  <c r="F135" i="26"/>
  <c r="I135" i="26" s="1"/>
  <c r="F134" i="26"/>
  <c r="F132" i="26"/>
  <c r="I132" i="26" s="1"/>
  <c r="F131" i="26"/>
  <c r="H69" i="27"/>
  <c r="C130" i="26" s="1"/>
  <c r="F91" i="26"/>
  <c r="F116" i="26" s="1"/>
  <c r="F90" i="26"/>
  <c r="I90" i="26" s="1"/>
  <c r="F89" i="26"/>
  <c r="I89" i="26" s="1"/>
  <c r="F88" i="26"/>
  <c r="I88" i="26" s="1"/>
  <c r="H36" i="27"/>
  <c r="C87" i="26" s="1"/>
  <c r="F87" i="26" s="1"/>
  <c r="G52" i="26"/>
  <c r="G51" i="26"/>
  <c r="I51" i="26" s="1"/>
  <c r="G50" i="26"/>
  <c r="I50" i="26" s="1"/>
  <c r="H15" i="27"/>
  <c r="C49" i="26" s="1"/>
  <c r="F12" i="27"/>
  <c r="C12" i="27"/>
  <c r="A10" i="27"/>
  <c r="A11" i="27" s="1"/>
  <c r="A12" i="27" s="1"/>
  <c r="A14" i="27" s="1"/>
  <c r="A15" i="27" s="1"/>
  <c r="A16" i="27" s="1"/>
  <c r="A17" i="27" s="1"/>
  <c r="A18" i="27" s="1"/>
  <c r="A19" i="27" s="1"/>
  <c r="A20" i="27" s="1"/>
  <c r="C163" i="26"/>
  <c r="G161" i="26"/>
  <c r="G165" i="26" s="1"/>
  <c r="E161" i="26"/>
  <c r="E165" i="26" s="1"/>
  <c r="E167" i="26" s="1"/>
  <c r="D161" i="26"/>
  <c r="D165" i="26" s="1"/>
  <c r="D167" i="26" s="1"/>
  <c r="B130" i="26"/>
  <c r="J129" i="26"/>
  <c r="I129" i="26"/>
  <c r="H129" i="26"/>
  <c r="G129" i="26"/>
  <c r="F129" i="26"/>
  <c r="D129" i="26"/>
  <c r="B129" i="26"/>
  <c r="I128" i="26"/>
  <c r="H128" i="26"/>
  <c r="G128" i="26"/>
  <c r="F128" i="26"/>
  <c r="D128" i="26"/>
  <c r="I127" i="26"/>
  <c r="F127" i="26"/>
  <c r="D127" i="26"/>
  <c r="J126" i="26"/>
  <c r="I126" i="26"/>
  <c r="H126" i="26"/>
  <c r="G126" i="26"/>
  <c r="F126" i="26"/>
  <c r="E126" i="26"/>
  <c r="D126" i="26"/>
  <c r="C126" i="26"/>
  <c r="B126" i="26"/>
  <c r="C117" i="26"/>
  <c r="H115" i="26"/>
  <c r="H119" i="26" s="1"/>
  <c r="G115" i="26"/>
  <c r="G119" i="26" s="1"/>
  <c r="E115" i="26"/>
  <c r="E119" i="26" s="1"/>
  <c r="E121" i="26" s="1"/>
  <c r="D115" i="26"/>
  <c r="D119" i="26" s="1"/>
  <c r="D121" i="26" s="1"/>
  <c r="B87" i="26"/>
  <c r="J86" i="26"/>
  <c r="I86" i="26"/>
  <c r="H86" i="26"/>
  <c r="G86" i="26"/>
  <c r="F86" i="26"/>
  <c r="D86" i="26"/>
  <c r="B86" i="26"/>
  <c r="I85" i="26"/>
  <c r="H85" i="26"/>
  <c r="G85" i="26"/>
  <c r="F85" i="26"/>
  <c r="D85" i="26"/>
  <c r="I84" i="26"/>
  <c r="F84" i="26"/>
  <c r="D84" i="26"/>
  <c r="J83" i="26"/>
  <c r="I83" i="26"/>
  <c r="H83" i="26"/>
  <c r="G83" i="26"/>
  <c r="F83" i="26"/>
  <c r="E83" i="26"/>
  <c r="D83" i="26"/>
  <c r="C83" i="26"/>
  <c r="B83" i="26"/>
  <c r="B75" i="26"/>
  <c r="B120" i="26" s="1"/>
  <c r="B166" i="26" s="1"/>
  <c r="B73" i="26"/>
  <c r="B118" i="26" s="1"/>
  <c r="B164" i="26" s="1"/>
  <c r="B72" i="26"/>
  <c r="B117" i="26" s="1"/>
  <c r="B163" i="26" s="1"/>
  <c r="B71" i="26"/>
  <c r="B116" i="26" s="1"/>
  <c r="B162" i="26" s="1"/>
  <c r="H70" i="26"/>
  <c r="H74" i="26" s="1"/>
  <c r="F70" i="26"/>
  <c r="F74" i="26" s="1"/>
  <c r="F76" i="26" s="1"/>
  <c r="E70" i="26"/>
  <c r="E74" i="26" s="1"/>
  <c r="E76" i="26" s="1"/>
  <c r="D70" i="26"/>
  <c r="D74" i="26" s="1"/>
  <c r="D76" i="26" s="1"/>
  <c r="B49" i="26"/>
  <c r="J48" i="26"/>
  <c r="I48" i="26"/>
  <c r="H48" i="26"/>
  <c r="G48" i="26"/>
  <c r="F48" i="26"/>
  <c r="D48" i="26"/>
  <c r="B48" i="26"/>
  <c r="I47" i="26"/>
  <c r="H47" i="26"/>
  <c r="G47" i="26"/>
  <c r="F47" i="26"/>
  <c r="D47" i="26"/>
  <c r="I46" i="26"/>
  <c r="F46" i="26"/>
  <c r="D46" i="26"/>
  <c r="J45" i="26"/>
  <c r="I45" i="26"/>
  <c r="H45" i="26"/>
  <c r="G45" i="26"/>
  <c r="F45" i="26"/>
  <c r="E45" i="26"/>
  <c r="D45" i="26"/>
  <c r="B45" i="26"/>
  <c r="C36" i="26"/>
  <c r="C35" i="26"/>
  <c r="H34" i="26"/>
  <c r="H38" i="26" s="1"/>
  <c r="G34" i="26"/>
  <c r="G38" i="26" s="1"/>
  <c r="F34" i="26"/>
  <c r="F38" i="26" s="1"/>
  <c r="F40" i="26" s="1"/>
  <c r="E34" i="26"/>
  <c r="E38" i="26" s="1"/>
  <c r="E40" i="26" s="1"/>
  <c r="D34" i="26"/>
  <c r="D38" i="26" s="1"/>
  <c r="D40" i="26" s="1"/>
  <c r="C34" i="26"/>
  <c r="A12" i="26"/>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H130" i="26" l="1"/>
  <c r="I130" i="26" s="1"/>
  <c r="C161" i="26"/>
  <c r="A21" i="27"/>
  <c r="A22" i="27" s="1"/>
  <c r="I91" i="26"/>
  <c r="C116" i="26"/>
  <c r="F133" i="26"/>
  <c r="H65" i="27"/>
  <c r="G24" i="30"/>
  <c r="I24" i="30" s="1"/>
  <c r="J24" i="30"/>
  <c r="J40" i="30" s="1"/>
  <c r="H12" i="27"/>
  <c r="H145" i="27"/>
  <c r="C147" i="27"/>
  <c r="H147" i="27" s="1"/>
  <c r="I68" i="29"/>
  <c r="G38" i="30"/>
  <c r="I38" i="30" s="1"/>
  <c r="G31" i="30"/>
  <c r="I31" i="30" s="1"/>
  <c r="D40" i="30"/>
  <c r="G17" i="30"/>
  <c r="I17" i="30" s="1"/>
  <c r="H109" i="27"/>
  <c r="H108" i="27"/>
  <c r="H32" i="27"/>
  <c r="H111" i="27"/>
  <c r="C115" i="26"/>
  <c r="F126" i="27"/>
  <c r="A35" i="26"/>
  <c r="A36" i="26" s="1"/>
  <c r="A37" i="26" s="1"/>
  <c r="A38" i="26" s="1"/>
  <c r="C71" i="26"/>
  <c r="I52" i="26"/>
  <c r="I131" i="26"/>
  <c r="F31" i="28"/>
  <c r="A26" i="28"/>
  <c r="A31" i="28" s="1"/>
  <c r="A25" i="29"/>
  <c r="A26" i="29" s="1"/>
  <c r="C70" i="26"/>
  <c r="G49" i="26"/>
  <c r="G70" i="26" s="1"/>
  <c r="C162" i="26"/>
  <c r="I134" i="26"/>
  <c r="H110" i="27"/>
  <c r="E19" i="28"/>
  <c r="E24" i="28"/>
  <c r="E51" i="28"/>
  <c r="E16" i="28"/>
  <c r="E55" i="28"/>
  <c r="E112" i="28"/>
  <c r="H26" i="28"/>
  <c r="E117" i="28"/>
  <c r="E113" i="28"/>
  <c r="E109" i="28"/>
  <c r="E85" i="28"/>
  <c r="E81" i="28"/>
  <c r="E77" i="28"/>
  <c r="E56" i="28"/>
  <c r="E52" i="28"/>
  <c r="E48" i="28"/>
  <c r="E21" i="28"/>
  <c r="E14" i="28"/>
  <c r="E118" i="28"/>
  <c r="E114" i="28"/>
  <c r="E110" i="28"/>
  <c r="E86" i="28"/>
  <c r="E82" i="28"/>
  <c r="E78" i="28"/>
  <c r="E53" i="28"/>
  <c r="E49" i="28"/>
  <c r="E45" i="28"/>
  <c r="E23" i="28"/>
  <c r="E15" i="28"/>
  <c r="E119" i="28"/>
  <c r="E115" i="28"/>
  <c r="E111" i="28"/>
  <c r="E87" i="28"/>
  <c r="E83" i="28"/>
  <c r="E79" i="28"/>
  <c r="E54" i="28"/>
  <c r="E50" i="28"/>
  <c r="E46" i="28"/>
  <c r="E25" i="28"/>
  <c r="E17" i="28"/>
  <c r="E108" i="28"/>
  <c r="E18" i="28"/>
  <c r="C126" i="27"/>
  <c r="E20" i="28"/>
  <c r="E47" i="28"/>
  <c r="E80" i="28"/>
  <c r="E84" i="28"/>
  <c r="E22" i="28"/>
  <c r="E88" i="28"/>
  <c r="H161" i="26" l="1"/>
  <c r="H165" i="26" s="1"/>
  <c r="A23" i="27"/>
  <c r="A24" i="27" s="1"/>
  <c r="A25" i="27" s="1"/>
  <c r="A26" i="27" s="1"/>
  <c r="A27" i="27" s="1"/>
  <c r="A28" i="27" s="1"/>
  <c r="A29" i="27" s="1"/>
  <c r="A30" i="27" s="1"/>
  <c r="A31" i="27" s="1"/>
  <c r="A32" i="27" s="1"/>
  <c r="A34" i="27" s="1"/>
  <c r="A36" i="27" s="1"/>
  <c r="A37" i="27" s="1"/>
  <c r="A38" i="27" s="1"/>
  <c r="A39" i="27" s="1"/>
  <c r="A40" i="27" s="1"/>
  <c r="A41" i="27" s="1"/>
  <c r="A42" i="27" s="1"/>
  <c r="A43" i="27" s="1"/>
  <c r="A44" i="27" s="1"/>
  <c r="A45" i="27" s="1"/>
  <c r="A46" i="27" s="1"/>
  <c r="A47" i="27" s="1"/>
  <c r="A48" i="27" s="1"/>
  <c r="A49" i="27" s="1"/>
  <c r="A50" i="27" s="1"/>
  <c r="A51" i="27" s="1"/>
  <c r="A52" i="27" s="1"/>
  <c r="I133" i="26"/>
  <c r="F115" i="26"/>
  <c r="F119" i="26" s="1"/>
  <c r="F121" i="26" s="1"/>
  <c r="I87" i="26"/>
  <c r="F161" i="26"/>
  <c r="F165" i="26" s="1"/>
  <c r="F167" i="26" s="1"/>
  <c r="F89" i="29"/>
  <c r="B38" i="26"/>
  <c r="G24" i="29"/>
  <c r="G26" i="29" s="1"/>
  <c r="I26" i="29" s="1"/>
  <c r="C149" i="27"/>
  <c r="H149" i="27" s="1"/>
  <c r="A37" i="29"/>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G40" i="30"/>
  <c r="I40" i="30"/>
  <c r="H126" i="27"/>
  <c r="I49" i="26"/>
  <c r="D77" i="28"/>
  <c r="E89" i="28"/>
  <c r="E57" i="28"/>
  <c r="D45" i="28"/>
  <c r="E120" i="28"/>
  <c r="D108" i="28"/>
  <c r="A32" i="28"/>
  <c r="A33" i="28" s="1"/>
  <c r="A40" i="28" s="1"/>
  <c r="A41" i="28" s="1"/>
  <c r="A42" i="28" s="1"/>
  <c r="A43" i="28" s="1"/>
  <c r="A44" i="28" s="1"/>
  <c r="A45" i="28" s="1"/>
  <c r="A46" i="28" s="1"/>
  <c r="A47" i="28" s="1"/>
  <c r="A48" i="28" s="1"/>
  <c r="A49" i="28" s="1"/>
  <c r="A50" i="28" s="1"/>
  <c r="A51" i="28" s="1"/>
  <c r="A52" i="28" s="1"/>
  <c r="A53" i="28" s="1"/>
  <c r="A54" i="28" s="1"/>
  <c r="A55" i="28" s="1"/>
  <c r="A56" i="28" s="1"/>
  <c r="B26" i="29"/>
  <c r="C89" i="29"/>
  <c r="E26" i="28"/>
  <c r="D14" i="28"/>
  <c r="A39" i="26"/>
  <c r="A40"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53" i="27" l="1"/>
  <c r="A54" i="27" s="1"/>
  <c r="A55" i="27" s="1"/>
  <c r="A56" i="27" s="1"/>
  <c r="A57" i="27" s="1"/>
  <c r="A58" i="27" s="1"/>
  <c r="A59" i="27" s="1"/>
  <c r="A60" i="27" s="1"/>
  <c r="A61" i="27" s="1"/>
  <c r="A62" i="27" s="1"/>
  <c r="A63" i="27" s="1"/>
  <c r="A64" i="27" s="1"/>
  <c r="A65" i="27" s="1"/>
  <c r="A67"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D160" i="1"/>
  <c r="D89" i="29"/>
  <c r="A79" i="29"/>
  <c r="A80" i="29" s="1"/>
  <c r="A81" i="29" s="1"/>
  <c r="A82" i="29" s="1"/>
  <c r="A84" i="29" s="1"/>
  <c r="A85" i="29" s="1"/>
  <c r="A86" i="29" s="1"/>
  <c r="A87" i="29" s="1"/>
  <c r="A89" i="29" s="1"/>
  <c r="C160" i="1"/>
  <c r="B40" i="26"/>
  <c r="F62" i="28"/>
  <c r="A57" i="28"/>
  <c r="A62" i="28" s="1"/>
  <c r="F77" i="28"/>
  <c r="I77" i="28" s="1"/>
  <c r="D78" i="28"/>
  <c r="F33" i="28"/>
  <c r="B68" i="29"/>
  <c r="F108" i="28"/>
  <c r="I108" i="28" s="1"/>
  <c r="D109" i="28"/>
  <c r="A71" i="26"/>
  <c r="A72" i="26" s="1"/>
  <c r="A73" i="26" s="1"/>
  <c r="A74" i="26" s="1"/>
  <c r="D15" i="28"/>
  <c r="F14" i="28"/>
  <c r="I14" i="28" s="1"/>
  <c r="F45" i="28"/>
  <c r="I45" i="28" s="1"/>
  <c r="D46" i="28"/>
  <c r="A97" i="27" l="1"/>
  <c r="A98" i="27" s="1"/>
  <c r="A99" i="27" s="1"/>
  <c r="A100" i="27" s="1"/>
  <c r="A106"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8" i="27" s="1"/>
  <c r="A130" i="27" s="1"/>
  <c r="A131" i="27" s="1"/>
  <c r="A132" i="27" s="1"/>
  <c r="A133" i="27" s="1"/>
  <c r="A134" i="27" s="1"/>
  <c r="A135" i="27" s="1"/>
  <c r="A136" i="27" s="1"/>
  <c r="A137" i="27" s="1"/>
  <c r="A138" i="27" s="1"/>
  <c r="A139" i="27" s="1"/>
  <c r="A140" i="27" s="1"/>
  <c r="A141" i="27" s="1"/>
  <c r="A142" i="27" s="1"/>
  <c r="A143" i="27" s="1"/>
  <c r="A144" i="27" s="1"/>
  <c r="A145" i="27" s="1"/>
  <c r="A147" i="27" s="1"/>
  <c r="A149" i="27" s="1"/>
  <c r="J108" i="28"/>
  <c r="J14" i="28"/>
  <c r="A75" i="26"/>
  <c r="A7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D47" i="28"/>
  <c r="F46" i="28"/>
  <c r="I46" i="28" s="1"/>
  <c r="D79" i="28"/>
  <c r="F78" i="28"/>
  <c r="I78" i="28" s="1"/>
  <c r="J77" i="28"/>
  <c r="A63" i="28"/>
  <c r="A64" i="28" s="1"/>
  <c r="A72" i="28" s="1"/>
  <c r="A73" i="28" s="1"/>
  <c r="A74" i="28" s="1"/>
  <c r="A75" i="28" s="1"/>
  <c r="A76" i="28" s="1"/>
  <c r="A77" i="28" s="1"/>
  <c r="A78" i="28" s="1"/>
  <c r="A79" i="28" s="1"/>
  <c r="A80" i="28" s="1"/>
  <c r="A81" i="28" s="1"/>
  <c r="A82" i="28" s="1"/>
  <c r="A83" i="28" s="1"/>
  <c r="A84" i="28" s="1"/>
  <c r="A85" i="28" s="1"/>
  <c r="A86" i="28" s="1"/>
  <c r="A87" i="28" s="1"/>
  <c r="A88" i="28" s="1"/>
  <c r="D16" i="28"/>
  <c r="F15" i="28"/>
  <c r="I15" i="28" s="1"/>
  <c r="B89" i="29"/>
  <c r="B74" i="26"/>
  <c r="J45" i="28"/>
  <c r="D110" i="28"/>
  <c r="F109" i="28"/>
  <c r="I109" i="28" s="1"/>
  <c r="A109" i="26" l="1"/>
  <c r="A110" i="26" s="1"/>
  <c r="A111" i="26" s="1"/>
  <c r="A112" i="26" s="1"/>
  <c r="A113" i="26" s="1"/>
  <c r="A114" i="26" s="1"/>
  <c r="A115" i="26" s="1"/>
  <c r="A116" i="26" s="1"/>
  <c r="A117" i="26" s="1"/>
  <c r="A118" i="26" s="1"/>
  <c r="A119" i="26" s="1"/>
  <c r="D48" i="28"/>
  <c r="F47" i="28"/>
  <c r="I47" i="28" s="1"/>
  <c r="D111" i="28"/>
  <c r="F110" i="28"/>
  <c r="I110" i="28" s="1"/>
  <c r="F16" i="28"/>
  <c r="I16" i="28" s="1"/>
  <c r="D17" i="28"/>
  <c r="A89" i="28"/>
  <c r="A94" i="28" s="1"/>
  <c r="F94" i="28"/>
  <c r="F64" i="28"/>
  <c r="J78" i="28"/>
  <c r="J15" i="28"/>
  <c r="B76" i="26"/>
  <c r="J46" i="28"/>
  <c r="D80" i="28"/>
  <c r="F79" i="28"/>
  <c r="I79" i="28" s="1"/>
  <c r="J109" i="28"/>
  <c r="J47" i="28" l="1"/>
  <c r="J16" i="28"/>
  <c r="B119" i="26"/>
  <c r="J110" i="28"/>
  <c r="J79" i="28"/>
  <c r="F80" i="28"/>
  <c r="I80" i="28" s="1"/>
  <c r="D81" i="28"/>
  <c r="D112" i="28"/>
  <c r="F111" i="28"/>
  <c r="I111" i="28" s="1"/>
  <c r="A95" i="28"/>
  <c r="A96" i="28" s="1"/>
  <c r="A103" i="28" s="1"/>
  <c r="A104" i="28" s="1"/>
  <c r="A105" i="28" s="1"/>
  <c r="A106" i="28" s="1"/>
  <c r="A107" i="28" s="1"/>
  <c r="A108" i="28" s="1"/>
  <c r="A109" i="28" s="1"/>
  <c r="A110" i="28" s="1"/>
  <c r="A111" i="28" s="1"/>
  <c r="A112" i="28" s="1"/>
  <c r="A113" i="28" s="1"/>
  <c r="A114" i="28" s="1"/>
  <c r="A115" i="28" s="1"/>
  <c r="A116" i="28" s="1"/>
  <c r="A117" i="28" s="1"/>
  <c r="A118" i="28" s="1"/>
  <c r="A119" i="28" s="1"/>
  <c r="D49" i="28"/>
  <c r="F48" i="28"/>
  <c r="I48" i="28" s="1"/>
  <c r="A120" i="26"/>
  <c r="A121"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F17" i="28"/>
  <c r="I17" i="28" s="1"/>
  <c r="D18" i="28"/>
  <c r="J48" i="28" l="1"/>
  <c r="J111" i="28"/>
  <c r="J17" i="28"/>
  <c r="J80" i="28"/>
  <c r="F96" i="28"/>
  <c r="A162" i="26"/>
  <c r="A163" i="26" s="1"/>
  <c r="A164" i="26" s="1"/>
  <c r="A165" i="26" s="1"/>
  <c r="F112" i="28"/>
  <c r="I112" i="28" s="1"/>
  <c r="D113" i="28"/>
  <c r="F81" i="28"/>
  <c r="I81" i="28" s="1"/>
  <c r="D82" i="28"/>
  <c r="B121" i="26"/>
  <c r="F49" i="28"/>
  <c r="I49" i="28" s="1"/>
  <c r="D50" i="28"/>
  <c r="A120" i="28"/>
  <c r="A125" i="28" s="1"/>
  <c r="F125" i="28"/>
  <c r="F18" i="28"/>
  <c r="I18" i="28" s="1"/>
  <c r="D19" i="28"/>
  <c r="J18" i="28" l="1"/>
  <c r="J49" i="28"/>
  <c r="J81" i="28"/>
  <c r="J112" i="28"/>
  <c r="A166" i="26"/>
  <c r="A167" i="26" s="1"/>
  <c r="B165" i="26"/>
  <c r="F50" i="28"/>
  <c r="I50" i="28" s="1"/>
  <c r="D51" i="28"/>
  <c r="D20" i="28"/>
  <c r="F19" i="28"/>
  <c r="I19" i="28" s="1"/>
  <c r="A126" i="28"/>
  <c r="A127" i="28" s="1"/>
  <c r="D114" i="28"/>
  <c r="F113" i="28"/>
  <c r="I113" i="28" s="1"/>
  <c r="D83" i="28"/>
  <c r="F82" i="28"/>
  <c r="I82" i="28" s="1"/>
  <c r="J19" i="28" l="1"/>
  <c r="J50" i="28"/>
  <c r="J82" i="28"/>
  <c r="J113" i="28"/>
  <c r="D84" i="28"/>
  <c r="F83" i="28"/>
  <c r="I83" i="28" s="1"/>
  <c r="B167" i="26"/>
  <c r="D115" i="28"/>
  <c r="F114" i="28"/>
  <c r="I114" i="28" s="1"/>
  <c r="F127" i="28"/>
  <c r="D21" i="28"/>
  <c r="F20" i="28"/>
  <c r="I20" i="28" s="1"/>
  <c r="F51" i="28"/>
  <c r="I51" i="28" s="1"/>
  <c r="D52" i="28"/>
  <c r="J20" i="28" l="1"/>
  <c r="J51" i="28"/>
  <c r="J83" i="28"/>
  <c r="J114" i="28"/>
  <c r="D116" i="28"/>
  <c r="F115" i="28"/>
  <c r="I115" i="28" s="1"/>
  <c r="F84" i="28"/>
  <c r="I84" i="28" s="1"/>
  <c r="D85" i="28"/>
  <c r="D22" i="28"/>
  <c r="F21" i="28"/>
  <c r="I21" i="28" s="1"/>
  <c r="D53" i="28"/>
  <c r="F52" i="28"/>
  <c r="I52" i="28" s="1"/>
  <c r="J21" i="28" l="1"/>
  <c r="J52" i="28"/>
  <c r="J84" i="28"/>
  <c r="J115" i="28"/>
  <c r="D86" i="28"/>
  <c r="F85" i="28"/>
  <c r="I85" i="28" s="1"/>
  <c r="F116" i="28"/>
  <c r="I116" i="28" s="1"/>
  <c r="D117" i="28"/>
  <c r="D54" i="28"/>
  <c r="F53" i="28"/>
  <c r="I53" i="28" s="1"/>
  <c r="F22" i="28"/>
  <c r="I22" i="28" s="1"/>
  <c r="D23" i="28"/>
  <c r="J22" i="28" l="1"/>
  <c r="J53" i="28"/>
  <c r="J85" i="28"/>
  <c r="J116" i="28"/>
  <c r="D118" i="28"/>
  <c r="F117" i="28"/>
  <c r="I117" i="28" s="1"/>
  <c r="D24" i="28"/>
  <c r="F23" i="28"/>
  <c r="I23" i="28" s="1"/>
  <c r="D87" i="28"/>
  <c r="F86" i="28"/>
  <c r="I86" i="28" s="1"/>
  <c r="D55" i="28"/>
  <c r="F54" i="28"/>
  <c r="I54" i="28" s="1"/>
  <c r="J23" i="28" l="1"/>
  <c r="J54" i="28"/>
  <c r="J86" i="28"/>
  <c r="J117" i="28"/>
  <c r="F24" i="28"/>
  <c r="I24" i="28" s="1"/>
  <c r="D25" i="28"/>
  <c r="F55" i="28"/>
  <c r="I55" i="28" s="1"/>
  <c r="D56" i="28"/>
  <c r="D119" i="28"/>
  <c r="F118" i="28"/>
  <c r="I118" i="28" s="1"/>
  <c r="D88" i="28"/>
  <c r="F87" i="28"/>
  <c r="I87" i="28" s="1"/>
  <c r="J24" i="28" l="1"/>
  <c r="J55" i="28"/>
  <c r="J87" i="28"/>
  <c r="J118" i="28"/>
  <c r="F56" i="28"/>
  <c r="I56" i="28" s="1"/>
  <c r="I57" i="28" s="1"/>
  <c r="D57" i="28"/>
  <c r="F25" i="28"/>
  <c r="I25" i="28" s="1"/>
  <c r="I26" i="28" s="1"/>
  <c r="D26" i="28"/>
  <c r="F88" i="28"/>
  <c r="I88" i="28" s="1"/>
  <c r="I89" i="28" s="1"/>
  <c r="D89" i="28"/>
  <c r="F119" i="28"/>
  <c r="I119" i="28" s="1"/>
  <c r="I120" i="28" s="1"/>
  <c r="D120" i="28"/>
  <c r="J56" i="28" l="1"/>
  <c r="J62" i="28" s="1"/>
  <c r="J64" i="28" s="1"/>
  <c r="C118" i="26" s="1"/>
  <c r="C119" i="26" s="1"/>
  <c r="J119" i="28"/>
  <c r="J125" i="28" s="1"/>
  <c r="J127" i="28" s="1"/>
  <c r="C37" i="26" s="1"/>
  <c r="C38" i="26" s="1"/>
  <c r="E42" i="5" s="1"/>
  <c r="J25" i="28"/>
  <c r="J31" i="28" s="1"/>
  <c r="J33" i="28" s="1"/>
  <c r="C73" i="26" s="1"/>
  <c r="J88" i="28"/>
  <c r="J94" i="28" s="1"/>
  <c r="J96" i="28" s="1"/>
  <c r="C164" i="26" s="1"/>
  <c r="C165" i="26" s="1"/>
  <c r="H42" i="5" l="1"/>
  <c r="G42" i="5"/>
  <c r="G73" i="26"/>
  <c r="G74" i="26" s="1"/>
  <c r="C74" i="26"/>
  <c r="F42" i="5" l="1"/>
  <c r="G205" i="1"/>
  <c r="D44" i="10" l="1"/>
  <c r="H44" i="10"/>
  <c r="E66" i="5" l="1"/>
  <c r="D154" i="1"/>
  <c r="E21" i="14" l="1"/>
  <c r="D21" i="14"/>
  <c r="F20" i="14"/>
  <c r="F19" i="14"/>
  <c r="F21" i="14" l="1"/>
  <c r="D9" i="9" l="1"/>
  <c r="D10" i="9" s="1"/>
  <c r="E10" i="9" l="1"/>
  <c r="E12" i="9"/>
  <c r="E32" i="8" l="1"/>
  <c r="E33" i="8" s="1"/>
  <c r="H21" i="6"/>
  <c r="H12" i="3" l="1"/>
  <c r="F5" i="2" l="1"/>
  <c r="D22" i="1" l="1"/>
  <c r="D11" i="9" l="1"/>
  <c r="A3" i="15" l="1"/>
  <c r="I22" i="1" l="1"/>
  <c r="D216" i="1" l="1"/>
  <c r="D175" i="1"/>
  <c r="D110" i="1"/>
  <c r="D56" i="1"/>
  <c r="A3" i="6" l="1"/>
  <c r="E46" i="5"/>
  <c r="E45" i="5"/>
  <c r="B3" i="5"/>
  <c r="E47" i="5" s="1"/>
  <c r="B3" i="3"/>
  <c r="A3" i="9" l="1"/>
  <c r="C60" i="10" l="1"/>
  <c r="H24" i="10" s="1"/>
  <c r="B41" i="7" l="1"/>
  <c r="B38" i="7"/>
  <c r="B23" i="7"/>
  <c r="B42" i="7" l="1"/>
  <c r="E14" i="14" l="1"/>
  <c r="E29" i="14"/>
  <c r="E32" i="14" s="1"/>
  <c r="E34" i="14" s="1"/>
  <c r="F28"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A27" i="4" l="1"/>
  <c r="A29" i="4" s="1"/>
  <c r="K25" i="4"/>
  <c r="E25" i="4"/>
  <c r="L75" i="2"/>
  <c r="M75" i="2"/>
  <c r="L76" i="2"/>
  <c r="M76" i="2"/>
  <c r="L77" i="2"/>
  <c r="M77" i="2"/>
  <c r="L78" i="2"/>
  <c r="M78" i="2"/>
  <c r="L79" i="2"/>
  <c r="M79" i="2"/>
  <c r="L80" i="2"/>
  <c r="M80" i="2"/>
  <c r="L81" i="2"/>
  <c r="M81" i="2"/>
  <c r="L82" i="2"/>
  <c r="M82" i="2"/>
  <c r="M74" i="2"/>
  <c r="L74" i="2"/>
  <c r="L65" i="2"/>
  <c r="L61" i="2"/>
  <c r="L64" i="2"/>
  <c r="L63" i="2"/>
  <c r="L60" i="2"/>
  <c r="L59" i="2"/>
  <c r="A67" i="2"/>
  <c r="A69" i="2" s="1"/>
  <c r="L69" i="2" s="1"/>
  <c r="R65" i="2"/>
  <c r="M65" i="2"/>
  <c r="I65" i="2"/>
  <c r="F65" i="2"/>
  <c r="R61" i="2"/>
  <c r="R69" i="2" l="1"/>
  <c r="L67" i="2"/>
  <c r="A31" i="4"/>
  <c r="C21" i="1"/>
  <c r="A23" i="8"/>
  <c r="A24" i="8" s="1"/>
  <c r="A25" i="8" s="1"/>
  <c r="A26" i="8" s="1"/>
  <c r="A27" i="8" s="1"/>
  <c r="A28" i="8" s="1"/>
  <c r="A29" i="8" s="1"/>
  <c r="A30" i="8" s="1"/>
  <c r="A32" i="8" s="1"/>
  <c r="A33" i="8" s="1"/>
  <c r="A3" i="11"/>
  <c r="A3" i="10"/>
  <c r="D13" i="9" l="1"/>
  <c r="A14" i="13" l="1"/>
  <c r="A15" i="13" s="1"/>
  <c r="A16" i="13" s="1"/>
  <c r="A17" i="13" s="1"/>
  <c r="A18" i="13" s="1"/>
  <c r="A19" i="13" s="1"/>
  <c r="A20" i="13" s="1"/>
  <c r="A21" i="13" s="1"/>
  <c r="A22" i="13" s="1"/>
  <c r="A23" i="13" s="1"/>
  <c r="A24" i="13" s="1"/>
  <c r="A25" i="13" s="1"/>
  <c r="A26" i="13" s="1"/>
  <c r="A27" i="13" s="1"/>
  <c r="A28" i="13" s="1"/>
  <c r="A29" i="13" s="1"/>
  <c r="A30" i="13" s="1"/>
  <c r="A3" i="13"/>
  <c r="E24" i="3"/>
  <c r="A38" i="4" l="1"/>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51" i="10"/>
  <c r="D51" i="10"/>
  <c r="G43" i="10"/>
  <c r="I43" i="10" s="1"/>
  <c r="G42" i="10"/>
  <c r="I42" i="10" s="1"/>
  <c r="G41" i="10"/>
  <c r="I41" i="10" s="1"/>
  <c r="G40" i="10"/>
  <c r="I40" i="10" s="1"/>
  <c r="G39" i="10"/>
  <c r="I39" i="10" s="1"/>
  <c r="G38" i="10"/>
  <c r="I38" i="10" s="1"/>
  <c r="F22" i="10"/>
  <c r="G22" i="10" s="1"/>
  <c r="F21" i="10"/>
  <c r="G21" i="10" s="1"/>
  <c r="F20" i="10"/>
  <c r="G20" i="10" s="1"/>
  <c r="H20" i="10"/>
  <c r="G44" i="10" l="1"/>
  <c r="G51" i="10" s="1"/>
  <c r="I44" i="10"/>
  <c r="I51" i="10" s="1"/>
  <c r="H21" i="10"/>
  <c r="H22" i="10"/>
  <c r="F24" i="10" l="1"/>
  <c r="G24" i="10" s="1"/>
  <c r="F23" i="10"/>
  <c r="G23" i="10" s="1"/>
  <c r="H25" i="10"/>
  <c r="H23" i="10"/>
  <c r="F25" i="10" l="1"/>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D40" i="6" l="1"/>
  <c r="F20" i="6" s="1"/>
  <c r="H20" i="6" l="1"/>
  <c r="G204" i="1" s="1"/>
  <c r="H11" i="3" s="1"/>
  <c r="D204" i="1"/>
  <c r="E11" i="3" s="1"/>
  <c r="F12" i="6"/>
  <c r="F17" i="7"/>
  <c r="F23" i="7" s="1"/>
  <c r="F24" i="7" s="1"/>
  <c r="F25" i="7" s="1"/>
  <c r="F26" i="7" s="1"/>
  <c r="F27" i="7" s="1"/>
  <c r="F28" i="7" s="1"/>
  <c r="F29" i="7" s="1"/>
  <c r="F30" i="7" s="1"/>
  <c r="F31" i="7" s="1"/>
  <c r="F32" i="7" s="1"/>
  <c r="F33" i="7" s="1"/>
  <c r="F34" i="7" s="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41" i="7" l="1"/>
  <c r="F42" i="7" s="1"/>
  <c r="F43" i="7" s="1"/>
  <c r="F44" i="7" s="1"/>
  <c r="F45" i="7" s="1"/>
  <c r="F46" i="7" s="1"/>
  <c r="F47" i="7" s="1"/>
  <c r="F48" i="7" s="1"/>
  <c r="F49" i="7" s="1"/>
  <c r="F50" i="7" s="1"/>
  <c r="F51" i="7" s="1"/>
  <c r="F52" i="7" s="1"/>
  <c r="F38" i="7"/>
  <c r="I72" i="1"/>
  <c r="I67" i="1"/>
  <c r="I65" i="1"/>
  <c r="K72" i="5" l="1"/>
  <c r="K71" i="5"/>
  <c r="D126" i="1" l="1"/>
  <c r="E13" i="9"/>
  <c r="I79" i="1" l="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B21" i="3" s="1"/>
  <c r="D158" i="1"/>
  <c r="A194" i="1"/>
  <c r="A195" i="1" s="1"/>
  <c r="A196" i="1" s="1"/>
  <c r="A197" i="1" s="1"/>
  <c r="A127" i="1"/>
  <c r="A128" i="1" s="1"/>
  <c r="A129" i="1" s="1"/>
  <c r="A130" i="1" s="1"/>
  <c r="A131" i="1" s="1"/>
  <c r="A67" i="1"/>
  <c r="A68" i="1" s="1"/>
  <c r="A69" i="1" s="1"/>
  <c r="I187" i="1"/>
  <c r="D80" i="1"/>
  <c r="E27" i="3"/>
  <c r="A18" i="3" l="1"/>
  <c r="B25" i="3" s="1"/>
  <c r="A132" i="1"/>
  <c r="A133" i="1" s="1"/>
  <c r="A134" i="1" s="1"/>
  <c r="C197" i="1"/>
  <c r="A18" i="1"/>
  <c r="A200" i="1"/>
  <c r="A201" i="1" s="1"/>
  <c r="A202" i="1" s="1"/>
  <c r="A203" i="1" s="1"/>
  <c r="A71" i="1"/>
  <c r="A72" i="1" s="1"/>
  <c r="C79" i="1" s="1"/>
  <c r="I189" i="1"/>
  <c r="D164" i="1"/>
  <c r="D165" i="1"/>
  <c r="A19" i="3" l="1"/>
  <c r="A20" i="3" s="1"/>
  <c r="A21" i="3" s="1"/>
  <c r="A22" i="3" s="1"/>
  <c r="A23" i="3" s="1"/>
  <c r="A24" i="3" s="1"/>
  <c r="A25" i="3" s="1"/>
  <c r="A136" i="1"/>
  <c r="A137" i="1" s="1"/>
  <c r="A138" i="1" s="1"/>
  <c r="C100" i="1"/>
  <c r="A20" i="1"/>
  <c r="A21" i="1" s="1"/>
  <c r="E204" i="1"/>
  <c r="I20" i="6"/>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C155" i="1" l="1"/>
  <c r="A22" i="1"/>
  <c r="A24" i="1" s="1"/>
  <c r="F11" i="3"/>
  <c r="I11" i="3" s="1"/>
  <c r="I204" i="1"/>
  <c r="C80" i="1"/>
  <c r="C14" i="1"/>
  <c r="A212" i="1"/>
  <c r="C15" i="1" s="1"/>
  <c r="C206" i="1"/>
  <c r="A139" i="1"/>
  <c r="C140" i="1" s="1"/>
  <c r="A75" i="1"/>
  <c r="C81" i="1"/>
  <c r="I197" i="1"/>
  <c r="I17" i="1"/>
  <c r="I73" i="1"/>
  <c r="I120" i="1"/>
  <c r="B26" i="3"/>
  <c r="B28" i="3"/>
  <c r="B27" i="3"/>
  <c r="A26" i="3"/>
  <c r="A27" i="3" s="1"/>
  <c r="A28" i="3" s="1"/>
  <c r="A29" i="3" s="1"/>
  <c r="I80" i="1" l="1"/>
  <c r="H166" i="26"/>
  <c r="H167" i="26" s="1"/>
  <c r="H120" i="26"/>
  <c r="H121" i="26" s="1"/>
  <c r="H75" i="26"/>
  <c r="H76" i="26" s="1"/>
  <c r="H39" i="26"/>
  <c r="H40" i="26" s="1"/>
  <c r="C24" i="1"/>
  <c r="A31" i="3"/>
  <c r="A33" i="3" s="1"/>
  <c r="D31" i="3"/>
  <c r="G125" i="1"/>
  <c r="G124" i="1"/>
  <c r="A140" i="1"/>
  <c r="C82" i="1"/>
  <c r="A76" i="1"/>
  <c r="G145" i="1"/>
  <c r="G126" i="1"/>
  <c r="G144" i="1"/>
  <c r="G123" i="1"/>
  <c r="G68" i="1"/>
  <c r="G138" i="1"/>
  <c r="G122" i="1"/>
  <c r="G128" i="1"/>
  <c r="G121" i="1"/>
  <c r="G75" i="1"/>
  <c r="I16" i="1"/>
  <c r="B29" i="3"/>
  <c r="A34" i="3" l="1"/>
  <c r="A35" i="3" s="1"/>
  <c r="A36" i="3" s="1"/>
  <c r="A37" i="3" s="1"/>
  <c r="A38" i="3" s="1"/>
  <c r="A142" i="1"/>
  <c r="A143" i="1" s="1"/>
  <c r="A144" i="1" s="1"/>
  <c r="A145" i="1" s="1"/>
  <c r="A146" i="1" s="1"/>
  <c r="A147" i="1" s="1"/>
  <c r="A148" i="1" s="1"/>
  <c r="A149" i="1" s="1"/>
  <c r="A150" i="1" s="1"/>
  <c r="A151" i="1" s="1"/>
  <c r="A153" i="1" s="1"/>
  <c r="A154" i="1" s="1"/>
  <c r="A78" i="1"/>
  <c r="A79" i="1" s="1"/>
  <c r="A80" i="1" s="1"/>
  <c r="C83" i="1"/>
  <c r="I122" i="1"/>
  <c r="D36" i="3" l="1"/>
  <c r="D35" i="3"/>
  <c r="A81" i="1"/>
  <c r="A82" i="1" s="1"/>
  <c r="A83" i="1" s="1"/>
  <c r="C151" i="1"/>
  <c r="B158" i="1"/>
  <c r="A155" i="1"/>
  <c r="I123" i="1"/>
  <c r="I145" i="1"/>
  <c r="I144" i="1"/>
  <c r="A156" i="1" l="1"/>
  <c r="A157" i="1" s="1"/>
  <c r="A158" i="1" s="1"/>
  <c r="A85" i="1"/>
  <c r="A86" i="1" s="1"/>
  <c r="A87" i="1" s="1"/>
  <c r="A88" i="1" s="1"/>
  <c r="A89" i="1" s="1"/>
  <c r="A90" i="1" s="1"/>
  <c r="I126" i="1"/>
  <c r="A159" i="1" l="1"/>
  <c r="A160" i="1" s="1"/>
  <c r="A161" i="1" s="1"/>
  <c r="A162" i="1" s="1"/>
  <c r="A91" i="1" l="1"/>
  <c r="A92" i="1" s="1"/>
  <c r="C165" i="1"/>
  <c r="C163" i="1"/>
  <c r="C164" i="1"/>
  <c r="A163" i="1"/>
  <c r="A164" i="1" s="1"/>
  <c r="A165" i="1" s="1"/>
  <c r="A166" i="1" s="1"/>
  <c r="A93" i="1" l="1"/>
  <c r="A94" i="1" s="1"/>
  <c r="C95" i="1" s="1"/>
  <c r="F15" i="2"/>
  <c r="A168" i="1"/>
  <c r="A169" i="1" s="1"/>
  <c r="C171" i="1" s="1"/>
  <c r="C166" i="1"/>
  <c r="F16" i="2" l="1"/>
  <c r="A95" i="1"/>
  <c r="A97" i="1" s="1"/>
  <c r="A99" i="1" s="1"/>
  <c r="A100" i="1" s="1"/>
  <c r="A101" i="1" s="1"/>
  <c r="A102" i="1" s="1"/>
  <c r="A103" i="1" s="1"/>
  <c r="A105" i="1" s="1"/>
  <c r="A171" i="1"/>
  <c r="C162" i="1"/>
  <c r="C169" i="1" l="1"/>
  <c r="C5" i="3"/>
  <c r="C103" i="1"/>
  <c r="C105" i="1"/>
  <c r="A21" i="14" l="1"/>
  <c r="A24" i="14" l="1"/>
  <c r="A25" i="14" s="1"/>
  <c r="A26" i="14" s="1"/>
  <c r="A27" i="14" s="1"/>
  <c r="A28" i="14" s="1"/>
  <c r="A29" i="14" s="1"/>
  <c r="A30" i="14" l="1"/>
  <c r="A31" i="14" s="1"/>
  <c r="A32" i="14" s="1"/>
  <c r="C32" i="14" l="1"/>
  <c r="A34" i="14"/>
  <c r="C212" i="1" s="1"/>
  <c r="C34" i="14"/>
  <c r="D88" i="1" l="1"/>
  <c r="D86" i="1"/>
  <c r="D89" i="1" l="1"/>
  <c r="D87" i="1" l="1"/>
  <c r="F19" i="13" l="1"/>
  <c r="F24" i="13" s="1"/>
  <c r="F21" i="13" l="1"/>
  <c r="E89" i="29" l="1"/>
  <c r="G89" i="29"/>
  <c r="I125" i="1" l="1"/>
  <c r="D66" i="5" l="1"/>
  <c r="E15" i="9"/>
  <c r="D15" i="9"/>
  <c r="F15" i="9" l="1"/>
  <c r="D128" i="1" s="1"/>
  <c r="I128" i="1" s="1"/>
  <c r="D29" i="14" l="1"/>
  <c r="F26" i="14"/>
  <c r="D31" i="14"/>
  <c r="F31" i="14" s="1"/>
  <c r="F27" i="14"/>
  <c r="D30" i="14"/>
  <c r="F30" i="14" s="1"/>
  <c r="F40" i="6" l="1"/>
  <c r="F13" i="6" s="1"/>
  <c r="G40" i="6"/>
  <c r="F14" i="6" s="1"/>
  <c r="F29" i="14"/>
  <c r="D32" i="14"/>
  <c r="C40" i="6" l="1"/>
  <c r="F19" i="6" s="1"/>
  <c r="D203" i="1" s="1"/>
  <c r="H23" i="5"/>
  <c r="D102" i="1" s="1"/>
  <c r="F23" i="5"/>
  <c r="D97" i="1" s="1"/>
  <c r="I97" i="1" s="1"/>
  <c r="G23" i="5"/>
  <c r="D101" i="1" s="1"/>
  <c r="I101" i="1" s="1"/>
  <c r="D34" i="14"/>
  <c r="F32" i="14"/>
  <c r="D23" i="5"/>
  <c r="D68" i="1" s="1"/>
  <c r="J23" i="5"/>
  <c r="D75" i="1" s="1"/>
  <c r="E40" i="6"/>
  <c r="F11" i="6" l="1"/>
  <c r="F15" i="6" s="1"/>
  <c r="F21" i="6" s="1"/>
  <c r="D205" i="1" s="1"/>
  <c r="I212" i="1"/>
  <c r="D15" i="1" s="1"/>
  <c r="F34" i="14"/>
  <c r="F22" i="6"/>
  <c r="G21" i="6" s="1"/>
  <c r="D82" i="1"/>
  <c r="D83" i="1" s="1"/>
  <c r="I68" i="1"/>
  <c r="D69" i="1"/>
  <c r="E10" i="3"/>
  <c r="C42" i="5"/>
  <c r="D93" i="1" s="1"/>
  <c r="I93" i="1" s="1"/>
  <c r="I75" i="1"/>
  <c r="I76" i="1" s="1"/>
  <c r="D76" i="1"/>
  <c r="E21" i="4"/>
  <c r="E29" i="4" s="1"/>
  <c r="E12" i="3" l="1"/>
  <c r="E13" i="3" s="1"/>
  <c r="D206" i="1"/>
  <c r="F23" i="4"/>
  <c r="F17" i="4"/>
  <c r="F20" i="4"/>
  <c r="F24" i="4"/>
  <c r="F19" i="4"/>
  <c r="I21" i="6"/>
  <c r="G19" i="6"/>
  <c r="E205" i="1"/>
  <c r="I82" i="1"/>
  <c r="I83" i="1" s="1"/>
  <c r="G83" i="1" s="1"/>
  <c r="I69" i="1"/>
  <c r="G69" i="1" s="1"/>
  <c r="I15" i="1"/>
  <c r="I18" i="1" s="1"/>
  <c r="I30" i="2" s="1"/>
  <c r="I31" i="2" s="1"/>
  <c r="K31" i="2" s="1"/>
  <c r="D18" i="1"/>
  <c r="D163" i="1" l="1"/>
  <c r="E22" i="3"/>
  <c r="E26" i="3" s="1"/>
  <c r="F12" i="3"/>
  <c r="I12" i="3" s="1"/>
  <c r="I205" i="1"/>
  <c r="E203" i="1"/>
  <c r="G147" i="1"/>
  <c r="G102" i="1"/>
  <c r="I102" i="1" s="1"/>
  <c r="G150" i="1"/>
  <c r="I150" i="1" s="1"/>
  <c r="G149" i="1"/>
  <c r="I149" i="1" s="1"/>
  <c r="F29" i="4"/>
  <c r="G166" i="26"/>
  <c r="G167" i="26" s="1"/>
  <c r="I167" i="26" s="1"/>
  <c r="I89" i="1" s="1"/>
  <c r="G39" i="26"/>
  <c r="G40" i="26" s="1"/>
  <c r="I40" i="26" s="1"/>
  <c r="I86" i="1" s="1"/>
  <c r="G90" i="1"/>
  <c r="G163" i="1"/>
  <c r="G75" i="26"/>
  <c r="G76" i="26" s="1"/>
  <c r="I76" i="26" s="1"/>
  <c r="I87" i="1" s="1"/>
  <c r="G165" i="1"/>
  <c r="I165" i="1" s="1"/>
  <c r="H26" i="3"/>
  <c r="H27" i="3" s="1"/>
  <c r="G164" i="1"/>
  <c r="I164" i="1" s="1"/>
  <c r="G120" i="26"/>
  <c r="G121" i="26" s="1"/>
  <c r="I121" i="26" s="1"/>
  <c r="I88" i="1" s="1"/>
  <c r="I138" i="1"/>
  <c r="I23" i="2" s="1"/>
  <c r="I127" i="1"/>
  <c r="I124" i="1"/>
  <c r="I121" i="1"/>
  <c r="I119" i="1"/>
  <c r="D151" i="1" l="1"/>
  <c r="I163" i="1"/>
  <c r="I147" i="1"/>
  <c r="I151" i="1" s="1"/>
  <c r="I27" i="2" s="1"/>
  <c r="I28" i="2" s="1"/>
  <c r="K28" i="2" s="1"/>
  <c r="F10" i="3"/>
  <c r="I131" i="1"/>
  <c r="H28" i="3"/>
  <c r="I28" i="3" s="1"/>
  <c r="I27" i="3"/>
  <c r="D140" i="1"/>
  <c r="M59" i="2"/>
  <c r="M61" i="2" s="1"/>
  <c r="M69" i="2" s="1"/>
  <c r="I137" i="1"/>
  <c r="I140" i="1" s="1"/>
  <c r="I26" i="3"/>
  <c r="I118" i="1"/>
  <c r="F28" i="13" l="1"/>
  <c r="F30" i="13" s="1"/>
  <c r="D20" i="1" l="1"/>
  <c r="I20" i="1" s="1"/>
  <c r="D38" i="4"/>
  <c r="K19" i="4" s="1"/>
  <c r="K21" i="4" s="1"/>
  <c r="K29" i="4" s="1"/>
  <c r="F53" i="5" l="1"/>
  <c r="I42" i="5" l="1"/>
  <c r="D90" i="1" s="1"/>
  <c r="I90" i="1" s="1"/>
  <c r="D14" i="11" l="1"/>
  <c r="D33" i="11" l="1"/>
  <c r="D35" i="11" s="1"/>
  <c r="H19" i="6" s="1"/>
  <c r="G203" i="1" l="1"/>
  <c r="I19" i="6"/>
  <c r="I22" i="6" s="1"/>
  <c r="H10" i="3" l="1"/>
  <c r="I10" i="3" s="1"/>
  <c r="I13" i="3" s="1"/>
  <c r="I203" i="1"/>
  <c r="I206" i="1" s="1"/>
  <c r="D155" i="1" l="1"/>
  <c r="E18" i="3"/>
  <c r="F54" i="5" l="1"/>
  <c r="F55" i="5" l="1"/>
  <c r="F56" i="5" l="1"/>
  <c r="F57" i="5" l="1"/>
  <c r="F58" i="5" l="1"/>
  <c r="F59" i="5" l="1"/>
  <c r="F60" i="5" l="1"/>
  <c r="F61" i="5" l="1"/>
  <c r="F62" i="5" l="1"/>
  <c r="F63" i="5" l="1"/>
  <c r="F64" i="5" l="1"/>
  <c r="F65" i="5" l="1"/>
  <c r="F66" i="5" s="1"/>
  <c r="C66" i="5" s="1"/>
  <c r="E23" i="5" l="1"/>
  <c r="D92" i="1" s="1"/>
  <c r="I92" i="1" l="1"/>
  <c r="D95" i="1"/>
  <c r="I15" i="2" l="1"/>
  <c r="I16" i="2"/>
  <c r="I95" i="1"/>
  <c r="I59" i="2" l="1"/>
  <c r="F59" i="2" s="1"/>
  <c r="F61" i="2" s="1"/>
  <c r="F69" i="2" s="1"/>
  <c r="I24" i="2"/>
  <c r="K24" i="2" s="1"/>
  <c r="I61" i="2" l="1"/>
  <c r="I69" i="2" s="1"/>
  <c r="I132" i="1" l="1"/>
  <c r="I133" i="1" s="1"/>
  <c r="I134" i="1" s="1"/>
  <c r="D133" i="1"/>
  <c r="D134" i="1" s="1"/>
  <c r="D100" i="1" s="1"/>
  <c r="D103" i="1" s="1"/>
  <c r="D105" i="1" s="1"/>
  <c r="D169" i="1" s="1"/>
  <c r="D162" i="1" s="1"/>
  <c r="D166" i="1" s="1"/>
  <c r="D171" i="1" s="1"/>
  <c r="I19" i="2" l="1"/>
  <c r="I20" i="2" s="1"/>
  <c r="K20" i="2" s="1"/>
  <c r="K33" i="2" s="1"/>
  <c r="G63" i="2" s="1"/>
  <c r="H63" i="2" s="1"/>
  <c r="I100" i="1"/>
  <c r="I103" i="1" s="1"/>
  <c r="I105" i="1" s="1"/>
  <c r="J5" i="3" l="1"/>
  <c r="I169" i="1"/>
  <c r="G59" i="2"/>
  <c r="H59" i="2" s="1"/>
  <c r="G64" i="2"/>
  <c r="H64" i="2" s="1"/>
  <c r="G60" i="2"/>
  <c r="H60" i="2" s="1"/>
  <c r="H61" i="2" l="1"/>
  <c r="H65" i="2"/>
  <c r="I40" i="2"/>
  <c r="I41" i="2" s="1"/>
  <c r="J33" i="3"/>
  <c r="I162" i="1"/>
  <c r="I166" i="1" s="1"/>
  <c r="J37" i="3"/>
  <c r="J14" i="3"/>
  <c r="I25" i="3" s="1"/>
  <c r="I29" i="3" s="1"/>
  <c r="J29" i="3" s="1"/>
  <c r="J31" i="3" s="1"/>
  <c r="J34" i="3" l="1"/>
  <c r="J35" i="3" s="1"/>
  <c r="J36" i="3" s="1"/>
  <c r="J38" i="3" s="1"/>
  <c r="I36" i="2"/>
  <c r="I37" i="2" s="1"/>
  <c r="K37" i="2" s="1"/>
  <c r="K41" i="2"/>
  <c r="I171" i="1"/>
  <c r="I11" i="1" s="1"/>
  <c r="H69" i="2"/>
  <c r="I43" i="2" l="1"/>
  <c r="K43" i="2"/>
  <c r="P59" i="2"/>
  <c r="P60" i="2"/>
  <c r="P64" i="2"/>
  <c r="P63" i="2"/>
  <c r="P65" i="2" l="1"/>
  <c r="P61" i="2"/>
  <c r="J63" i="2"/>
  <c r="K63" i="2" s="1"/>
  <c r="J59" i="2"/>
  <c r="J64" i="2"/>
  <c r="K64" i="2" s="1"/>
  <c r="N64" i="2" s="1"/>
  <c r="J60" i="2"/>
  <c r="K60" i="2" s="1"/>
  <c r="N60" i="2" s="1"/>
  <c r="K59" i="2" l="1"/>
  <c r="N59" i="2" s="1"/>
  <c r="S59" i="2" s="1"/>
  <c r="P69" i="2"/>
  <c r="Q64" i="2"/>
  <c r="S64" i="2"/>
  <c r="H24" i="4" s="1"/>
  <c r="K61" i="2"/>
  <c r="Q60" i="2"/>
  <c r="S60" i="2"/>
  <c r="K65" i="2"/>
  <c r="N63" i="2"/>
  <c r="Q59" i="2" l="1"/>
  <c r="Q61" i="2" s="1"/>
  <c r="N61" i="2"/>
  <c r="N65" i="2"/>
  <c r="S63" i="2"/>
  <c r="H23" i="4" s="1"/>
  <c r="Q63" i="2"/>
  <c r="Q65" i="2" s="1"/>
  <c r="H20" i="4"/>
  <c r="K69" i="2"/>
  <c r="Q69" i="2" l="1"/>
  <c r="S65" i="2"/>
  <c r="H19" i="4"/>
  <c r="S61" i="2"/>
  <c r="U59" i="2"/>
  <c r="N69" i="2"/>
  <c r="S69" i="2" l="1"/>
  <c r="H21" i="4"/>
  <c r="H25" i="4"/>
  <c r="H29" i="4" l="1"/>
  <c r="D9" i="7" s="1"/>
  <c r="G9" i="7" s="1"/>
  <c r="I56" i="7" s="1"/>
  <c r="D23" i="7" l="1"/>
  <c r="D24" i="7" s="1"/>
  <c r="H23" i="7" l="1"/>
  <c r="K23" i="7" s="1"/>
  <c r="D25" i="7"/>
  <c r="H24" i="7"/>
  <c r="K24" i="7" s="1"/>
  <c r="D26" i="7" l="1"/>
  <c r="H25" i="7"/>
  <c r="K25" i="7" s="1"/>
  <c r="H26" i="7" l="1"/>
  <c r="D27" i="7"/>
  <c r="D28" i="7" l="1"/>
  <c r="H27" i="7"/>
  <c r="K27" i="7" s="1"/>
  <c r="K26" i="7"/>
  <c r="H28" i="7" l="1"/>
  <c r="D29" i="7"/>
  <c r="D30" i="7" l="1"/>
  <c r="H29" i="7"/>
  <c r="K29" i="7" s="1"/>
  <c r="K28" i="7"/>
  <c r="D31" i="7" l="1"/>
  <c r="H30" i="7"/>
  <c r="K30" i="7" l="1"/>
  <c r="H31" i="7"/>
  <c r="K31" i="7" s="1"/>
  <c r="D32" i="7"/>
  <c r="H32" i="7" l="1"/>
  <c r="K32" i="7" s="1"/>
  <c r="D33" i="7"/>
  <c r="H33" i="7" l="1"/>
  <c r="K33" i="7" s="1"/>
  <c r="D34" i="7"/>
  <c r="H34" i="7" s="1"/>
  <c r="K34" i="7" l="1"/>
  <c r="K35" i="7" s="1"/>
  <c r="D38" i="7" s="1"/>
  <c r="H38" i="7" s="1"/>
  <c r="K38" i="7" s="1"/>
  <c r="H35" i="7"/>
  <c r="D41" i="7" l="1"/>
  <c r="I41" i="7"/>
  <c r="I42" i="7" s="1"/>
  <c r="I43" i="7" s="1"/>
  <c r="I44" i="7" s="1"/>
  <c r="I45" i="7" s="1"/>
  <c r="I46" i="7" s="1"/>
  <c r="I47" i="7" s="1"/>
  <c r="I48" i="7" s="1"/>
  <c r="I49" i="7" s="1"/>
  <c r="I50" i="7" s="1"/>
  <c r="I51" i="7" s="1"/>
  <c r="I52" i="7" s="1"/>
  <c r="I55" i="7" s="1"/>
  <c r="I57" i="7" s="1"/>
  <c r="J31" i="4" s="1"/>
  <c r="J20" i="4" l="1"/>
  <c r="J19" i="4"/>
  <c r="J17" i="4"/>
  <c r="J24" i="4"/>
  <c r="J23" i="4"/>
  <c r="K41" i="7"/>
  <c r="D42" i="7" s="1"/>
  <c r="H41" i="7"/>
  <c r="H42" i="7" l="1"/>
  <c r="K42" i="7"/>
  <c r="D43" i="7" s="1"/>
  <c r="J25" i="4"/>
  <c r="J21" i="4"/>
  <c r="J29" i="4" l="1"/>
  <c r="I21" i="1" s="1"/>
  <c r="I24" i="1" s="1"/>
  <c r="K43" i="7"/>
  <c r="D44" i="7" s="1"/>
  <c r="H43" i="7"/>
  <c r="K44" i="7" l="1"/>
  <c r="D45" i="7" s="1"/>
  <c r="H44" i="7"/>
  <c r="U63" i="2"/>
  <c r="K45" i="7" l="1"/>
  <c r="D46" i="7" s="1"/>
  <c r="H45" i="7"/>
  <c r="K46" i="7" l="1"/>
  <c r="D47" i="7" s="1"/>
  <c r="H46" i="7"/>
  <c r="H47" i="7" l="1"/>
  <c r="K47" i="7"/>
  <c r="D48" i="7" s="1"/>
  <c r="H48" i="7" l="1"/>
  <c r="K48" i="7"/>
  <c r="D49" i="7" s="1"/>
  <c r="H49" i="7" l="1"/>
  <c r="K49" i="7"/>
  <c r="D50" i="7" s="1"/>
  <c r="K50" i="7" l="1"/>
  <c r="D51" i="7" s="1"/>
  <c r="H50" i="7"/>
  <c r="H51" i="7" l="1"/>
  <c r="K51" i="7"/>
  <c r="D52" i="7" s="1"/>
  <c r="H52" i="7" l="1"/>
  <c r="H53" i="7" s="1"/>
  <c r="K52" i="7"/>
  <c r="G24" i="4" l="1"/>
  <c r="I24" i="4" s="1"/>
  <c r="L24" i="4" s="1"/>
  <c r="T64" i="2" s="1"/>
  <c r="G20" i="4"/>
  <c r="I20" i="4" s="1"/>
  <c r="L20" i="4" s="1"/>
  <c r="T60" i="2" s="1"/>
  <c r="G19" i="4"/>
  <c r="G23" i="4"/>
  <c r="G17" i="4"/>
  <c r="I17" i="4" l="1"/>
  <c r="G25" i="4"/>
  <c r="I23" i="4"/>
  <c r="I19" i="4"/>
  <c r="G21" i="4"/>
  <c r="G29" i="4" s="1"/>
  <c r="U60" i="2"/>
  <c r="U61" i="2" s="1"/>
  <c r="T61" i="2"/>
  <c r="U64" i="2"/>
  <c r="U65" i="2" s="1"/>
  <c r="T65" i="2"/>
  <c r="I21" i="4" l="1"/>
  <c r="L19" i="4"/>
  <c r="L21" i="4" s="1"/>
  <c r="I25" i="4"/>
  <c r="I29" i="4" s="1"/>
  <c r="L23" i="4"/>
  <c r="L25" i="4" s="1"/>
  <c r="T69" i="2"/>
  <c r="U69" i="2"/>
  <c r="L17" i="4"/>
  <c r="L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Williamson</author>
    <author>Jim Martin</author>
  </authors>
  <commentList>
    <comment ref="D9" authorId="0" shapeId="0" xr:uid="{00000000-0006-0000-0D00-000001000000}">
      <text>
        <r>
          <rPr>
            <i/>
            <sz val="9"/>
            <color indexed="81"/>
            <rFont val="Tahoma"/>
            <family val="2"/>
          </rPr>
          <t>Jim Martin</t>
        </r>
        <r>
          <rPr>
            <b/>
            <sz val="9"/>
            <color indexed="81"/>
            <rFont val="Tahoma"/>
            <family val="2"/>
          </rPr>
          <t xml:space="preserve">
Inputs are from the CY Actuarial Reports (UMWA and Non-UMWA).  </t>
        </r>
      </text>
    </comment>
    <comment ref="D10" authorId="1" shapeId="0" xr:uid="{00000000-0006-0000-0D00-000003000000}">
      <text>
        <r>
          <rPr>
            <b/>
            <sz val="9"/>
            <color indexed="81"/>
            <rFont val="Tahoma"/>
            <family val="2"/>
          </rPr>
          <t>Jim Martin:</t>
        </r>
        <r>
          <rPr>
            <sz val="9"/>
            <color indexed="81"/>
            <rFont val="Tahoma"/>
            <family val="2"/>
          </rPr>
          <t xml:space="preserve">
ratio of retired to total</t>
        </r>
      </text>
    </comment>
    <comment ref="E10" authorId="1" shapeId="0" xr:uid="{00000000-0006-0000-0D00-000004000000}">
      <text>
        <r>
          <rPr>
            <b/>
            <sz val="9"/>
            <color indexed="81"/>
            <rFont val="Tahoma"/>
            <family val="2"/>
          </rPr>
          <t>Jim Martin:</t>
        </r>
        <r>
          <rPr>
            <sz val="9"/>
            <color indexed="81"/>
            <rFont val="Tahoma"/>
            <family val="2"/>
          </rPr>
          <t xml:space="preserve">
ratio of retired to total</t>
        </r>
      </text>
    </comment>
    <comment ref="E12" authorId="1" shapeId="0" xr:uid="{00000000-0006-0000-0D00-00000500000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<sst xmlns="http://schemas.openxmlformats.org/spreadsheetml/2006/main" count="1998" uniqueCount="1083">
  <si>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</si>
  <si>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</si>
  <si>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</si>
  <si>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</si>
  <si>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</si>
  <si>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</si>
  <si>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</si>
  <si>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</si>
  <si>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</si>
  <si>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</si>
  <si>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</si>
  <si>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</si>
  <si>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</si>
  <si>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</si>
  <si>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</si>
  <si>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</si>
  <si>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</si>
  <si>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</si>
  <si>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</si>
  <si>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</si>
  <si>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</si>
  <si>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</si>
  <si>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</si>
  <si>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</si>
  <si>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</si>
  <si>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</si>
  <si>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</si>
  <si>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</si>
  <si>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</si>
  <si>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</si>
  <si>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</si>
  <si>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</si>
  <si>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</si>
  <si>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</si>
  <si>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</si>
  <si>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</si>
  <si>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</si>
  <si>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</si>
  <si>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</si>
  <si>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</si>
  <si>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</si>
  <si>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</si>
  <si>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</si>
  <si>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</si>
  <si>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</si>
  <si>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</si>
  <si>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</si>
  <si>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</si>
  <si>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</si>
  <si>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</si>
  <si>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</si>
  <si>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</si>
  <si>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</si>
  <si>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</si>
  <si>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</si>
  <si>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</si>
  <si>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</si>
  <si>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</si>
  <si>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</si>
  <si>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</si>
  <si>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</si>
  <si>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</si>
  <si>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</si>
  <si>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</si>
  <si>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</si>
  <si>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</si>
  <si>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</si>
  <si>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</si>
  <si>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</si>
  <si>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</si>
  <si>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</si>
  <si>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</si>
  <si>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</si>
  <si>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</si>
  <si>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</si>
  <si>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</si>
  <si>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</si>
  <si>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</si>
  <si>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</si>
  <si>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</si>
  <si>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</si>
  <si>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</si>
  <si>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</si>
  <si>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</si>
  <si>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</si>
  <si>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</si>
  <si>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</si>
  <si>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</si>
  <si>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</si>
  <si>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</si>
  <si>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</si>
  <si>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</si>
  <si>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</si>
  <si>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</si>
  <si>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</si>
  <si>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</si>
  <si>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</si>
  <si>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</si>
  <si>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</si>
  <si>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</si>
  <si>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</si>
  <si>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</si>
  <si>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</si>
  <si>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</si>
  <si>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</si>
  <si>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</si>
  <si>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</si>
  <si>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</si>
  <si>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</si>
  <si>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</si>
  <si>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</si>
  <si>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</si>
  <si>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</si>
  <si>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</si>
  <si>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</si>
  <si>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</si>
  <si>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</si>
  <si>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</si>
  <si>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</si>
  <si>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</si>
  <si>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</si>
  <si>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</si>
  <si>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</si>
  <si>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</si>
  <si>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</si>
  <si>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</si>
  <si>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</si>
  <si>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</si>
  <si>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</si>
  <si>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</si>
  <si>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</si>
  <si>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</si>
  <si>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</si>
  <si>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</si>
  <si>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</si>
  <si>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</si>
  <si>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</si>
  <si>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</si>
  <si>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</si>
  <si>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</si>
  <si>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</si>
  <si>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</si>
  <si>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</si>
  <si>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</si>
  <si>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</si>
  <si>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</si>
  <si>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</si>
  <si>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</si>
  <si>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</si>
  <si>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</si>
  <si>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</si>
  <si>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</si>
  <si>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</si>
  <si>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</si>
  <si>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</si>
  <si>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</si>
  <si>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</si>
  <si>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</si>
  <si>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</si>
  <si>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</si>
  <si>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</si>
  <si>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</si>
  <si>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</si>
  <si>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</si>
  <si>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</si>
  <si>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</si>
  <si>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</si>
  <si>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</si>
  <si>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</si>
  <si>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</si>
  <si>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</si>
  <si>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</si>
  <si>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</si>
  <si>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</si>
  <si>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</si>
  <si>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</si>
  <si>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</si>
  <si>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</si>
  <si>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</si>
  <si>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</si>
  <si>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</si>
  <si>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</si>
  <si>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</si>
  <si>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</si>
  <si>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</si>
  <si>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</si>
  <si>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</si>
  <si>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</si>
  <si>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</si>
  <si>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</si>
  <si>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</si>
  <si>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</si>
  <si>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</si>
  <si>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</si>
  <si>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</si>
  <si>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</si>
  <si>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</si>
  <si>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</si>
  <si>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</si>
  <si>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</si>
  <si>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</si>
  <si>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</si>
  <si>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</si>
  <si>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</si>
  <si>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</si>
  <si>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</si>
  <si>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</si>
  <si>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</si>
  <si>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</si>
  <si>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</si>
  <si>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</si>
  <si>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</si>
  <si>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</si>
  <si>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</si>
  <si>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</si>
  <si>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</si>
  <si>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</si>
  <si>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</si>
  <si>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</si>
  <si>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</si>
  <si>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</si>
  <si>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</si>
  <si>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</si>
  <si>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</si>
  <si>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</si>
  <si>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</si>
  <si>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</si>
  <si>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</si>
  <si>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</si>
  <si>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</si>
  <si>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</si>
  <si>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</si>
  <si>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</si>
  <si>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</si>
  <si>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</si>
  <si>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</si>
  <si>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</si>
  <si>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</si>
  <si>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</si>
  <si>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</si>
  <si>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</si>
  <si>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</si>
  <si>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</si>
  <si>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</si>
  <si>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</si>
  <si>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</si>
  <si>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</si>
  <si>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</si>
  <si>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</si>
  <si>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</si>
  <si>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</si>
  <si>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</si>
  <si>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</si>
  <si>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</si>
  <si>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</si>
  <si>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</si>
  <si>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</si>
  <si>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</si>
  <si>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</si>
  <si>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</si>
  <si>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</si>
  <si>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</si>
  <si>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</si>
  <si>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</si>
  <si>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</si>
  <si>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</si>
  <si>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</si>
  <si>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</si>
  <si>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</si>
  <si>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</si>
  <si>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</si>
  <si>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</si>
  <si>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</si>
  <si>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</si>
  <si>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</si>
  <si>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</si>
  <si>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</si>
  <si>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</si>
  <si>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</si>
  <si>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</si>
  <si>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</si>
  <si>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</si>
  <si>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</si>
  <si>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</si>
  <si>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</si>
  <si>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</si>
  <si>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</si>
  <si>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</si>
  <si>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</si>
  <si>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</si>
  <si>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</si>
  <si>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</si>
  <si>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</si>
  <si>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</si>
  <si>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</si>
  <si>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</si>
  <si>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</si>
  <si>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</si>
  <si>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</si>
  <si>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</si>
  <si>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</si>
  <si>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</si>
  <si>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</si>
  <si>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</si>
  <si>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</si>
  <si>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</si>
  <si>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</si>
  <si>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</si>
  <si>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</si>
  <si>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</si>
  <si>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</si>
  <si>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</si>
  <si>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</si>
  <si>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</si>
  <si>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</si>
  <si>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</si>
  <si>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</si>
  <si>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</si>
  <si>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</si>
  <si>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</si>
  <si>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</si>
  <si>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</si>
  <si>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</si>
  <si>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</si>
  <si>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</si>
  <si>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</si>
  <si>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</si>
  <si>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</si>
  <si>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</si>
  <si>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</si>
  <si>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</si>
  <si>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</si>
  <si>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</si>
  <si>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</si>
  <si>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</si>
  <si>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</si>
  <si>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</si>
  <si>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</si>
  <si>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</si>
  <si>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</si>
  <si>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</si>
  <si>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</si>
  <si>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</si>
  <si>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</si>
  <si>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</si>
  <si>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</si>
  <si>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</si>
  <si>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</si>
  <si>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</si>
  <si>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</si>
  <si>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</si>
  <si>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</si>
  <si>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</si>
  <si>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</si>
  <si>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</si>
  <si>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</si>
  <si>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</si>
  <si>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</si>
  <si>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</si>
  <si>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</si>
  <si>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</si>
  <si>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</si>
  <si>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</si>
  <si>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</si>
  <si>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</si>
  <si>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</si>
  <si>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</si>
  <si>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</si>
  <si>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</si>
  <si>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</si>
  <si>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</si>
  <si>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</si>
  <si>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</si>
  <si>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</si>
  <si>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</si>
  <si>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</si>
  <si>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</si>
  <si>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</si>
  <si>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</si>
  <si>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</si>
  <si>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</si>
  <si>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</si>
  <si>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</si>
  <si>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</si>
  <si>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</si>
  <si>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</si>
  <si>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</si>
  <si>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</si>
  <si>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</si>
  <si>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</si>
  <si>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</si>
  <si>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</si>
  <si>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</si>
  <si>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</si>
  <si>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</si>
  <si>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</si>
  <si>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</si>
  <si>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</si>
  <si>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</si>
  <si>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</si>
  <si>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</si>
  <si>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</si>
  <si>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</si>
  <si>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</si>
  <si>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</si>
  <si>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</si>
  <si>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</si>
  <si>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</si>
  <si>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</si>
  <si>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</si>
  <si>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</si>
  <si>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</si>
  <si>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</si>
  <si>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</si>
  <si>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</si>
  <si>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</si>
  <si>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</si>
  <si>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</si>
  <si>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</si>
  <si>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</si>
  <si>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</si>
  <si>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</si>
  <si>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</si>
  <si>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</si>
  <si>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</si>
  <si>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</si>
  <si>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</si>
  <si>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</si>
  <si>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</si>
  <si>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</si>
  <si>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</si>
  <si>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</si>
  <si>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</si>
  <si>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</si>
  <si>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</si>
  <si>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</si>
  <si>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</si>
  <si>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</si>
  <si>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</si>
  <si>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</si>
  <si>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</si>
  <si>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</si>
  <si>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</si>
  <si>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</si>
  <si>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</si>
  <si>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</si>
  <si>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</si>
  <si>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</si>
  <si>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</si>
  <si>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</si>
  <si>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</si>
  <si>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</si>
  <si>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</si>
  <si>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</si>
  <si>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</si>
  <si>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</si>
  <si>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</si>
  <si>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</si>
  <si>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</si>
  <si>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</si>
  <si>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</si>
  <si>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</si>
  <si>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</si>
  <si>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</si>
  <si>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</si>
  <si>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</si>
  <si>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</si>
  <si>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</si>
  <si>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</si>
  <si>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</si>
  <si>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</si>
  <si>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</si>
  <si>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</si>
  <si>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</si>
  <si>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</si>
  <si>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</si>
  <si>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</si>
  <si>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</si>
  <si>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</si>
  <si>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</si>
  <si>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</si>
  <si>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</si>
  <si>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</si>
  <si>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</si>
  <si>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</si>
  <si>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</si>
  <si>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</si>
  <si>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</si>
  <si>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</si>
  <si>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</si>
  <si>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</si>
  <si>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</si>
  <si>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</si>
  <si>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</si>
  <si>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</si>
  <si>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</si>
  <si>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</si>
  <si>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</si>
  <si>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</si>
  <si>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</si>
  <si>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</si>
  <si>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</si>
  <si>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</si>
  <si>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</si>
  <si>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</si>
  <si>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</si>
  <si>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</si>
  <si>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</si>
  <si>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</si>
  <si>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</si>
  <si>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</si>
  <si>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</si>
  <si>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</si>
  <si>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</si>
  <si>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</si>
  <si>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</si>
  <si>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</si>
  <si>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</si>
  <si>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</si>
  <si>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</si>
  <si>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</si>
  <si>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</si>
  <si>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</si>
  <si>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</si>
  <si>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</si>
  <si>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</si>
  <si>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</si>
  <si>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</si>
  <si>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</si>
  <si>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</si>
  <si>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</si>
  <si>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</si>
  <si>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</si>
  <si>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</si>
  <si>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</si>
  <si>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</si>
  <si>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</si>
  <si>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</si>
  <si>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</si>
  <si>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</si>
  <si>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</si>
  <si>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</si>
  <si>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</si>
  <si>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</si>
  <si>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</si>
  <si>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</si>
  <si>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</si>
  <si>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</si>
  <si>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</si>
  <si>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</si>
  <si>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</si>
  <si>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</si>
  <si>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</si>
  <si>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</si>
  <si>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</si>
  <si>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</si>
  <si>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</si>
  <si>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</si>
  <si>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</si>
  <si>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</si>
  <si>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</si>
  <si>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</si>
  <si>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</si>
  <si>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</si>
  <si>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</si>
  <si>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</si>
  <si>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</si>
  <si>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</si>
  <si>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</si>
  <si>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</si>
  <si>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</si>
  <si>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</si>
  <si>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</si>
  <si>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</si>
  <si>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</si>
  <si>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</si>
  <si>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</si>
  <si>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</si>
  <si>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</si>
  <si>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</si>
  <si>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</si>
  <si>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</si>
  <si>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</si>
  <si>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</si>
  <si>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</si>
  <si>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</si>
  <si>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</si>
  <si>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</si>
  <si>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</si>
  <si>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</si>
  <si>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</si>
  <si>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</si>
  <si>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</si>
  <si>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</si>
  <si>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</si>
  <si>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</si>
  <si>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</si>
  <si>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</si>
  <si>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</si>
  <si>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</si>
  <si>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</si>
  <si>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</si>
  <si>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</si>
  <si>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</si>
  <si>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</si>
  <si>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</si>
  <si>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</si>
  <si>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</si>
  <si>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</si>
  <si>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</si>
  <si>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</si>
  <si>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</si>
  <si>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</si>
  <si>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</si>
  <si>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</si>
  <si>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</si>
  <si>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</si>
  <si>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</si>
  <si>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</si>
  <si>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</si>
  <si>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</si>
  <si>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</si>
  <si>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</si>
  <si>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</si>
  <si>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</si>
  <si>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</si>
  <si>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</si>
  <si>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</si>
  <si>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</si>
  <si>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</si>
  <si>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</si>
  <si>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</si>
  <si>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</si>
  <si>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</si>
  <si>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</si>
  <si>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</si>
  <si>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</si>
  <si>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</si>
  <si>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</si>
  <si>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</si>
  <si>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</si>
  <si>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</si>
  <si>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</si>
  <si>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</si>
  <si>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</si>
  <si>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</si>
  <si>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</si>
  <si>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</si>
  <si>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</si>
  <si>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</si>
  <si>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</si>
  <si>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</si>
  <si>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</si>
  <si>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</si>
  <si>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</si>
  <si>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</si>
  <si>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</si>
  <si>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</si>
  <si>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</si>
  <si>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</si>
  <si>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</si>
  <si>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</si>
  <si>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</si>
  <si>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</si>
  <si>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</si>
  <si>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</si>
  <si>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</si>
  <si>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</si>
  <si>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</si>
  <si>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</si>
  <si>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</si>
  <si>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</si>
  <si>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</si>
  <si>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</si>
  <si>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</si>
  <si>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</si>
  <si>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</si>
  <si>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</si>
  <si>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</si>
  <si>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</si>
  <si>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</si>
  <si>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</si>
  <si>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</si>
  <si>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</si>
  <si>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</si>
  <si>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</si>
  <si>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</si>
  <si>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</si>
  <si>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</si>
  <si>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</si>
  <si>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</si>
  <si>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</si>
  <si>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</si>
  <si>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</si>
  <si>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</si>
  <si>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</si>
  <si>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</si>
  <si>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</si>
  <si>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</si>
  <si>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</si>
  <si>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</si>
  <si>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</si>
  <si>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</si>
  <si>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</si>
  <si>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</si>
  <si>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</si>
  <si>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</si>
  <si>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</si>
  <si>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</si>
  <si>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</si>
  <si>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</si>
  <si>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</si>
  <si>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</si>
  <si>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</si>
  <si>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</si>
  <si>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</si>
  <si>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</si>
  <si>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</si>
  <si>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</si>
  <si>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</si>
  <si>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</si>
  <si>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</si>
  <si>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</si>
  <si>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</si>
  <si>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</si>
  <si>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</si>
  <si>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</si>
  <si>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</si>
  <si>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</si>
  <si>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</si>
  <si>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Transource Pennsylvania, LLC</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</si>
  <si>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</si>
  <si>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</si>
  <si>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</si>
  <si>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</si>
  <si>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</si>
  <si>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</si>
  <si>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</si>
  <si>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</si>
  <si>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</si>
  <si>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</si>
  <si>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Attachment H-29A</t>
  </si>
  <si>
    <t>To be completed in conjunction with Attachment H-29A.</t>
  </si>
  <si>
    <t>Rate Formula Template - Attachment H-29A</t>
  </si>
  <si>
    <t>Attach H-29A, p 3, line 20, col 5 (Note C)</t>
  </si>
  <si>
    <t>Attach H-29A, p 3, line 32 col 5</t>
  </si>
  <si>
    <t>Attach H-29A, p 1, line 6 col 5</t>
  </si>
  <si>
    <t>Attach H-29A, p 3, line 46 col 5</t>
  </si>
  <si>
    <t>Attach H-29A, p 3, line 48 col 5</t>
  </si>
  <si>
    <t>Net Plant is that identified on page 2 line 14 of Attachment H-29A inclusive of any CWIP or unamortized Abandoned Plant included in rate base when authorized by FERC order less any prefunded AFUDC, if applicable.</t>
  </si>
  <si>
    <t>(Notes Q &amp; R from Attachment H-29A)</t>
  </si>
  <si>
    <t>(Notes Q, R, &amp; T from Attachment H-29A)</t>
  </si>
  <si>
    <t xml:space="preserve">       and FIT, SIT &amp; p are as given in Attachment H-29A footnote N.</t>
  </si>
  <si>
    <t>Attachment H-29A, Page 3, Line 39</t>
  </si>
  <si>
    <t>Attachment H-29A, Page 3, Line 40</t>
  </si>
  <si>
    <t>Attachment H-29A, Page 3, Line 41</t>
  </si>
  <si>
    <t>Return    (Attach. H-29A, page 3 line 48 col 5)</t>
  </si>
  <si>
    <t>Income Tax    (Attach. H-29A, page 3 line 46 col 5)</t>
  </si>
  <si>
    <t xml:space="preserve"> in Attachment H-29A that are not the result of a timing difference.</t>
  </si>
  <si>
    <t>Remaining Attachment H-29A</t>
  </si>
  <si>
    <t>Line 25 (a), Note A and Attachment H-29A Note Q</t>
  </si>
  <si>
    <t>Line 25 (b), Note B and Attachment H-29A Note Q</t>
  </si>
  <si>
    <t>Line 7, Note C  and Attachment H-29A Notes Q and T</t>
  </si>
  <si>
    <t>Note A - Projected ATRR for the true-up year from Page 1, Line 1 of Projection Attachment H-29A minus Line 6 of Projection Attachment H-29A.</t>
  </si>
  <si>
    <t>Note B - Actual Net ATRR for the true-up year from Page 1, Line 10 of True-Up Attachment H-29A.</t>
  </si>
  <si>
    <t xml:space="preserve">This Attachment 8 is to be utilized to determine the cost of debt prior to issuing non-construction financing.  Once non-construction financing is issued the cost of debt shall be determined using the methodology described in Note Q on Attachment H-29A.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</si>
  <si>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H-29A.</t>
  </si>
  <si>
    <t xml:space="preserve">
(Note H)</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</si>
  <si>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H-29A will not be entered on this schedule. </t>
  </si>
  <si>
    <t>Cost = Attachment H-29A, page 4, Line 17, Cost plus 100 bp</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</si>
  <si>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</si>
  <si>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</si>
  <si>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</si>
  <si>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</si>
  <si>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</si>
  <si>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</si>
  <si>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</si>
  <si>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</si>
  <si>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</si>
  <si>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</si>
  <si>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</si>
  <si>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</si>
  <si>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</si>
  <si>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</si>
  <si>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</si>
  <si>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</si>
  <si>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</si>
  <si>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</si>
  <si>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</si>
  <si>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</si>
  <si>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</si>
  <si>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</si>
  <si>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</si>
  <si>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</si>
  <si>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</si>
  <si>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</si>
  <si>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</si>
  <si>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</si>
  <si>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</si>
  <si>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</si>
  <si>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</si>
  <si>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</si>
  <si>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</si>
  <si>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</si>
  <si>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t>
  </si>
  <si>
    <t>(B)</t>
  </si>
  <si>
    <t>(D)</t>
  </si>
  <si>
    <t>(E)</t>
  </si>
  <si>
    <t>(F)</t>
  </si>
  <si>
    <t>(G)</t>
  </si>
  <si>
    <t>(H)</t>
  </si>
  <si>
    <t>Overpayments of Income Taxes shall be excluded from Prepayments if the overpayments are not used to reduce future tax liability.</t>
  </si>
  <si>
    <t>Unfunded Reserves    (Notes A and F through H)</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</si>
  <si>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</si>
  <si>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</si>
  <si>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</si>
  <si>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</si>
  <si>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Company Books and Records - Note O</t>
  </si>
  <si>
    <t>Gross Transmission Plant is that identified on page 2 line 2 of Attachment H-29A inclusive of any CWIP included in rate base when authorized by FERC order.</t>
  </si>
  <si>
    <t>Attach H-29A, p 3, line 17 col. 5, less line 14 col. 5</t>
  </si>
  <si>
    <t>Project Net Plant is the Project Gross Plant Identified in Column 3 less the associated Accumulated Depreciation plus CWIP in rate base, if applicable and Unamortized Abandoned Plant, if applicable.</t>
  </si>
  <si>
    <t>Project Depreciation Expense is the actual value booked for the project (excluding General and Intangible depreciation) at Attachment H-29A, page 3, line 19, plus amortization of Abandoned Plant at Attachment H-29A, page 3, line 21, if applicable.</t>
  </si>
  <si>
    <t>Less: CWIP Excluded from Rate Base</t>
  </si>
  <si>
    <t>Less: AFUDC Excluded from Rate Base</t>
  </si>
  <si>
    <t>( d )= (a) - (b) - ( c )</t>
  </si>
  <si>
    <t xml:space="preserve">Less Preferred Stock (line 25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</si>
  <si>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</si>
  <si>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</si>
  <si>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</si>
  <si>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</si>
  <si>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</si>
  <si>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</si>
  <si>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</si>
  <si>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</si>
  <si>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 xml:space="preserve">  Account No. 283 (enter negative)</t>
  </si>
  <si>
    <t xml:space="preserve">  Account No. 190 </t>
  </si>
  <si>
    <t>Attachment 4, Line 28, Col. (h) (Note D)</t>
  </si>
  <si>
    <t>W</t>
  </si>
  <si>
    <t>Attachment 4, Line 14, Col. (d) (Note W)</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</si>
  <si>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</si>
  <si>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</si>
  <si>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</si>
  <si>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</si>
  <si>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H-29A that are not the result of a timing difference, including but not limited to depreciation related to capitalized AFUDC equity and meals and entertainment deductions.</t>
  </si>
  <si>
    <t>PJM Market Efficiency Project 9A</t>
  </si>
  <si>
    <t>b2743.5, b2743.1, b2752.5, b2752.1</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</si>
  <si>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</si>
  <si>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</si>
  <si>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</si>
  <si>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</si>
  <si>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I.  Account 281 - ADIT - Accelerated Amortization Property</t>
  </si>
  <si>
    <t>(C)</t>
  </si>
  <si>
    <t>(I)</t>
  </si>
  <si>
    <t>Relevant Year</t>
  </si>
  <si>
    <t>100%</t>
  </si>
  <si>
    <t>Total Included</t>
  </si>
  <si>
    <t>Avg. Balance</t>
  </si>
  <si>
    <t>Non-Transmission</t>
  </si>
  <si>
    <t>Related to Facilities</t>
  </si>
  <si>
    <t>in Ratebase</t>
  </si>
  <si>
    <t>Identification</t>
  </si>
  <si>
    <t>Excluded</t>
  </si>
  <si>
    <t>(E)+(F)+(G)</t>
  </si>
  <si>
    <t>Description / Justification</t>
  </si>
  <si>
    <t>Net Total Property and Accumulated Depreciation</t>
  </si>
  <si>
    <t>Accumulated deferred income taxes-Accelerated amortization property.</t>
  </si>
  <si>
    <t>Subtotal - Form 1, Avg. (272.17.b &amp; 273.17.k)</t>
  </si>
  <si>
    <t>Less FASB 109 Above if not separately removed</t>
  </si>
  <si>
    <t>Less FASB 106 and Other Excludable Items Above if not separately removed</t>
  </si>
  <si>
    <t>Transmission Allocator [ GP or W/S ]</t>
  </si>
  <si>
    <t>II.  Account 282 - ADIT - Other Property</t>
  </si>
  <si>
    <t>Related to Capitalized Software Timing Differences</t>
  </si>
  <si>
    <t>Related to Excess ADIT on Plant Timing Differences</t>
  </si>
  <si>
    <t>Subtotal - Form 1, Avg. (274.9.b &amp; 275.9.k)</t>
  </si>
  <si>
    <t>III.  Account 283 - ADIT - Other</t>
  </si>
  <si>
    <t>Electric operations DSIT</t>
  </si>
  <si>
    <t>Related to Excess ADIT on Non-Plant Timing Differences</t>
  </si>
  <si>
    <t>Subtotal - Form 1, Avg. (276.19.b &amp; 277.19.k)</t>
  </si>
  <si>
    <t>IV.  Account 190 - ADIT</t>
  </si>
  <si>
    <t>Book Accrual Timing Differences</t>
  </si>
  <si>
    <t>Subtotal - Form 1, Avg. (234.17.b &amp; 234.17.c)</t>
  </si>
  <si>
    <t>AVG Bal</t>
  </si>
  <si>
    <t>Dr. (Cr.)</t>
  </si>
  <si>
    <t>Acct 282</t>
  </si>
  <si>
    <t>Form 1 p. 274.9.b</t>
  </si>
  <si>
    <t>Form 1 p. 275.9.k</t>
  </si>
  <si>
    <t>Acct 283</t>
  </si>
  <si>
    <t>Form 1 p. 276.19.b</t>
  </si>
  <si>
    <t>Form 1 p. 277.19.k</t>
  </si>
  <si>
    <t>Acct 190</t>
  </si>
  <si>
    <t>Form 1 p. 234.18.b</t>
  </si>
  <si>
    <t>Form 1 p. 234.18.c</t>
  </si>
  <si>
    <t>Acct 254</t>
  </si>
  <si>
    <t>Total Acct 254 Grossed Up - Form 1, p. 278.b</t>
  </si>
  <si>
    <t>Total Acct 254 Grossed Up - Form 1, p. 278.f</t>
  </si>
  <si>
    <t>Acct 182.3</t>
  </si>
  <si>
    <t>Acct 182.3 Gross Up</t>
  </si>
  <si>
    <t>Total Acct 182.3 Grossed Up - Form 1, p. 232.b</t>
  </si>
  <si>
    <t>Total Acct 182.3 Grossed Up - Form 1, p. 232.f</t>
  </si>
  <si>
    <t>Note 1: Excess or deficient ADIT balances resulting from corporate income tax rate changes, including future federal, state, and local tax rate changes, are to be recorded to Accounts 254 or 182.3, respectively.</t>
  </si>
  <si>
    <t>Account 282</t>
  </si>
  <si>
    <t>Days in Period</t>
  </si>
  <si>
    <t>Averaging with Proration</t>
  </si>
  <si>
    <t>Days in the Month</t>
  </si>
  <si>
    <t>Number of Days Remaining in Year After Month's Accrual of Deferred Taxes</t>
  </si>
  <si>
    <t>Total Days in Future Portion of Test Period</t>
  </si>
  <si>
    <t>Proration Amount (C / D)</t>
  </si>
  <si>
    <t>Projected Monthly Activity</t>
  </si>
  <si>
    <t>Prorated Projected Monthly Activity (E x F)</t>
  </si>
  <si>
    <t>Prorated Projected Balance (Cumulative Sum of G)</t>
  </si>
  <si>
    <t>Average Balance of Prorated Items</t>
  </si>
  <si>
    <t>Ending Balance of Prorated items</t>
  </si>
  <si>
    <t>Non-prorated Average Balance</t>
  </si>
  <si>
    <t>Proration Adjustment</t>
  </si>
  <si>
    <t>Account 283</t>
  </si>
  <si>
    <t>December 31st balance Prorated Items</t>
  </si>
  <si>
    <t>Account 190</t>
  </si>
  <si>
    <t>Account 281</t>
  </si>
  <si>
    <t>Protected -  (Excess) / Deficient ADIT Amortization (Note 2)</t>
  </si>
  <si>
    <t>Remaining</t>
  </si>
  <si>
    <t>in Income Tax Expense</t>
  </si>
  <si>
    <t>Total (Note 1)</t>
  </si>
  <si>
    <t>(e)+(f)+(g)</t>
  </si>
  <si>
    <t>Period (Note 2)</t>
  </si>
  <si>
    <t>ARAM</t>
  </si>
  <si>
    <t>Subtotal</t>
  </si>
  <si>
    <t>Transmission Allocator [GP or W/S ]</t>
  </si>
  <si>
    <t>Unprotected -  (Excess) / Deficient ADIT Amortization (Note 3)</t>
  </si>
  <si>
    <t>Period (Note 3)</t>
  </si>
  <si>
    <t>Total Company</t>
  </si>
  <si>
    <t>Beginning of Year</t>
  </si>
  <si>
    <t>Return to Provision</t>
  </si>
  <si>
    <t xml:space="preserve">Current Year </t>
  </si>
  <si>
    <t>End of Year</t>
  </si>
  <si>
    <t>Balances</t>
  </si>
  <si>
    <t>Adjustments</t>
  </si>
  <si>
    <t>EDIT Amortization</t>
  </si>
  <si>
    <t>Balance</t>
  </si>
  <si>
    <t xml:space="preserve">             Assumption Method" (ARAM).</t>
  </si>
  <si>
    <t xml:space="preserve">              tracked by item.  Excess and deficient unprotected amortization primarily relates to the following deferred tax items:   Federal &amp; State NOL Carryovers and Regulatory Assets &amp; Liabilities.</t>
  </si>
  <si>
    <t xml:space="preserve">Note 2: The amortization of Tax Cuts and Jobs Act ("TCJA") related Excess and Deficient Protected ADIT balances starts January 1, 2018 over the remaining life of Transource Pennsylvania LLC's assets consistent the "Average Rate </t>
  </si>
  <si>
    <t>Worksheet 4a - ADIT Average Balances</t>
  </si>
  <si>
    <t>Worksheet 4b - Beginning &amp; Ending Balances</t>
  </si>
  <si>
    <t>Worksheet 4c - ADIT Proration Adjustment</t>
  </si>
  <si>
    <t>Worksheet 4d - (Excess)/Deficient ADIT Amortization (Note 1)</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</si>
  <si>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and true-ups, the ADIT calculation will include a proration of accelerated tax depreciation-related deferred taxes in accordance with Section 1.167(l)-1(h)(6)(ii) of the IRS regulations.</t>
  </si>
  <si>
    <t>Worksheet 4b</t>
  </si>
  <si>
    <t>Less Proration Adjustment (from Worksheet 4c)</t>
  </si>
  <si>
    <t>Beginning Balance</t>
  </si>
  <si>
    <t>Ending Balance</t>
  </si>
  <si>
    <t>to Worksheet 4a</t>
  </si>
  <si>
    <t>Attachment 4 and 4a (Note D)</t>
  </si>
  <si>
    <t>Acct 281</t>
  </si>
  <si>
    <t>Form 1 p. 272.17.b</t>
  </si>
  <si>
    <t>Form 1 p. 273.17.k</t>
  </si>
  <si>
    <t>(j)</t>
  </si>
  <si>
    <t>Amortization Account</t>
  </si>
  <si>
    <t>410.1 / 411.1</t>
  </si>
  <si>
    <t>Worksheet 4d - (Excess) / Deficient Deferred Taxes - Calculated End of Year Balance</t>
  </si>
  <si>
    <t>Regulatory Asset/Liability Balances</t>
  </si>
  <si>
    <t>Note 1: Worksheet 4d presents total company amortization for excess / deficient ADIT amounts.  The amortization of the excess and deficient ADIT is recorded to accounts 411.1 and 410.1 respectively.</t>
  </si>
  <si>
    <t>Note 3: This amortization of TCJA-related Excess and Deficient Unprotected ADIT balances starts January 1, 2020 using an amortization period of one (1) year.  Unprotected amortization is not generally booked or</t>
  </si>
  <si>
    <t>Note 4: Further explanitory notes may be provided for future tax rate changes</t>
  </si>
  <si>
    <t>Worksheet 4e - Tax Remeasurement</t>
  </si>
  <si>
    <t>Reason for Tax Remeasurement:</t>
  </si>
  <si>
    <t>Remeasurement</t>
  </si>
  <si>
    <t>Post-remeasurement</t>
  </si>
  <si>
    <t xml:space="preserve">Pre-remeasurement </t>
  </si>
  <si>
    <t>190/283 Reclass</t>
  </si>
  <si>
    <t>(Excess)/Deficiency</t>
  </si>
  <si>
    <t>Utility Account</t>
  </si>
  <si>
    <t>Percentage</t>
  </si>
  <si>
    <t>(e)=(c)*(d)</t>
  </si>
  <si>
    <t>(NOTE 2)</t>
  </si>
  <si>
    <t>(g)=(e)+(f)</t>
  </si>
  <si>
    <t xml:space="preserve"> (h)=(c)+(f)</t>
  </si>
  <si>
    <t xml:space="preserve">Pre-remeasurement Electric Utility Balance </t>
  </si>
  <si>
    <t xml:space="preserve">234.8.b </t>
  </si>
  <si>
    <t xml:space="preserve">   Less Deferred SIT</t>
  </si>
  <si>
    <t>Company Records</t>
  </si>
  <si>
    <t>Total including adjustments</t>
  </si>
  <si>
    <t>272.8.b</t>
  </si>
  <si>
    <t>282.1 (Enter Negative)</t>
  </si>
  <si>
    <t>274.5.b</t>
  </si>
  <si>
    <t>276.9.b</t>
  </si>
  <si>
    <t>283.1 (Enter Negative)</t>
  </si>
  <si>
    <t>Note 1: This sheet only to be used in years which have a change in corporate income tax rates.</t>
  </si>
  <si>
    <t>Note 2: As part of the reameasurement calculation, the remeasurement ADIT balances in account 1901001 were reclassed to account 2831001 to group nonproperty utility deferrals together as one timing difference.</t>
  </si>
  <si>
    <t>Note 3: Use blank rows in each account for any additonal adjustments needed prior to remeasurement.</t>
  </si>
  <si>
    <t>update for new tax remeasurements</t>
  </si>
  <si>
    <t>Beg year 0</t>
  </si>
  <si>
    <t>Initial remeasure</t>
  </si>
  <si>
    <t>Federal ADIT Excluded from Remeasurement</t>
  </si>
  <si>
    <t>Line 2</t>
  </si>
  <si>
    <t>Deferred SIT to be Remeasured</t>
  </si>
  <si>
    <t>Line 3</t>
  </si>
  <si>
    <t>Line 14</t>
  </si>
  <si>
    <t>Line 15</t>
  </si>
  <si>
    <t>Line 20</t>
  </si>
  <si>
    <t>ADSIT Adjustment to Calculate Remeasurement</t>
  </si>
  <si>
    <t>Related to Depreciation Timing Differences</t>
  </si>
  <si>
    <t>Revenue Refund Timing Differences</t>
  </si>
  <si>
    <t>Description of Correction 1</t>
  </si>
  <si>
    <t>AFUDC Equity is not a component of rate base</t>
  </si>
  <si>
    <t>Related to timing difference on AFUDC Equity</t>
  </si>
  <si>
    <t>Related to removal costs which are deductible for tax at the point the costs are incurred</t>
  </si>
  <si>
    <t>Underlying land purchase premium asset excluded from rate base by FERC order</t>
  </si>
  <si>
    <t>Federal Net Operating Loss Carryforward</t>
  </si>
  <si>
    <t>PA Net Operating Loss Carryforward</t>
  </si>
  <si>
    <t>Lines 38 &amp; 39 above</t>
  </si>
  <si>
    <t>Related to Reg Asset which is included in rate base</t>
  </si>
  <si>
    <t>Deferred State Income Taxes on Utility Operations</t>
  </si>
  <si>
    <t>Related to OK Excess ADSIT on Deferred State Income Taxes on Utility Operations</t>
  </si>
  <si>
    <t>Lines 63 &amp; 65 Above</t>
  </si>
  <si>
    <t xml:space="preserve">Excess / (Deficient) Deferred Income Taxes </t>
  </si>
  <si>
    <t xml:space="preserve">Excess / (Deficient) Deferred Income Tax Adjustment </t>
  </si>
  <si>
    <t xml:space="preserve">ADIT is computed using the average of the beginning of the year and the end of the year balances. Attachments 4a and 4b are used to populate the average ADIT balances on line 28 above. ADIT calculations will be  prorated to the extent required by Section 1.167(l)-1(h)(6)(ii) of the IRS regulations. Rate Projections and True-ups will use Attachment 4c to calculate the proration adjustment. </t>
  </si>
  <si>
    <t>Book Deferral Timing Differences</t>
  </si>
  <si>
    <t>Pennsylvania Rate Change &amp; DSIT Trueup</t>
  </si>
  <si>
    <t>For  the 12 months ended 12/31/2024</t>
  </si>
  <si>
    <t>North Delta Project</t>
  </si>
  <si>
    <t>b3737.47</t>
  </si>
  <si>
    <t>4101001</t>
  </si>
  <si>
    <t>1 Year</t>
  </si>
  <si>
    <t>4111002</t>
  </si>
  <si>
    <t>Lines 100 - 102 &amp; 113 Above</t>
  </si>
  <si>
    <t>230A ACRS Benefit Normalized</t>
  </si>
  <si>
    <t>REMOVAL CST</t>
  </si>
  <si>
    <t>712K  Capitalized Software Cost</t>
  </si>
  <si>
    <t>712L CAPITALIZED SOFTWARE COST-BOOKS</t>
  </si>
  <si>
    <t>310A AOFUDC</t>
  </si>
  <si>
    <t>960F-XS Exess ADFIT 282.1 - Protected</t>
  </si>
  <si>
    <t>EXCESS TX VS S/L BK DEPR</t>
  </si>
  <si>
    <t>960F-XS Exess ADFIT 282.4 - Protected</t>
  </si>
  <si>
    <t>960F-XS Exess ADFIT 282.4 - Unprotected</t>
  </si>
  <si>
    <t>6002 - PT AFUDC Debt - NORM</t>
  </si>
  <si>
    <t>6009 - PT COR - NORM</t>
  </si>
  <si>
    <t>6018 - PT Method/Life - NORM</t>
  </si>
  <si>
    <t>6523 - 2020 712L 481(a) Software</t>
  </si>
  <si>
    <t>REG ASSET-PRE CONSTRUCTION COSTS</t>
  </si>
  <si>
    <t>911Q-DSIT  DSIT Entry-Normalized</t>
  </si>
  <si>
    <t>911Q-XS EXCESS DSIT - UNPROTECTED PA</t>
  </si>
  <si>
    <t>960F-XS Excess ADFIT 283.1 - Unprotected</t>
  </si>
  <si>
    <t>960F-XS Excess ADFIT 283.4 - Unprotected</t>
  </si>
  <si>
    <t>911Q-XS EXCESS DSIT 283.4 - UNPROTECTED PA</t>
  </si>
  <si>
    <t>911Q-XS EXCESS DSIT 283.1 - UNPROTECTED PA</t>
  </si>
  <si>
    <t>014C-PA - NOL-State C/F-Deferred Tax Asset</t>
  </si>
  <si>
    <t>675A REG ASSET-FERC Formula Rates Under Recvr</t>
  </si>
  <si>
    <t>910K REMOVAL CST</t>
  </si>
  <si>
    <t>520A  Provision for Possible Revenue Refunds</t>
  </si>
  <si>
    <t>601E- INSURANCE PREMIUMS ACCRUED</t>
  </si>
  <si>
    <t>612Y  Accrued Companywide Incentive Plan</t>
  </si>
  <si>
    <t>4032 - NOL-STATE C/F-DEF TAX ASSET-L/T - PA</t>
  </si>
  <si>
    <t>7337 - REG ASSET-PRE CONSTRUCTION COSTS</t>
  </si>
  <si>
    <t>7423 - REG ASSET-FERC Formula Rates Under Recvr</t>
  </si>
  <si>
    <t>7021 - PROVS POSS REV REFDS-A/L</t>
  </si>
  <si>
    <t>7027 - INSURANCE PREMIUMS ACCRUED</t>
  </si>
  <si>
    <t>7048 - ACCRD COMPANYWIDE INCENTV PLAN</t>
  </si>
  <si>
    <t>520Y Provision for Rate Refund - Excess ADFIT Protected</t>
  </si>
  <si>
    <t>601E- Insurance Premiums Accrued</t>
  </si>
  <si>
    <t>601T  TMO Land Purchase Prem Amort</t>
  </si>
  <si>
    <t>960Z - NOL-Deferred Tax Asset Reclass</t>
  </si>
  <si>
    <t>960F-XS Excess ADFIT 282.4 - Protected</t>
  </si>
  <si>
    <t>960F-XS Excess ADFIT 282.4 - Unprotected</t>
  </si>
  <si>
    <t>EXCESS DSIT - UNPROTECTED PA</t>
  </si>
  <si>
    <t>671S Reg Asset - Pre Construction</t>
  </si>
  <si>
    <t>4041 - NOL - DEFERRED TAX ASSET RECLASS</t>
  </si>
  <si>
    <t>2017 TCJA Excess ADIT - Regulatory Tax Liability</t>
  </si>
  <si>
    <t>4111001</t>
  </si>
  <si>
    <t xml:space="preserve">     (excludes Gross-up Adjustment)</t>
  </si>
  <si>
    <t>2017 TCJA Deficient ADIT - Regulatory Tax Asset</t>
  </si>
  <si>
    <t>2022 PA Excess ADIT - Regulatory Tax Liability</t>
  </si>
  <si>
    <t>Protected Plant, before Gross-up  (2017 TCJA Rate Change)</t>
  </si>
  <si>
    <t>The amortization of TCJA-related Excess and Deficient Protected ADIT balances starts January 1, 2018</t>
  </si>
  <si>
    <t xml:space="preserve">Protected Plant, Gross-up Adj </t>
  </si>
  <si>
    <t>Other Adjustments related to change in gross up rate</t>
  </si>
  <si>
    <t>Unprotected, before Gross-up (2017 TCJA Rate Change)</t>
  </si>
  <si>
    <t>The amortization of TCJA-related Excess and Deficient Unprotected ADIT balances starts January 1, 2023</t>
  </si>
  <si>
    <t>Unprotected, Gross-up Adj</t>
  </si>
  <si>
    <t>Unprotected State, before Gross-up (2022 PA Rate Change)</t>
  </si>
  <si>
    <t>The amortization of PA Excess Unprotected ADIT balance starts January 1, 2023</t>
  </si>
  <si>
    <t>Unprotected State, Gross-up Adj</t>
  </si>
  <si>
    <t>Gross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</si>
</sst>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0.0000_);\(#,##0.0000\)"/>
  </numFmts>
  <fonts count="18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u/>
      <sz val="10"/>
      <name val="Arial"/>
      <family val="2"/>
    </font>
    <font>
      <b/>
      <sz val="16"/>
      <name val="Arial"/>
      <family val="2"/>
    </font>
    <font>
      <b/>
      <sz val="14"/>
      <name val="Times New Roman"/>
      <family val="1"/>
    </font>
    <font>
      <b/>
      <u/>
      <sz val="10"/>
      <name val="Arial"/>
      <family val="2"/>
    </font>
    <font>
      <sz val="10"/>
      <color rgb="FF0000FF"/>
      <name val="Arial"/>
      <family val="2"/>
    </font>
    <font>
      <sz val="10"/>
      <color indexed="10"/>
      <name val="Arial"/>
      <family val="2"/>
    </font>
    <font>
      <b/>
      <sz val="12"/>
      <name val="Arial MT"/>
    </font>
    <font>
      <b/>
      <i/>
      <sz val="10"/>
      <name val="Arial"/>
      <family val="2"/>
    </font>
    <font>
      <sz val="14"/>
      <color theme="1"/>
      <name val="Arial"/>
      <family val="2"/>
    </font>
    <font>
      <strike/>
      <sz val="10"/>
      <name val="Arial"/>
      <family val="2"/>
    </font>
    <font>
      <sz val="10"/>
      <color rgb="FFFF0000"/>
      <name val="Arial"/>
      <family val="2"/>
    </font>
    <font>
      <b/>
      <u val="singleAccounting"/>
      <sz val="10"/>
      <name val="Arial"/>
      <family val="2"/>
    </font>
    <font>
      <strike/>
      <sz val="10"/>
      <color rgb="FFFF0000"/>
      <name val="Times New Roman"/>
      <family val="1"/>
    </font>
  </fonts>
  <fills count="70">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4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828">
    <xf numFmtId="174" fontId="0" fillId="0" borderId="0" applyProtection="0"/>
    <xf numFmtId="0" fontId="19" fillId="0" borderId="0"/>
    <xf numFmtId="185" fontId="57" fillId="0" borderId="0" applyFont="0" applyFill="0" applyBorder="0" applyAlignment="0" applyProtection="0"/>
    <xf numFmtId="186" fontId="57" fillId="0" borderId="0" applyFont="0" applyFill="0" applyBorder="0" applyAlignment="0" applyProtection="0"/>
    <xf numFmtId="187" fontId="57" fillId="0" borderId="0" applyFont="0" applyFill="0" applyBorder="0" applyAlignment="0" applyProtection="0"/>
    <xf numFmtId="188" fontId="57" fillId="0" borderId="0" applyFont="0" applyFill="0" applyBorder="0" applyAlignment="0" applyProtection="0"/>
    <xf numFmtId="189" fontId="57" fillId="0" borderId="0" applyFont="0" applyFill="0" applyBorder="0" applyAlignment="0" applyProtection="0"/>
    <xf numFmtId="190" fontId="57" fillId="0" borderId="0" applyFont="0" applyFill="0" applyBorder="0" applyAlignment="0" applyProtection="0"/>
    <xf numFmtId="0" fontId="27" fillId="0" borderId="0"/>
    <xf numFmtId="191" fontId="19" fillId="2" borderId="0" applyNumberFormat="0" applyFill="0" applyBorder="0" applyAlignment="0" applyProtection="0">
      <alignment horizontal="right" vertical="center"/>
    </xf>
    <xf numFmtId="191" fontId="51" fillId="0" borderId="0" applyNumberFormat="0" applyFill="0" applyBorder="0" applyAlignment="0" applyProtection="0"/>
    <xf numFmtId="0" fontId="19" fillId="0" borderId="1" applyNumberFormat="0" applyFont="0" applyFill="0" applyAlignment="0" applyProtection="0"/>
    <xf numFmtId="192" fontId="49" fillId="0" borderId="0" applyFont="0" applyFill="0" applyBorder="0" applyAlignment="0" applyProtection="0"/>
    <xf numFmtId="193" fontId="57" fillId="0" borderId="0" applyFont="0" applyFill="0" applyBorder="0" applyProtection="0">
      <alignment horizontal="left"/>
    </xf>
    <xf numFmtId="194" fontId="57" fillId="0" borderId="0" applyFont="0" applyFill="0" applyBorder="0" applyProtection="0">
      <alignment horizontal="left"/>
    </xf>
    <xf numFmtId="195" fontId="57" fillId="0" borderId="0" applyFont="0" applyFill="0" applyBorder="0" applyProtection="0">
      <alignment horizontal="left"/>
    </xf>
    <xf numFmtId="37" fontId="58" fillId="0" borderId="0" applyFont="0" applyFill="0" applyBorder="0" applyAlignment="0" applyProtection="0">
      <alignment vertical="center"/>
      <protection locked="0"/>
    </xf>
    <xf numFmtId="196" fontId="59" fillId="0" borderId="0" applyFont="0" applyFill="0" applyBorder="0" applyAlignment="0" applyProtection="0"/>
    <xf numFmtId="0" fontId="60" fillId="0" borderId="0"/>
    <xf numFmtId="0" fontId="60" fillId="0" borderId="0"/>
    <xf numFmtId="174" fontId="17" fillId="0" borderId="0" applyFill="0"/>
    <xf numFmtId="174" fontId="17" fillId="0" borderId="0">
      <alignment horizontal="center"/>
    </xf>
    <xf numFmtId="0" fontId="17" fillId="0" borderId="0" applyFill="0">
      <alignment horizontal="center"/>
    </xf>
    <xf numFmtId="174" fontId="18" fillId="0" borderId="2" applyFill="0"/>
    <xf numFmtId="0" fontId="19" fillId="0" borderId="0" applyFont="0" applyAlignment="0"/>
    <xf numFmtId="0" fontId="20" fillId="0" borderId="0" applyFill="0">
      <alignment vertical="top"/>
    </xf>
    <xf numFmtId="0" fontId="18" fillId="0" borderId="0" applyFill="0">
      <alignment horizontal="left" vertical="top"/>
    </xf>
    <xf numFmtId="174" fontId="21" fillId="0" borderId="3" applyFill="0"/>
    <xf numFmtId="0" fontId="19" fillId="0" borderId="0" applyNumberFormat="0" applyFont="0" applyAlignment="0"/>
    <xf numFmtId="0" fontId="20" fillId="0" borderId="0" applyFill="0">
      <alignment wrapText="1"/>
    </xf>
    <xf numFmtId="0" fontId="18" fillId="0" borderId="0" applyFill="0">
      <alignment horizontal="left" vertical="top" wrapText="1"/>
    </xf>
    <xf numFmtId="174" fontId="22" fillId="0" borderId="0" applyFill="0"/>
    <xf numFmtId="0" fontId="23" fillId="0" borderId="0" applyNumberFormat="0" applyFont="0" applyAlignment="0">
      <alignment horizontal="center"/>
    </xf>
    <xf numFmtId="0" fontId="24" fillId="0" borderId="0" applyFill="0">
      <alignment vertical="top" wrapText="1"/>
    </xf>
    <xf numFmtId="0" fontId="21" fillId="0" borderId="0" applyFill="0">
      <alignment horizontal="left" vertical="top" wrapText="1"/>
    </xf>
    <xf numFmtId="174" fontId="19" fillId="0" borderId="0" applyFill="0"/>
    <xf numFmtId="0" fontId="23" fillId="0" borderId="0" applyNumberFormat="0" applyFont="0" applyAlignment="0">
      <alignment horizontal="center"/>
    </xf>
    <xf numFmtId="0" fontId="25" fillId="0" borderId="0" applyFill="0">
      <alignment vertical="center" wrapText="1"/>
    </xf>
    <xf numFmtId="0" fontId="26" fillId="0" borderId="0">
      <alignment horizontal="left" vertical="center" wrapText="1"/>
    </xf>
    <xf numFmtId="174" fontId="27" fillId="0" borderId="0" applyFill="0"/>
    <xf numFmtId="0" fontId="23"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0" fontId="19" fillId="0" borderId="0" applyFill="0">
      <alignment horizontal="center" vertical="center" wrapText="1"/>
    </xf>
    <xf numFmtId="174" fontId="30" fillId="0" borderId="0" applyFill="0"/>
    <xf numFmtId="0" fontId="23" fillId="0" borderId="0" applyNumberFormat="0" applyFont="0" applyAlignment="0">
      <alignment horizontal="center"/>
    </xf>
    <xf numFmtId="0" fontId="31" fillId="0" borderId="0" applyFill="0">
      <alignment horizontal="center" vertical="center" wrapText="1"/>
    </xf>
    <xf numFmtId="0" fontId="32" fillId="0" borderId="0" applyFill="0">
      <alignment horizontal="center" vertical="center" wrapText="1"/>
    </xf>
    <xf numFmtId="174" fontId="33" fillId="0" borderId="0" applyFill="0"/>
    <xf numFmtId="0" fontId="23" fillId="0" borderId="0" applyNumberFormat="0" applyFont="0" applyAlignment="0">
      <alignment horizontal="center"/>
    </xf>
    <xf numFmtId="0" fontId="34" fillId="0" borderId="0">
      <alignment horizontal="center" wrapText="1"/>
    </xf>
    <xf numFmtId="0" fontId="30" fillId="0" borderId="0" applyFill="0">
      <alignment horizontal="center" wrapText="1"/>
    </xf>
    <xf numFmtId="179" fontId="61" fillId="0" borderId="0" applyFont="0" applyFill="0" applyBorder="0" applyAlignment="0" applyProtection="0">
      <protection locked="0"/>
    </xf>
    <xf numFmtId="197" fontId="61" fillId="0" borderId="0" applyFont="0" applyFill="0" applyBorder="0" applyAlignment="0" applyProtection="0">
      <protection locked="0"/>
    </xf>
    <xf numFmtId="39" fontId="19" fillId="0" borderId="0" applyFont="0" applyFill="0" applyBorder="0" applyAlignment="0" applyProtection="0"/>
    <xf numFmtId="198" fontId="62" fillId="0" borderId="0" applyFont="0" applyFill="0" applyBorder="0" applyAlignment="0" applyProtection="0"/>
    <xf numFmtId="182" fontId="59" fillId="0" borderId="0" applyFont="0" applyFill="0" applyBorder="0" applyAlignment="0" applyProtection="0"/>
    <xf numFmtId="0" fontId="19" fillId="0" borderId="1" applyNumberFormat="0" applyFont="0" applyFill="0" applyBorder="0" applyProtection="0">
      <alignment horizontal="centerContinuous" vertical="center"/>
    </xf>
    <xf numFmtId="0" fontId="43" fillId="0" borderId="0" applyFill="0" applyBorder="0" applyProtection="0">
      <alignment horizontal="center"/>
      <protection locked="0"/>
    </xf>
    <xf numFmtId="43" fontId="19" fillId="0" borderId="0" applyFont="0" applyFill="0" applyBorder="0" applyAlignment="0" applyProtection="0"/>
    <xf numFmtId="0" fontId="19"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41" fontId="19" fillId="0" borderId="0" applyFont="0" applyFill="0" applyBorder="0" applyAlignment="0" applyProtection="0"/>
    <xf numFmtId="199" fontId="57" fillId="0" borderId="0" applyFont="0" applyFill="0" applyBorder="0" applyAlignment="0" applyProtection="0"/>
    <xf numFmtId="200" fontId="57" fillId="0" borderId="0" applyFont="0" applyFill="0" applyBorder="0" applyAlignment="0" applyProtection="0"/>
    <xf numFmtId="201" fontId="57" fillId="0" borderId="0" applyFont="0" applyFill="0" applyBorder="0" applyAlignment="0" applyProtection="0"/>
    <xf numFmtId="202" fontId="55" fillId="0" borderId="0" applyFont="0" applyFill="0" applyBorder="0" applyAlignment="0" applyProtection="0"/>
    <xf numFmtId="203" fontId="64" fillId="0" borderId="0" applyFont="0" applyFill="0" applyBorder="0" applyAlignment="0" applyProtection="0"/>
    <xf numFmtId="204" fontId="64" fillId="0" borderId="0" applyFont="0" applyFill="0" applyBorder="0" applyAlignment="0" applyProtection="0"/>
    <xf numFmtId="205" fontId="22" fillId="0" borderId="0" applyFont="0" applyFill="0" applyBorder="0" applyAlignment="0" applyProtection="0">
      <protection locked="0"/>
    </xf>
    <xf numFmtId="43" fontId="15" fillId="0" borderId="0" applyFont="0" applyFill="0" applyBorder="0" applyAlignment="0" applyProtection="0"/>
    <xf numFmtId="43" fontId="39"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5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98" fillId="0" borderId="0" applyFont="0" applyFill="0" applyBorder="0" applyAlignment="0" applyProtection="0"/>
    <xf numFmtId="37" fontId="65" fillId="0" borderId="0" applyFill="0" applyBorder="0" applyAlignment="0" applyProtection="0"/>
    <xf numFmtId="3" fontId="19" fillId="0" borderId="0" applyFont="0" applyFill="0" applyBorder="0" applyAlignment="0" applyProtection="0"/>
    <xf numFmtId="0" fontId="18" fillId="0" borderId="0" applyFill="0" applyBorder="0" applyAlignment="0" applyProtection="0">
      <protection locked="0"/>
    </xf>
    <xf numFmtId="0" fontId="19" fillId="0" borderId="4"/>
    <xf numFmtId="44" fontId="19" fillId="0" borderId="0" applyFont="0" applyFill="0" applyBorder="0" applyAlignment="0" applyProtection="0"/>
    <xf numFmtId="206" fontId="57" fillId="0" borderId="0" applyFont="0" applyFill="0" applyBorder="0" applyAlignment="0" applyProtection="0"/>
    <xf numFmtId="207" fontId="57" fillId="0" borderId="0" applyFont="0" applyFill="0" applyBorder="0" applyAlignment="0" applyProtection="0"/>
    <xf numFmtId="208" fontId="57" fillId="0" borderId="0" applyFont="0" applyFill="0" applyBorder="0" applyAlignment="0" applyProtection="0"/>
    <xf numFmtId="209" fontId="64" fillId="0" borderId="0" applyFont="0" applyFill="0" applyBorder="0" applyAlignment="0" applyProtection="0"/>
    <xf numFmtId="210" fontId="64" fillId="0" borderId="0" applyFont="0" applyFill="0" applyBorder="0" applyAlignment="0" applyProtection="0"/>
    <xf numFmtId="211" fontId="64" fillId="0" borderId="0" applyFont="0" applyFill="0" applyBorder="0" applyAlignment="0" applyProtection="0"/>
    <xf numFmtId="212" fontId="22" fillId="0" borderId="0" applyFont="0" applyFill="0" applyBorder="0" applyAlignment="0" applyProtection="0">
      <protection locked="0"/>
    </xf>
    <xf numFmtId="44" fontId="29" fillId="0" borderId="0" applyFont="0" applyFill="0" applyBorder="0" applyAlignment="0" applyProtection="0"/>
    <xf numFmtId="44" fontId="19" fillId="0" borderId="0" applyFont="0" applyFill="0" applyBorder="0" applyAlignment="0" applyProtection="0"/>
    <xf numFmtId="44" fontId="5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5" fontId="65" fillId="0" borderId="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13" fontId="59" fillId="0" borderId="0" applyFont="0" applyFill="0" applyBorder="0" applyAlignment="0" applyProtection="0"/>
    <xf numFmtId="181" fontId="19" fillId="0" borderId="0" applyFont="0" applyFill="0" applyBorder="0" applyAlignment="0" applyProtection="0"/>
    <xf numFmtId="214" fontId="61" fillId="0" borderId="0" applyFont="0" applyFill="0" applyBorder="0" applyAlignment="0" applyProtection="0">
      <protection locked="0"/>
    </xf>
    <xf numFmtId="7" fontId="17" fillId="0" borderId="0" applyFont="0" applyFill="0" applyBorder="0" applyAlignment="0" applyProtection="0"/>
    <xf numFmtId="215" fontId="62" fillId="0" borderId="0" applyFont="0" applyFill="0" applyBorder="0" applyAlignment="0" applyProtection="0"/>
    <xf numFmtId="180" fontId="66" fillId="0" borderId="0" applyFont="0" applyFill="0" applyBorder="0" applyAlignment="0" applyProtection="0"/>
    <xf numFmtId="0" fontId="67" fillId="3" borderId="5" applyNumberFormat="0" applyFont="0" applyFill="0" applyAlignment="0" applyProtection="0">
      <alignment horizontal="left" indent="1"/>
    </xf>
    <xf numFmtId="14" fontId="19" fillId="0" borderId="0" applyFont="0" applyFill="0" applyBorder="0" applyAlignment="0" applyProtection="0"/>
    <xf numFmtId="216" fontId="57" fillId="0" borderId="0" applyFont="0" applyFill="0" applyBorder="0" applyProtection="0"/>
    <xf numFmtId="217" fontId="57" fillId="0" borderId="0" applyFont="0" applyFill="0" applyBorder="0" applyProtection="0"/>
    <xf numFmtId="218" fontId="57" fillId="0" borderId="0" applyFont="0" applyFill="0" applyBorder="0" applyAlignment="0" applyProtection="0"/>
    <xf numFmtId="219" fontId="57" fillId="0" borderId="0" applyFont="0" applyFill="0" applyBorder="0" applyAlignment="0" applyProtection="0"/>
    <xf numFmtId="220" fontId="57" fillId="0" borderId="0" applyFont="0" applyFill="0" applyBorder="0" applyAlignment="0" applyProtection="0"/>
    <xf numFmtId="221" fontId="68" fillId="0" borderId="0" applyFont="0" applyFill="0" applyBorder="0" applyAlignment="0" applyProtection="0"/>
    <xf numFmtId="5" fontId="69" fillId="0" borderId="0" applyBorder="0"/>
    <xf numFmtId="181" fontId="69" fillId="0" borderId="0" applyBorder="0"/>
    <xf numFmtId="7" fontId="69" fillId="0" borderId="0" applyBorder="0"/>
    <xf numFmtId="37" fontId="69" fillId="0" borderId="0" applyBorder="0"/>
    <xf numFmtId="179" fontId="69" fillId="0" borderId="0" applyBorder="0"/>
    <xf numFmtId="222" fontId="69" fillId="0" borderId="0" applyBorder="0"/>
    <xf numFmtId="39" fontId="69" fillId="0" borderId="0" applyBorder="0"/>
    <xf numFmtId="223" fontId="69" fillId="0" borderId="0" applyBorder="0"/>
    <xf numFmtId="7" fontId="19" fillId="0" borderId="0" applyFont="0" applyFill="0" applyBorder="0" applyAlignment="0" applyProtection="0"/>
    <xf numFmtId="224" fontId="59" fillId="0" borderId="0" applyFont="0" applyFill="0" applyBorder="0" applyAlignment="0" applyProtection="0"/>
    <xf numFmtId="225" fontId="59" fillId="0" borderId="0" applyFont="0" applyFill="0" applyAlignment="0" applyProtection="0"/>
    <xf numFmtId="224" fontId="59" fillId="0" borderId="0" applyFont="0" applyFill="0" applyBorder="0" applyAlignment="0" applyProtection="0"/>
    <xf numFmtId="226" fontId="17" fillId="0" borderId="0" applyFont="0" applyFill="0" applyBorder="0" applyAlignment="0" applyProtection="0"/>
    <xf numFmtId="2" fontId="19" fillId="0" borderId="0" applyFont="0" applyFill="0" applyBorder="0" applyAlignment="0" applyProtection="0"/>
    <xf numFmtId="0" fontId="70" fillId="0" borderId="0"/>
    <xf numFmtId="179" fontId="71" fillId="0" borderId="0" applyNumberFormat="0" applyFill="0" applyBorder="0" applyAlignment="0" applyProtection="0"/>
    <xf numFmtId="0" fontId="17" fillId="0" borderId="0" applyFont="0" applyFill="0" applyBorder="0" applyAlignment="0" applyProtection="0"/>
    <xf numFmtId="0" fontId="57" fillId="0" borderId="0" applyFont="0" applyFill="0" applyBorder="0" applyProtection="0">
      <alignment horizontal="center" wrapText="1"/>
    </xf>
    <xf numFmtId="227" fontId="57" fillId="0" borderId="0" applyFont="0" applyFill="0" applyBorder="0" applyProtection="0">
      <alignment horizontal="right"/>
    </xf>
    <xf numFmtId="0" fontId="71" fillId="0" borderId="0" applyNumberFormat="0" applyFill="0" applyBorder="0" applyAlignment="0" applyProtection="0"/>
    <xf numFmtId="0" fontId="72" fillId="4" borderId="0" applyNumberFormat="0" applyFill="0" applyBorder="0" applyAlignment="0" applyProtection="0"/>
    <xf numFmtId="0" fontId="21" fillId="0" borderId="6" applyNumberFormat="0" applyAlignment="0" applyProtection="0">
      <alignment horizontal="left" vertical="center"/>
    </xf>
    <xf numFmtId="0" fontId="21" fillId="0" borderId="7">
      <alignment horizontal="left" vertical="center"/>
    </xf>
    <xf numFmtId="14" fontId="44" fillId="5" borderId="8">
      <alignment horizontal="center" vertical="center" wrapText="1"/>
    </xf>
    <xf numFmtId="0" fontId="35" fillId="0" borderId="0" applyFont="0" applyFill="0" applyBorder="0" applyAlignment="0" applyProtection="0"/>
    <xf numFmtId="0" fontId="36" fillId="0" borderId="0" applyFont="0" applyFill="0" applyBorder="0" applyAlignment="0" applyProtection="0"/>
    <xf numFmtId="0" fontId="21" fillId="0" borderId="0" applyFont="0" applyFill="0" applyBorder="0" applyAlignment="0" applyProtection="0"/>
    <xf numFmtId="0" fontId="43" fillId="0" borderId="0" applyFill="0" applyAlignment="0" applyProtection="0">
      <protection locked="0"/>
    </xf>
    <xf numFmtId="0" fontId="43" fillId="0" borderId="1" applyFill="0" applyAlignment="0" applyProtection="0">
      <protection locked="0"/>
    </xf>
    <xf numFmtId="0" fontId="37" fillId="0" borderId="8"/>
    <xf numFmtId="0" fontId="38" fillId="0" borderId="0"/>
    <xf numFmtId="0" fontId="73" fillId="0" borderId="1" applyNumberFormat="0" applyFill="0" applyAlignment="0" applyProtection="0"/>
    <xf numFmtId="0" fontId="68" fillId="6" borderId="0" applyNumberFormat="0" applyFont="0" applyBorder="0" applyAlignment="0" applyProtection="0"/>
    <xf numFmtId="0" fontId="74" fillId="0" borderId="0" applyNumberFormat="0" applyFill="0" applyBorder="0" applyAlignment="0" applyProtection="0">
      <alignment vertical="top"/>
      <protection locked="0"/>
    </xf>
    <xf numFmtId="0" fontId="54" fillId="7" borderId="9" applyNumberFormat="0" applyAlignment="0" applyProtection="0"/>
    <xf numFmtId="228" fontId="57" fillId="0" borderId="0" applyFont="0" applyFill="0" applyBorder="0" applyProtection="0">
      <alignment horizontal="left"/>
    </xf>
    <xf numFmtId="229" fontId="57" fillId="0" borderId="0" applyFont="0" applyFill="0" applyBorder="0" applyProtection="0">
      <alignment horizontal="left"/>
    </xf>
    <xf numFmtId="230" fontId="57" fillId="0" borderId="0" applyFont="0" applyFill="0" applyBorder="0" applyProtection="0">
      <alignment horizontal="left"/>
    </xf>
    <xf numFmtId="231" fontId="57" fillId="0" borderId="0" applyFont="0" applyFill="0" applyBorder="0" applyProtection="0">
      <alignment horizontal="left"/>
    </xf>
    <xf numFmtId="10" fontId="17" fillId="8" borderId="9" applyNumberFormat="0" applyBorder="0" applyAlignment="0" applyProtection="0"/>
    <xf numFmtId="5" fontId="75" fillId="0" borderId="0" applyBorder="0"/>
    <xf numFmtId="181" fontId="75" fillId="0" borderId="0" applyBorder="0"/>
    <xf numFmtId="7" fontId="75" fillId="0" borderId="0" applyBorder="0"/>
    <xf numFmtId="37" fontId="75" fillId="0" borderId="0" applyBorder="0"/>
    <xf numFmtId="179" fontId="75" fillId="0" borderId="0" applyBorder="0"/>
    <xf numFmtId="222" fontId="75" fillId="0" borderId="0" applyBorder="0"/>
    <xf numFmtId="39" fontId="75" fillId="0" borderId="0" applyBorder="0"/>
    <xf numFmtId="223" fontId="75" fillId="0" borderId="0" applyBorder="0"/>
    <xf numFmtId="0" fontId="68" fillId="0" borderId="10" applyNumberFormat="0" applyFont="0" applyFill="0" applyAlignment="0" applyProtection="0"/>
    <xf numFmtId="0" fontId="76" fillId="0" borderId="0"/>
    <xf numFmtId="0" fontId="17" fillId="9" borderId="0"/>
    <xf numFmtId="232" fontId="19" fillId="0" borderId="0" applyFont="0" applyFill="0" applyBorder="0" applyAlignment="0" applyProtection="0"/>
    <xf numFmtId="233" fontId="19" fillId="0" borderId="0" applyFont="0" applyFill="0" applyBorder="0" applyAlignment="0" applyProtection="0"/>
    <xf numFmtId="234" fontId="19" fillId="0" borderId="0" applyFont="0" applyFill="0" applyBorder="0" applyAlignment="0" applyProtection="0"/>
    <xf numFmtId="235" fontId="19" fillId="0" borderId="0" applyFont="0" applyFill="0" applyBorder="0" applyAlignment="0" applyProtection="0"/>
    <xf numFmtId="0" fontId="19" fillId="0" borderId="0" applyFont="0" applyFill="0" applyBorder="0" applyAlignment="0" applyProtection="0">
      <alignment horizontal="right"/>
    </xf>
    <xf numFmtId="236" fontId="19" fillId="0" borderId="0" applyFont="0" applyFill="0" applyBorder="0" applyAlignment="0" applyProtection="0"/>
    <xf numFmtId="37" fontId="77" fillId="0" borderId="0"/>
    <xf numFmtId="0" fontId="59" fillId="0" borderId="0"/>
    <xf numFmtId="0" fontId="101" fillId="0" borderId="0"/>
    <xf numFmtId="7" fontId="99" fillId="0" borderId="0"/>
    <xf numFmtId="0" fontId="19" fillId="0" borderId="0"/>
    <xf numFmtId="0" fontId="55" fillId="0" borderId="0"/>
    <xf numFmtId="0" fontId="29" fillId="0" borderId="0"/>
    <xf numFmtId="0" fontId="19" fillId="0" borderId="0"/>
    <xf numFmtId="0" fontId="19" fillId="0" borderId="0"/>
    <xf numFmtId="0" fontId="53" fillId="0" borderId="0"/>
    <xf numFmtId="0" fontId="19" fillId="0" borderId="0"/>
    <xf numFmtId="0" fontId="19"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174" fontId="39" fillId="0" borderId="0" applyProtection="0"/>
    <xf numFmtId="0" fontId="101" fillId="0" borderId="0"/>
    <xf numFmtId="0" fontId="101" fillId="0" borderId="0"/>
    <xf numFmtId="0" fontId="101" fillId="0" borderId="0"/>
    <xf numFmtId="0" fontId="101" fillId="0" borderId="0"/>
    <xf numFmtId="0" fontId="39" fillId="0" borderId="0" applyProtection="0"/>
    <xf numFmtId="174" fontId="39" fillId="0" borderId="0" applyProtection="0"/>
    <xf numFmtId="174" fontId="39" fillId="0" borderId="0" applyProtection="0"/>
    <xf numFmtId="174" fontId="39" fillId="0" borderId="0" applyProtection="0"/>
    <xf numFmtId="174" fontId="39" fillId="0" borderId="0" applyProtection="0"/>
    <xf numFmtId="0" fontId="19" fillId="0" borderId="0"/>
    <xf numFmtId="0" fontId="49" fillId="10" borderId="0" applyNumberFormat="0" applyFont="0" applyBorder="0" applyAlignment="0"/>
    <xf numFmtId="237" fontId="19" fillId="0" borderId="0" applyFont="0" applyFill="0" applyBorder="0" applyAlignment="0" applyProtection="0"/>
    <xf numFmtId="238" fontId="78" fillId="0" borderId="0"/>
    <xf numFmtId="237" fontId="19" fillId="0" borderId="0" applyFont="0" applyFill="0" applyBorder="0" applyAlignment="0" applyProtection="0"/>
    <xf numFmtId="237" fontId="19" fillId="0" borderId="0" applyFont="0" applyFill="0" applyBorder="0" applyAlignment="0" applyProtection="0"/>
    <xf numFmtId="237" fontId="19" fillId="0" borderId="0" applyFont="0" applyFill="0" applyBorder="0" applyAlignment="0" applyProtection="0"/>
    <xf numFmtId="239" fontId="19" fillId="0" borderId="0"/>
    <xf numFmtId="240" fontId="59" fillId="0" borderId="0"/>
    <xf numFmtId="240" fontId="59" fillId="0" borderId="0"/>
    <xf numFmtId="238" fontId="78" fillId="0" borderId="0"/>
    <xf numFmtId="0" fontId="59" fillId="0" borderId="0"/>
    <xf numFmtId="238" fontId="65" fillId="0" borderId="0"/>
    <xf numFmtId="239" fontId="19" fillId="0" borderId="0"/>
    <xf numFmtId="240" fontId="59" fillId="0" borderId="0"/>
    <xf numFmtId="240" fontId="59" fillId="0" borderId="0"/>
    <xf numFmtId="0" fontId="59" fillId="0" borderId="0"/>
    <xf numFmtId="0" fontId="59" fillId="0" borderId="0"/>
    <xf numFmtId="241" fontId="59" fillId="0" borderId="0"/>
    <xf numFmtId="170" fontId="59" fillId="0" borderId="0"/>
    <xf numFmtId="242" fontId="59" fillId="0" borderId="0"/>
    <xf numFmtId="241" fontId="59" fillId="0" borderId="0"/>
    <xf numFmtId="170" fontId="59" fillId="0" borderId="0"/>
    <xf numFmtId="243" fontId="59" fillId="0" borderId="0"/>
    <xf numFmtId="243" fontId="59" fillId="0" borderId="0"/>
    <xf numFmtId="178" fontId="59" fillId="0" borderId="0"/>
    <xf numFmtId="242" fontId="59" fillId="0" borderId="0"/>
    <xf numFmtId="169" fontId="59" fillId="0" borderId="0"/>
    <xf numFmtId="178" fontId="59" fillId="0" borderId="0"/>
    <xf numFmtId="178" fontId="59" fillId="0" borderId="0"/>
    <xf numFmtId="0" fontId="59" fillId="0" borderId="0"/>
    <xf numFmtId="237" fontId="19" fillId="0" borderId="0" applyFont="0" applyFill="0" applyBorder="0" applyAlignment="0" applyProtection="0"/>
    <xf numFmtId="237" fontId="19" fillId="0" borderId="0" applyFont="0" applyFill="0" applyBorder="0" applyAlignment="0" applyProtection="0"/>
    <xf numFmtId="237" fontId="19" fillId="0" borderId="0" applyFont="0" applyFill="0" applyBorder="0" applyAlignment="0" applyProtection="0"/>
    <xf numFmtId="238" fontId="78" fillId="0" borderId="0"/>
    <xf numFmtId="238" fontId="78" fillId="0" borderId="0"/>
    <xf numFmtId="237" fontId="19" fillId="0" borderId="0" applyFont="0" applyFill="0" applyBorder="0" applyAlignment="0" applyProtection="0"/>
    <xf numFmtId="238" fontId="78" fillId="0" borderId="0"/>
    <xf numFmtId="238" fontId="78" fillId="0" borderId="0"/>
    <xf numFmtId="241" fontId="59" fillId="0" borderId="0"/>
    <xf numFmtId="170" fontId="59" fillId="0" borderId="0"/>
    <xf numFmtId="242" fontId="59" fillId="0" borderId="0"/>
    <xf numFmtId="241" fontId="59" fillId="0" borderId="0"/>
    <xf numFmtId="170" fontId="59" fillId="0" borderId="0"/>
    <xf numFmtId="243" fontId="59" fillId="0" borderId="0"/>
    <xf numFmtId="243" fontId="59" fillId="0" borderId="0"/>
    <xf numFmtId="178" fontId="59" fillId="0" borderId="0"/>
    <xf numFmtId="242" fontId="59" fillId="0" borderId="0"/>
    <xf numFmtId="169" fontId="59" fillId="0" borderId="0"/>
    <xf numFmtId="178" fontId="59" fillId="0" borderId="0"/>
    <xf numFmtId="178" fontId="59" fillId="0" borderId="0"/>
    <xf numFmtId="244" fontId="27" fillId="11" borderId="0" applyFont="0" applyFill="0" applyBorder="0" applyAlignment="0" applyProtection="0"/>
    <xf numFmtId="245" fontId="27" fillId="11" borderId="0" applyFont="0" applyFill="0" applyBorder="0" applyAlignment="0" applyProtection="0"/>
    <xf numFmtId="246" fontId="19" fillId="0" borderId="0" applyFont="0" applyFill="0" applyBorder="0" applyAlignment="0" applyProtection="0"/>
    <xf numFmtId="9" fontId="19" fillId="0" borderId="0" applyFont="0" applyFill="0" applyBorder="0" applyAlignment="0" applyProtection="0"/>
    <xf numFmtId="247" fontId="64" fillId="0" borderId="0" applyFont="0" applyFill="0" applyBorder="0" applyAlignment="0" applyProtection="0"/>
    <xf numFmtId="248" fontId="55" fillId="0" borderId="0" applyFont="0" applyFill="0" applyBorder="0" applyAlignment="0" applyProtection="0"/>
    <xf numFmtId="249" fontId="19" fillId="0" borderId="0" applyFont="0" applyFill="0" applyBorder="0" applyAlignment="0" applyProtection="0"/>
    <xf numFmtId="250" fontId="57" fillId="0" borderId="0" applyFont="0" applyFill="0" applyBorder="0" applyAlignment="0" applyProtection="0"/>
    <xf numFmtId="251" fontId="57" fillId="0" borderId="0" applyFont="0" applyFill="0" applyBorder="0" applyAlignment="0" applyProtection="0"/>
    <xf numFmtId="252" fontId="57" fillId="0" borderId="0" applyFont="0" applyFill="0" applyBorder="0" applyAlignment="0" applyProtection="0"/>
    <xf numFmtId="253" fontId="57" fillId="0" borderId="0" applyFont="0" applyFill="0" applyBorder="0" applyAlignment="0" applyProtection="0"/>
    <xf numFmtId="254" fontId="64" fillId="0" borderId="0" applyFont="0" applyFill="0" applyBorder="0" applyAlignment="0" applyProtection="0"/>
    <xf numFmtId="255" fontId="55" fillId="0" borderId="0" applyFont="0" applyFill="0" applyBorder="0" applyAlignment="0" applyProtection="0"/>
    <xf numFmtId="256" fontId="64" fillId="0" borderId="0" applyFont="0" applyFill="0" applyBorder="0" applyAlignment="0" applyProtection="0"/>
    <xf numFmtId="257" fontId="55" fillId="0" borderId="0" applyFont="0" applyFill="0" applyBorder="0" applyAlignment="0" applyProtection="0"/>
    <xf numFmtId="258" fontId="64" fillId="0" borderId="0" applyFont="0" applyFill="0" applyBorder="0" applyAlignment="0" applyProtection="0"/>
    <xf numFmtId="259" fontId="55" fillId="0" borderId="0" applyFont="0" applyFill="0" applyBorder="0" applyAlignment="0" applyProtection="0"/>
    <xf numFmtId="260" fontId="22" fillId="0" borderId="0" applyFont="0" applyFill="0" applyBorder="0" applyAlignment="0" applyProtection="0">
      <protection locked="0"/>
    </xf>
    <xf numFmtId="261" fontId="55"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191" fontId="65" fillId="0" borderId="0" applyFill="0" applyBorder="0" applyAlignment="0" applyProtection="0"/>
    <xf numFmtId="9" fontId="69" fillId="0" borderId="0" applyBorder="0"/>
    <xf numFmtId="171" fontId="69" fillId="0" borderId="0" applyBorder="0"/>
    <xf numFmtId="10" fontId="69" fillId="0" borderId="0" applyBorder="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3" fontId="19" fillId="0" borderId="0">
      <alignment horizontal="left" vertical="top"/>
    </xf>
    <xf numFmtId="0" fontId="41" fillId="0" borderId="8">
      <alignment horizontal="center"/>
    </xf>
    <xf numFmtId="3" fontId="40" fillId="0" borderId="0" applyFont="0" applyFill="0" applyBorder="0" applyAlignment="0" applyProtection="0"/>
    <xf numFmtId="0" fontId="40" fillId="12" borderId="0" applyNumberFormat="0" applyFont="0" applyBorder="0" applyAlignment="0" applyProtection="0"/>
    <xf numFmtId="3" fontId="19" fillId="0" borderId="0">
      <alignment horizontal="right" vertical="top"/>
    </xf>
    <xf numFmtId="41" fontId="26" fillId="9" borderId="11" applyFill="0"/>
    <xf numFmtId="0" fontId="42" fillId="0" borderId="0">
      <alignment horizontal="left" indent="7"/>
    </xf>
    <xf numFmtId="41" fontId="26" fillId="0" borderId="11" applyFill="0">
      <alignment horizontal="left" indent="2"/>
    </xf>
    <xf numFmtId="174" fontId="43" fillId="0" borderId="1" applyFill="0">
      <alignment horizontal="right"/>
    </xf>
    <xf numFmtId="0" fontId="44" fillId="0" borderId="9" applyNumberFormat="0" applyFont="0" applyBorder="0">
      <alignment horizontal="right"/>
    </xf>
    <xf numFmtId="0" fontId="45" fillId="0" borderId="0" applyFill="0"/>
    <xf numFmtId="0" fontId="21" fillId="0" borderId="0" applyFill="0"/>
    <xf numFmtId="4" fontId="43" fillId="0" borderId="1" applyFill="0"/>
    <xf numFmtId="0" fontId="19" fillId="0" borderId="0" applyNumberFormat="0" applyFont="0" applyBorder="0" applyAlignment="0"/>
    <xf numFmtId="0" fontId="24" fillId="0" borderId="0" applyFill="0">
      <alignment horizontal="left" indent="1"/>
    </xf>
    <xf numFmtId="0" fontId="46" fillId="0" borderId="0" applyFill="0">
      <alignment horizontal="left" indent="1"/>
    </xf>
    <xf numFmtId="4" fontId="27" fillId="0" borderId="0" applyFill="0"/>
    <xf numFmtId="0" fontId="19" fillId="0" borderId="0" applyNumberFormat="0" applyFont="0" applyFill="0" applyBorder="0" applyAlignment="0"/>
    <xf numFmtId="0" fontId="24" fillId="0" borderId="0" applyFill="0">
      <alignment horizontal="left" indent="2"/>
    </xf>
    <xf numFmtId="0" fontId="21" fillId="0" borderId="0" applyFill="0">
      <alignment horizontal="left" indent="2"/>
    </xf>
    <xf numFmtId="4" fontId="27" fillId="0" borderId="0" applyFill="0"/>
    <xf numFmtId="0" fontId="19" fillId="0" borderId="0" applyNumberFormat="0" applyFont="0" applyBorder="0" applyAlignment="0"/>
    <xf numFmtId="0" fontId="47" fillId="0" borderId="0">
      <alignment horizontal="left" indent="3"/>
    </xf>
    <xf numFmtId="0" fontId="48" fillId="0" borderId="0" applyFill="0">
      <alignment horizontal="left" indent="3"/>
    </xf>
    <xf numFmtId="4" fontId="27" fillId="0" borderId="0" applyFill="0"/>
    <xf numFmtId="0" fontId="19" fillId="0" borderId="0" applyNumberFormat="0" applyFont="0" applyBorder="0" applyAlignment="0"/>
    <xf numFmtId="0" fontId="28" fillId="0" borderId="0">
      <alignment horizontal="left" indent="4"/>
    </xf>
    <xf numFmtId="0" fontId="29" fillId="0" borderId="0" applyFill="0">
      <alignment horizontal="left" indent="4"/>
    </xf>
    <xf numFmtId="0" fontId="19" fillId="0" borderId="0" applyFill="0">
      <alignment horizontal="left" indent="4"/>
    </xf>
    <xf numFmtId="4" fontId="30" fillId="0" borderId="0" applyFill="0"/>
    <xf numFmtId="0" fontId="19" fillId="0" borderId="0" applyNumberFormat="0" applyFont="0" applyBorder="0" applyAlignment="0"/>
    <xf numFmtId="0" fontId="31" fillId="0" borderId="0">
      <alignment horizontal="left" indent="5"/>
    </xf>
    <xf numFmtId="0" fontId="32" fillId="0" borderId="0" applyFill="0">
      <alignment horizontal="left" indent="5"/>
    </xf>
    <xf numFmtId="4" fontId="33" fillId="0" borderId="0" applyFill="0"/>
    <xf numFmtId="0" fontId="19" fillId="0" borderId="0" applyNumberFormat="0" applyFont="0" applyFill="0" applyBorder="0" applyAlignment="0"/>
    <xf numFmtId="0" fontId="34" fillId="0" borderId="0" applyFill="0">
      <alignment horizontal="left" indent="6"/>
    </xf>
    <xf numFmtId="0" fontId="30" fillId="0" borderId="0" applyFill="0">
      <alignment horizontal="left" indent="6"/>
    </xf>
    <xf numFmtId="0" fontId="68" fillId="0" borderId="12" applyNumberFormat="0" applyFont="0" applyFill="0" applyAlignment="0" applyProtection="0"/>
    <xf numFmtId="0" fontId="79" fillId="0" borderId="0" applyNumberFormat="0" applyFill="0" applyBorder="0" applyAlignment="0" applyProtection="0"/>
    <xf numFmtId="0" fontId="80" fillId="0" borderId="0"/>
    <xf numFmtId="0" fontId="80" fillId="0" borderId="0"/>
    <xf numFmtId="0" fontId="56" fillId="0" borderId="8">
      <alignment horizontal="right"/>
    </xf>
    <xf numFmtId="0" fontId="18" fillId="13" borderId="0"/>
    <xf numFmtId="262" fontId="66" fillId="0" borderId="0">
      <alignment horizontal="center"/>
    </xf>
    <xf numFmtId="263" fontId="81" fillId="0" borderId="0">
      <alignment horizontal="center"/>
    </xf>
    <xf numFmtId="0" fontId="82" fillId="0" borderId="0" applyNumberFormat="0" applyFill="0" applyBorder="0" applyAlignment="0" applyProtection="0"/>
    <xf numFmtId="0" fontId="83" fillId="0" borderId="0" applyNumberFormat="0" applyBorder="0" applyAlignment="0"/>
    <xf numFmtId="0" fontId="52" fillId="0" borderId="0" applyNumberFormat="0" applyBorder="0" applyAlignment="0"/>
    <xf numFmtId="0" fontId="19" fillId="9" borderId="4" applyNumberFormat="0" applyFont="0" applyAlignment="0"/>
    <xf numFmtId="0" fontId="68" fillId="3" borderId="0" applyNumberFormat="0" applyFont="0" applyBorder="0" applyAlignment="0" applyProtection="0"/>
    <xf numFmtId="244" fontId="84" fillId="0" borderId="7" applyNumberFormat="0" applyFont="0" applyFill="0" applyAlignment="0" applyProtection="0"/>
    <xf numFmtId="0" fontId="50" fillId="0" borderId="0" applyFill="0" applyBorder="0" applyProtection="0">
      <alignment horizontal="left" vertical="top"/>
    </xf>
    <xf numFmtId="0" fontId="85" fillId="0" borderId="0" applyAlignment="0">
      <alignment horizontal="centerContinuous"/>
    </xf>
    <xf numFmtId="0" fontId="19" fillId="0" borderId="3" applyNumberFormat="0" applyFont="0" applyFill="0" applyAlignment="0" applyProtection="0"/>
    <xf numFmtId="0" fontId="19" fillId="0" borderId="0" applyFont="0" applyFill="0" applyBorder="0" applyAlignment="0" applyProtection="0"/>
    <xf numFmtId="0" fontId="86" fillId="0" borderId="0" applyNumberFormat="0" applyFill="0" applyBorder="0" applyAlignment="0" applyProtection="0"/>
    <xf numFmtId="264" fontId="55" fillId="0" borderId="0" applyFont="0" applyFill="0" applyBorder="0" applyAlignment="0" applyProtection="0"/>
    <xf numFmtId="265" fontId="55" fillId="0" borderId="0" applyFont="0" applyFill="0" applyBorder="0" applyAlignment="0" applyProtection="0"/>
    <xf numFmtId="266" fontId="55" fillId="0" borderId="0" applyFont="0" applyFill="0" applyBorder="0" applyAlignment="0" applyProtection="0"/>
    <xf numFmtId="267" fontId="55" fillId="0" borderId="0" applyFont="0" applyFill="0" applyBorder="0" applyAlignment="0" applyProtection="0"/>
    <xf numFmtId="268" fontId="55" fillId="0" borderId="0" applyFont="0" applyFill="0" applyBorder="0" applyAlignment="0" applyProtection="0"/>
    <xf numFmtId="269" fontId="55" fillId="0" borderId="0" applyFont="0" applyFill="0" applyBorder="0" applyAlignment="0" applyProtection="0"/>
    <xf numFmtId="270" fontId="55" fillId="0" borderId="0" applyFont="0" applyFill="0" applyBorder="0" applyAlignment="0" applyProtection="0"/>
    <xf numFmtId="271" fontId="55" fillId="0" borderId="0" applyFont="0" applyFill="0" applyBorder="0" applyAlignment="0" applyProtection="0"/>
    <xf numFmtId="272" fontId="87" fillId="3" borderId="13" applyFont="0" applyFill="0" applyBorder="0" applyAlignment="0" applyProtection="0"/>
    <xf numFmtId="272" fontId="59" fillId="0" borderId="0" applyFont="0" applyFill="0" applyBorder="0" applyAlignment="0" applyProtection="0"/>
    <xf numFmtId="273" fontId="62" fillId="0" borderId="0" applyFont="0" applyFill="0" applyBorder="0" applyAlignment="0" applyProtection="0"/>
    <xf numFmtId="274" fontId="66" fillId="0" borderId="7" applyFont="0" applyFill="0" applyBorder="0" applyAlignment="0" applyProtection="0">
      <alignment horizontal="right"/>
      <protection locked="0"/>
    </xf>
    <xf numFmtId="43" fontId="15" fillId="0" borderId="0" applyFont="0" applyFill="0" applyBorder="0" applyAlignment="0" applyProtection="0"/>
    <xf numFmtId="0" fontId="103" fillId="0" borderId="0"/>
    <xf numFmtId="43" fontId="83"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3"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6" fillId="0" borderId="0"/>
    <xf numFmtId="0" fontId="13" fillId="0" borderId="0"/>
    <xf numFmtId="0" fontId="13" fillId="0" borderId="0"/>
    <xf numFmtId="0" fontId="13" fillId="0" borderId="0"/>
    <xf numFmtId="0" fontId="13"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9" fillId="0" borderId="0"/>
    <xf numFmtId="0" fontId="40" fillId="0" borderId="0"/>
    <xf numFmtId="0" fontId="106" fillId="0" borderId="0"/>
    <xf numFmtId="0" fontId="106" fillId="0" borderId="0"/>
    <xf numFmtId="0" fontId="106" fillId="0" borderId="0"/>
    <xf numFmtId="0" fontId="106" fillId="0" borderId="0"/>
    <xf numFmtId="0" fontId="19" fillId="0" borderId="0"/>
    <xf numFmtId="0" fontId="19"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9" fillId="0" borderId="0"/>
    <xf numFmtId="0" fontId="19" fillId="0" borderId="0"/>
    <xf numFmtId="0" fontId="19" fillId="0" borderId="0"/>
    <xf numFmtId="0" fontId="19" fillId="0" borderId="0"/>
    <xf numFmtId="0" fontId="19" fillId="0" borderId="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4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07" fillId="16" borderId="0" applyNumberFormat="0" applyBorder="0" applyAlignment="0" applyProtection="0"/>
    <xf numFmtId="0" fontId="107" fillId="17" borderId="0" applyNumberFormat="0" applyBorder="0" applyAlignment="0" applyProtection="0"/>
    <xf numFmtId="0" fontId="107" fillId="18" borderId="0" applyNumberFormat="0" applyBorder="0" applyAlignment="0" applyProtection="0"/>
    <xf numFmtId="0" fontId="107"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107" fillId="22" borderId="0" applyNumberFormat="0" applyBorder="0" applyAlignment="0" applyProtection="0"/>
    <xf numFmtId="0" fontId="107" fillId="23" borderId="0" applyNumberFormat="0" applyBorder="0" applyAlignment="0" applyProtection="0"/>
    <xf numFmtId="0" fontId="107" fillId="24" borderId="0" applyNumberFormat="0" applyBorder="0" applyAlignment="0" applyProtection="0"/>
    <xf numFmtId="0" fontId="107" fillId="19" borderId="0" applyNumberFormat="0" applyBorder="0" applyAlignment="0" applyProtection="0"/>
    <xf numFmtId="0" fontId="107" fillId="22" borderId="0" applyNumberFormat="0" applyBorder="0" applyAlignment="0" applyProtection="0"/>
    <xf numFmtId="0" fontId="107" fillId="25" borderId="0" applyNumberFormat="0" applyBorder="0" applyAlignment="0" applyProtection="0"/>
    <xf numFmtId="0" fontId="108" fillId="26" borderId="0" applyNumberFormat="0" applyBorder="0" applyAlignment="0" applyProtection="0"/>
    <xf numFmtId="0" fontId="108" fillId="23" borderId="0" applyNumberFormat="0" applyBorder="0" applyAlignment="0" applyProtection="0"/>
    <xf numFmtId="0" fontId="108" fillId="24" borderId="0" applyNumberFormat="0" applyBorder="0" applyAlignment="0" applyProtection="0"/>
    <xf numFmtId="0" fontId="108" fillId="27" borderId="0" applyNumberFormat="0" applyBorder="0" applyAlignment="0" applyProtection="0"/>
    <xf numFmtId="0" fontId="108" fillId="28"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8" fillId="32" borderId="0" applyNumberFormat="0" applyBorder="0" applyAlignment="0" applyProtection="0"/>
    <xf numFmtId="0" fontId="108" fillId="27" borderId="0" applyNumberFormat="0" applyBorder="0" applyAlignment="0" applyProtection="0"/>
    <xf numFmtId="0" fontId="108" fillId="28" borderId="0" applyNumberFormat="0" applyBorder="0" applyAlignment="0" applyProtection="0"/>
    <xf numFmtId="0" fontId="108" fillId="33" borderId="0" applyNumberFormat="0" applyBorder="0" applyAlignment="0" applyProtection="0"/>
    <xf numFmtId="0" fontId="109" fillId="17" borderId="0" applyNumberFormat="0" applyBorder="0" applyAlignment="0" applyProtection="0"/>
    <xf numFmtId="0" fontId="110" fillId="34" borderId="25" applyNumberFormat="0" applyAlignment="0" applyProtection="0"/>
    <xf numFmtId="0" fontId="111" fillId="35" borderId="26" applyNumberFormat="0" applyAlignment="0" applyProtection="0"/>
    <xf numFmtId="9" fontId="3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12" fillId="0" borderId="0" applyNumberFormat="0" applyFill="0" applyBorder="0" applyAlignment="0" applyProtection="0"/>
    <xf numFmtId="0" fontId="113" fillId="18" borderId="0" applyNumberFormat="0" applyBorder="0" applyAlignment="0" applyProtection="0"/>
    <xf numFmtId="43" fontId="40" fillId="0" borderId="0" applyFont="0" applyFill="0" applyBorder="0" applyAlignment="0" applyProtection="0"/>
    <xf numFmtId="0" fontId="114" fillId="0" borderId="27" applyNumberFormat="0" applyFill="0" applyAlignment="0" applyProtection="0"/>
    <xf numFmtId="0" fontId="114" fillId="0" borderId="0" applyNumberFormat="0" applyFill="0" applyBorder="0" applyAlignment="0" applyProtection="0"/>
    <xf numFmtId="0" fontId="115" fillId="21" borderId="25" applyNumberFormat="0" applyAlignment="0" applyProtection="0"/>
    <xf numFmtId="0" fontId="116" fillId="0" borderId="28" applyNumberFormat="0" applyFill="0" applyAlignment="0" applyProtection="0"/>
    <xf numFmtId="0" fontId="117" fillId="36" borderId="0" applyNumberFormat="0" applyBorder="0" applyAlignment="0" applyProtection="0"/>
    <xf numFmtId="43" fontId="12" fillId="0" borderId="0" applyFont="0" applyFill="0" applyBorder="0" applyAlignment="0" applyProtection="0"/>
    <xf numFmtId="0" fontId="19" fillId="0" borderId="0"/>
    <xf numFmtId="0" fontId="19" fillId="0" borderId="0"/>
    <xf numFmtId="0" fontId="19" fillId="0" borderId="0"/>
    <xf numFmtId="43" fontId="12" fillId="0" borderId="0" applyFont="0" applyFill="0" applyBorder="0" applyAlignment="0" applyProtection="0"/>
    <xf numFmtId="0" fontId="39" fillId="37" borderId="29" applyNumberFormat="0" applyFont="0" applyAlignment="0" applyProtection="0"/>
    <xf numFmtId="0" fontId="118" fillId="34" borderId="3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3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39" fillId="0" borderId="0" applyFon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12" fillId="0" borderId="0"/>
    <xf numFmtId="0" fontId="12" fillId="0" borderId="0"/>
    <xf numFmtId="0" fontId="19" fillId="0" borderId="0"/>
    <xf numFmtId="0" fontId="100" fillId="0" borderId="0">
      <alignment vertical="top"/>
    </xf>
    <xf numFmtId="0" fontId="12" fillId="0" borderId="0"/>
    <xf numFmtId="174" fontId="39" fillId="0" borderId="0" applyProtection="0"/>
    <xf numFmtId="174" fontId="39" fillId="0" borderId="0" applyProtection="0"/>
    <xf numFmtId="0" fontId="19" fillId="0" borderId="0"/>
    <xf numFmtId="44" fontId="39" fillId="0" borderId="0" applyFont="0" applyFill="0" applyBorder="0" applyAlignment="0" applyProtection="0"/>
    <xf numFmtId="0" fontId="12" fillId="0" borderId="0"/>
    <xf numFmtId="9" fontId="3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39" fillId="0" borderId="0" applyFont="0" applyFill="0" applyBorder="0" applyAlignment="0" applyProtection="0"/>
    <xf numFmtId="0" fontId="11" fillId="0" borderId="0"/>
    <xf numFmtId="0" fontId="11" fillId="0" borderId="0"/>
    <xf numFmtId="0" fontId="11" fillId="0" borderId="0"/>
    <xf numFmtId="0" fontId="11" fillId="0" borderId="0"/>
    <xf numFmtId="9" fontId="39" fillId="0" borderId="0" applyFont="0" applyFill="0" applyBorder="0" applyAlignment="0" applyProtection="0"/>
    <xf numFmtId="0" fontId="121" fillId="0" borderId="0"/>
    <xf numFmtId="9" fontId="121" fillId="0" borderId="0" applyFont="0" applyFill="0" applyBorder="0" applyAlignment="0" applyProtection="0"/>
    <xf numFmtId="0" fontId="115" fillId="21" borderId="25" applyNumberFormat="0" applyAlignment="0" applyProtection="0"/>
    <xf numFmtId="43" fontId="121" fillId="0" borderId="0" applyFont="0" applyFill="0" applyBorder="0" applyAlignment="0" applyProtection="0"/>
    <xf numFmtId="43" fontId="121" fillId="0" borderId="0" applyFont="0" applyFill="0" applyBorder="0" applyAlignment="0" applyProtection="0"/>
    <xf numFmtId="44" fontId="121" fillId="0" borderId="0" applyFont="0" applyFill="0" applyBorder="0" applyAlignment="0" applyProtection="0"/>
    <xf numFmtId="44" fontId="121" fillId="0" borderId="0" applyFont="0" applyFill="0" applyBorder="0" applyAlignment="0" applyProtection="0"/>
    <xf numFmtId="44" fontId="121" fillId="0" borderId="0" applyFont="0" applyFill="0" applyBorder="0" applyAlignment="0" applyProtection="0"/>
    <xf numFmtId="43" fontId="121" fillId="0" borderId="0" applyFont="0" applyFill="0" applyBorder="0" applyAlignment="0" applyProtection="0"/>
    <xf numFmtId="0" fontId="115" fillId="21" borderId="25" applyNumberFormat="0" applyAlignment="0" applyProtection="0"/>
    <xf numFmtId="0" fontId="121" fillId="0" borderId="0"/>
    <xf numFmtId="9" fontId="121" fillId="0" borderId="0" applyFont="0" applyFill="0" applyBorder="0" applyAlignment="0" applyProtection="0"/>
    <xf numFmtId="9" fontId="121" fillId="0" borderId="0" applyFont="0" applyFill="0" applyBorder="0" applyAlignment="0" applyProtection="0"/>
    <xf numFmtId="0" fontId="12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0" fontId="9" fillId="0" borderId="0"/>
    <xf numFmtId="0" fontId="9" fillId="0" borderId="0"/>
    <xf numFmtId="0" fontId="9" fillId="0" borderId="0"/>
    <xf numFmtId="44" fontId="39" fillId="0" borderId="0" applyFont="0" applyFill="0" applyBorder="0" applyAlignment="0" applyProtection="0"/>
    <xf numFmtId="0" fontId="9" fillId="0" borderId="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43" fontId="5" fillId="0" borderId="0" applyFont="0" applyFill="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07" fillId="1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107" fillId="16" borderId="0" applyNumberFormat="0" applyBorder="0" applyAlignment="0" applyProtection="0"/>
    <xf numFmtId="0" fontId="107" fillId="16" borderId="0" applyNumberFormat="0" applyBorder="0" applyAlignment="0" applyProtection="0"/>
    <xf numFmtId="0" fontId="107" fillId="16" borderId="0" applyNumberFormat="0" applyBorder="0" applyAlignment="0" applyProtection="0"/>
    <xf numFmtId="0" fontId="107"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07" fillId="17"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07" fillId="18"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107" fillId="18" borderId="0" applyNumberFormat="0" applyBorder="0" applyAlignment="0" applyProtection="0"/>
    <xf numFmtId="0" fontId="107" fillId="18" borderId="0" applyNumberFormat="0" applyBorder="0" applyAlignment="0" applyProtection="0"/>
    <xf numFmtId="0" fontId="107" fillId="18" borderId="0" applyNumberFormat="0" applyBorder="0" applyAlignment="0" applyProtection="0"/>
    <xf numFmtId="0" fontId="107"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07" fillId="19"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07" fillId="20"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107" fillId="20" borderId="0" applyNumberFormat="0" applyBorder="0" applyAlignment="0" applyProtection="0"/>
    <xf numFmtId="0" fontId="107" fillId="20" borderId="0" applyNumberFormat="0" applyBorder="0" applyAlignment="0" applyProtection="0"/>
    <xf numFmtId="0" fontId="107" fillId="20" borderId="0" applyNumberFormat="0" applyBorder="0" applyAlignment="0" applyProtection="0"/>
    <xf numFmtId="0" fontId="107"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07" fillId="21"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107" fillId="21" borderId="0" applyNumberFormat="0" applyBorder="0" applyAlignment="0" applyProtection="0"/>
    <xf numFmtId="0" fontId="107" fillId="21" borderId="0" applyNumberFormat="0" applyBorder="0" applyAlignment="0" applyProtection="0"/>
    <xf numFmtId="0" fontId="107" fillId="21" borderId="0" applyNumberFormat="0" applyBorder="0" applyAlignment="0" applyProtection="0"/>
    <xf numFmtId="0" fontId="107"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07" fillId="22"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07" fillId="23"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107" fillId="23" borderId="0" applyNumberFormat="0" applyBorder="0" applyAlignment="0" applyProtection="0"/>
    <xf numFmtId="0" fontId="107" fillId="23" borderId="0" applyNumberFormat="0" applyBorder="0" applyAlignment="0" applyProtection="0"/>
    <xf numFmtId="0" fontId="107" fillId="23" borderId="0" applyNumberFormat="0" applyBorder="0" applyAlignment="0" applyProtection="0"/>
    <xf numFmtId="0" fontId="107"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07" fillId="24"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107" fillId="24" borderId="0" applyNumberFormat="0" applyBorder="0" applyAlignment="0" applyProtection="0"/>
    <xf numFmtId="0" fontId="107" fillId="24" borderId="0" applyNumberFormat="0" applyBorder="0" applyAlignment="0" applyProtection="0"/>
    <xf numFmtId="0" fontId="107" fillId="24" borderId="0" applyNumberFormat="0" applyBorder="0" applyAlignment="0" applyProtection="0"/>
    <xf numFmtId="0" fontId="107" fillId="2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07" fillId="1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07" fillId="2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07" fillId="25"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107" fillId="25" borderId="0" applyNumberFormat="0" applyBorder="0" applyAlignment="0" applyProtection="0"/>
    <xf numFmtId="0" fontId="107" fillId="25" borderId="0" applyNumberFormat="0" applyBorder="0" applyAlignment="0" applyProtection="0"/>
    <xf numFmtId="0" fontId="107" fillId="25" borderId="0" applyNumberFormat="0" applyBorder="0" applyAlignment="0" applyProtection="0"/>
    <xf numFmtId="0" fontId="107" fillId="25" borderId="0" applyNumberFormat="0" applyBorder="0" applyAlignment="0" applyProtection="0"/>
    <xf numFmtId="0" fontId="150" fillId="26" borderId="0" applyNumberFormat="0" applyBorder="0" applyAlignment="0" applyProtection="0"/>
    <xf numFmtId="0" fontId="150" fillId="26" borderId="0" applyNumberFormat="0" applyBorder="0" applyAlignment="0" applyProtection="0"/>
    <xf numFmtId="0" fontId="108" fillId="26" borderId="0" applyNumberFormat="0" applyBorder="0" applyAlignment="0" applyProtection="0"/>
    <xf numFmtId="0" fontId="148" fillId="48" borderId="0" applyNumberFormat="0" applyBorder="0" applyAlignment="0" applyProtection="0"/>
    <xf numFmtId="0" fontId="108" fillId="26" borderId="0" applyNumberFormat="0" applyBorder="0" applyAlignment="0" applyProtection="0"/>
    <xf numFmtId="0" fontId="108" fillId="26" borderId="0" applyNumberFormat="0" applyBorder="0" applyAlignment="0" applyProtection="0"/>
    <xf numFmtId="0" fontId="108" fillId="26" borderId="0" applyNumberFormat="0" applyBorder="0" applyAlignment="0" applyProtection="0"/>
    <xf numFmtId="0" fontId="108" fillId="26" borderId="0" applyNumberFormat="0" applyBorder="0" applyAlignment="0" applyProtection="0"/>
    <xf numFmtId="0" fontId="150" fillId="23" borderId="0" applyNumberFormat="0" applyBorder="0" applyAlignment="0" applyProtection="0"/>
    <xf numFmtId="0" fontId="150" fillId="23" borderId="0" applyNumberFormat="0" applyBorder="0" applyAlignment="0" applyProtection="0"/>
    <xf numFmtId="0" fontId="108" fillId="23" borderId="0" applyNumberFormat="0" applyBorder="0" applyAlignment="0" applyProtection="0"/>
    <xf numFmtId="0" fontId="148" fillId="52"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50" fillId="24" borderId="0" applyNumberFormat="0" applyBorder="0" applyAlignment="0" applyProtection="0"/>
    <xf numFmtId="0" fontId="150" fillId="24" borderId="0" applyNumberFormat="0" applyBorder="0" applyAlignment="0" applyProtection="0"/>
    <xf numFmtId="0" fontId="108" fillId="24" borderId="0" applyNumberFormat="0" applyBorder="0" applyAlignment="0" applyProtection="0"/>
    <xf numFmtId="0" fontId="148" fillId="56"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08" fillId="27" borderId="0" applyNumberFormat="0" applyBorder="0" applyAlignment="0" applyProtection="0"/>
    <xf numFmtId="0" fontId="148" fillId="60"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50" fillId="28" borderId="0" applyNumberFormat="0" applyBorder="0" applyAlignment="0" applyProtection="0"/>
    <xf numFmtId="0" fontId="150" fillId="28" borderId="0" applyNumberFormat="0" applyBorder="0" applyAlignment="0" applyProtection="0"/>
    <xf numFmtId="0" fontId="108" fillId="28" borderId="0" applyNumberFormat="0" applyBorder="0" applyAlignment="0" applyProtection="0"/>
    <xf numFmtId="0" fontId="148" fillId="64"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50" fillId="29" borderId="0" applyNumberFormat="0" applyBorder="0" applyAlignment="0" applyProtection="0"/>
    <xf numFmtId="0" fontId="150" fillId="29" borderId="0" applyNumberFormat="0" applyBorder="0" applyAlignment="0" applyProtection="0"/>
    <xf numFmtId="0" fontId="108" fillId="29" borderId="0" applyNumberFormat="0" applyBorder="0" applyAlignment="0" applyProtection="0"/>
    <xf numFmtId="0" fontId="148" fillId="68" borderId="0" applyNumberFormat="0" applyBorder="0" applyAlignment="0" applyProtection="0"/>
    <xf numFmtId="0" fontId="108" fillId="29" borderId="0" applyNumberFormat="0" applyBorder="0" applyAlignment="0" applyProtection="0"/>
    <xf numFmtId="0" fontId="108" fillId="29" borderId="0" applyNumberFormat="0" applyBorder="0" applyAlignment="0" applyProtection="0"/>
    <xf numFmtId="0" fontId="108" fillId="29" borderId="0" applyNumberFormat="0" applyBorder="0" applyAlignment="0" applyProtection="0"/>
    <xf numFmtId="0" fontId="108" fillId="29"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08" fillId="30" borderId="0" applyNumberFormat="0" applyBorder="0" applyAlignment="0" applyProtection="0"/>
    <xf numFmtId="0" fontId="148" fillId="45" borderId="0" applyNumberFormat="0" applyBorder="0" applyAlignment="0" applyProtection="0"/>
    <xf numFmtId="0" fontId="108" fillId="30" borderId="0" applyNumberFormat="0" applyBorder="0" applyAlignment="0" applyProtection="0"/>
    <xf numFmtId="0" fontId="108" fillId="30" borderId="0" applyNumberFormat="0" applyBorder="0" applyAlignment="0" applyProtection="0"/>
    <xf numFmtId="0" fontId="108" fillId="30" borderId="0" applyNumberFormat="0" applyBorder="0" applyAlignment="0" applyProtection="0"/>
    <xf numFmtId="0" fontId="108" fillId="30" borderId="0" applyNumberFormat="0" applyBorder="0" applyAlignment="0" applyProtection="0"/>
    <xf numFmtId="0" fontId="150" fillId="31" borderId="0" applyNumberFormat="0" applyBorder="0" applyAlignment="0" applyProtection="0"/>
    <xf numFmtId="0" fontId="150" fillId="31" borderId="0" applyNumberFormat="0" applyBorder="0" applyAlignment="0" applyProtection="0"/>
    <xf numFmtId="0" fontId="108" fillId="31" borderId="0" applyNumberFormat="0" applyBorder="0" applyAlignment="0" applyProtection="0"/>
    <xf numFmtId="0" fontId="148" fillId="49"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50" fillId="32" borderId="0" applyNumberFormat="0" applyBorder="0" applyAlignment="0" applyProtection="0"/>
    <xf numFmtId="0" fontId="150" fillId="32" borderId="0" applyNumberFormat="0" applyBorder="0" applyAlignment="0" applyProtection="0"/>
    <xf numFmtId="0" fontId="108" fillId="32" borderId="0" applyNumberFormat="0" applyBorder="0" applyAlignment="0" applyProtection="0"/>
    <xf numFmtId="0" fontId="148" fillId="53" borderId="0" applyNumberFormat="0" applyBorder="0" applyAlignment="0" applyProtection="0"/>
    <xf numFmtId="0" fontId="108" fillId="32" borderId="0" applyNumberFormat="0" applyBorder="0" applyAlignment="0" applyProtection="0"/>
    <xf numFmtId="0" fontId="108" fillId="32" borderId="0" applyNumberFormat="0" applyBorder="0" applyAlignment="0" applyProtection="0"/>
    <xf numFmtId="0" fontId="108" fillId="32" borderId="0" applyNumberFormat="0" applyBorder="0" applyAlignment="0" applyProtection="0"/>
    <xf numFmtId="0" fontId="108" fillId="32"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08" fillId="27" borderId="0" applyNumberFormat="0" applyBorder="0" applyAlignment="0" applyProtection="0"/>
    <xf numFmtId="0" fontId="148" fillId="5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50" fillId="28" borderId="0" applyNumberFormat="0" applyBorder="0" applyAlignment="0" applyProtection="0"/>
    <xf numFmtId="0" fontId="150" fillId="28" borderId="0" applyNumberFormat="0" applyBorder="0" applyAlignment="0" applyProtection="0"/>
    <xf numFmtId="0" fontId="108" fillId="28" borderId="0" applyNumberFormat="0" applyBorder="0" applyAlignment="0" applyProtection="0"/>
    <xf numFmtId="0" fontId="148" fillId="61"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50" fillId="33" borderId="0" applyNumberFormat="0" applyBorder="0" applyAlignment="0" applyProtection="0"/>
    <xf numFmtId="0" fontId="150" fillId="33" borderId="0" applyNumberFormat="0" applyBorder="0" applyAlignment="0" applyProtection="0"/>
    <xf numFmtId="0" fontId="108" fillId="33" borderId="0" applyNumberFormat="0" applyBorder="0" applyAlignment="0" applyProtection="0"/>
    <xf numFmtId="0" fontId="148" fillId="65" borderId="0" applyNumberFormat="0" applyBorder="0" applyAlignment="0" applyProtection="0"/>
    <xf numFmtId="0" fontId="108" fillId="33" borderId="0" applyNumberFormat="0" applyBorder="0" applyAlignment="0" applyProtection="0"/>
    <xf numFmtId="0" fontId="108" fillId="33" borderId="0" applyNumberFormat="0" applyBorder="0" applyAlignment="0" applyProtection="0"/>
    <xf numFmtId="0" fontId="108" fillId="33" borderId="0" applyNumberFormat="0" applyBorder="0" applyAlignment="0" applyProtection="0"/>
    <xf numFmtId="0" fontId="108" fillId="33" borderId="0" applyNumberFormat="0" applyBorder="0" applyAlignment="0" applyProtection="0"/>
    <xf numFmtId="0" fontId="151" fillId="17" borderId="0" applyNumberFormat="0" applyBorder="0" applyAlignment="0" applyProtection="0"/>
    <xf numFmtId="0" fontId="151" fillId="17" borderId="0" applyNumberFormat="0" applyBorder="0" applyAlignment="0" applyProtection="0"/>
    <xf numFmtId="0" fontId="109" fillId="17" borderId="0" applyNumberFormat="0" applyBorder="0" applyAlignment="0" applyProtection="0"/>
    <xf numFmtId="0" fontId="139" fillId="39" borderId="0" applyNumberFormat="0" applyBorder="0" applyAlignment="0" applyProtection="0"/>
    <xf numFmtId="0" fontId="109" fillId="17" borderId="0" applyNumberFormat="0" applyBorder="0" applyAlignment="0" applyProtection="0"/>
    <xf numFmtId="0" fontId="109" fillId="17" borderId="0" applyNumberFormat="0" applyBorder="0" applyAlignment="0" applyProtection="0"/>
    <xf numFmtId="0" fontId="109" fillId="17" borderId="0" applyNumberFormat="0" applyBorder="0" applyAlignment="0" applyProtection="0"/>
    <xf numFmtId="0" fontId="109" fillId="17" borderId="0" applyNumberFormat="0" applyBorder="0" applyAlignment="0" applyProtection="0"/>
    <xf numFmtId="0" fontId="152" fillId="34" borderId="25" applyNumberFormat="0" applyAlignment="0" applyProtection="0"/>
    <xf numFmtId="0" fontId="152" fillId="34" borderId="25" applyNumberFormat="0" applyAlignment="0" applyProtection="0"/>
    <xf numFmtId="0" fontId="110" fillId="34" borderId="25" applyNumberFormat="0" applyAlignment="0" applyProtection="0"/>
    <xf numFmtId="0" fontId="143" fillId="42" borderId="36" applyNumberFormat="0" applyAlignment="0" applyProtection="0"/>
    <xf numFmtId="0" fontId="110" fillId="34" borderId="25" applyNumberFormat="0" applyAlignment="0" applyProtection="0"/>
    <xf numFmtId="0" fontId="110" fillId="34" borderId="25" applyNumberFormat="0" applyAlignment="0" applyProtection="0"/>
    <xf numFmtId="0" fontId="110" fillId="34" borderId="25" applyNumberFormat="0" applyAlignment="0" applyProtection="0"/>
    <xf numFmtId="0" fontId="110" fillId="34" borderId="25" applyNumberFormat="0" applyAlignment="0" applyProtection="0"/>
    <xf numFmtId="0" fontId="153" fillId="35" borderId="26" applyNumberFormat="0" applyAlignment="0" applyProtection="0"/>
    <xf numFmtId="0" fontId="153" fillId="35" borderId="26" applyNumberFormat="0" applyAlignment="0" applyProtection="0"/>
    <xf numFmtId="0" fontId="111" fillId="35" borderId="26" applyNumberFormat="0" applyAlignment="0" applyProtection="0"/>
    <xf numFmtId="0" fontId="145" fillId="43" borderId="39" applyNumberFormat="0" applyAlignment="0" applyProtection="0"/>
    <xf numFmtId="0" fontId="111" fillId="35" borderId="26" applyNumberFormat="0" applyAlignment="0" applyProtection="0"/>
    <xf numFmtId="0" fontId="111" fillId="35" borderId="26" applyNumberFormat="0" applyAlignment="0" applyProtection="0"/>
    <xf numFmtId="0" fontId="111" fillId="35" borderId="26" applyNumberFormat="0" applyAlignment="0" applyProtection="0"/>
    <xf numFmtId="0" fontId="111" fillId="35" borderId="26" applyNumberFormat="0" applyAlignment="0" applyProtection="0"/>
    <xf numFmtId="40" fontId="40" fillId="0" borderId="0" applyFont="0" applyFill="0" applyBorder="0" applyAlignment="0" applyProtection="0"/>
    <xf numFmtId="40"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0" fontId="40" fillId="0" borderId="0" applyFont="0" applyFill="0" applyBorder="0" applyAlignment="0" applyProtection="0"/>
    <xf numFmtId="40" fontId="40" fillId="0" borderId="0" applyFont="0" applyFill="0" applyBorder="0" applyAlignment="0" applyProtection="0"/>
    <xf numFmtId="43" fontId="106" fillId="0" borderId="0" applyFont="0" applyFill="0" applyBorder="0" applyAlignment="0" applyProtection="0"/>
    <xf numFmtId="40" fontId="40" fillId="0" borderId="0" applyFont="0" applyFill="0" applyBorder="0" applyAlignment="0" applyProtection="0"/>
    <xf numFmtId="40" fontId="40" fillId="0" borderId="0" applyFont="0" applyFill="0" applyBorder="0" applyAlignment="0" applyProtection="0"/>
    <xf numFmtId="3" fontId="154"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78" fontId="154" fillId="0" borderId="0" applyFont="0" applyFill="0" applyBorder="0" applyAlignment="0" applyProtection="0"/>
    <xf numFmtId="0" fontId="154"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12" fillId="0" borderId="0" applyNumberFormat="0" applyFill="0" applyBorder="0" applyAlignment="0" applyProtection="0"/>
    <xf numFmtId="0" fontId="147"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2" fontId="154" fillId="0" borderId="0" applyFont="0" applyFill="0" applyBorder="0" applyAlignment="0" applyProtection="0"/>
    <xf numFmtId="0" fontId="156" fillId="18" borderId="0" applyNumberFormat="0" applyBorder="0" applyAlignment="0" applyProtection="0"/>
    <xf numFmtId="0" fontId="156" fillId="18" borderId="0" applyNumberFormat="0" applyBorder="0" applyAlignment="0" applyProtection="0"/>
    <xf numFmtId="0" fontId="113" fillId="18" borderId="0" applyNumberFormat="0" applyBorder="0" applyAlignment="0" applyProtection="0"/>
    <xf numFmtId="0" fontId="138" fillId="38" borderId="0" applyNumberFormat="0" applyBorder="0" applyAlignment="0" applyProtection="0"/>
    <xf numFmtId="0" fontId="113" fillId="18" borderId="0" applyNumberFormat="0" applyBorder="0" applyAlignment="0" applyProtection="0"/>
    <xf numFmtId="0" fontId="113" fillId="18" borderId="0" applyNumberFormat="0" applyBorder="0" applyAlignment="0" applyProtection="0"/>
    <xf numFmtId="0" fontId="113" fillId="18" borderId="0" applyNumberFormat="0" applyBorder="0" applyAlignment="0" applyProtection="0"/>
    <xf numFmtId="0" fontId="113" fillId="18" borderId="0" applyNumberFormat="0" applyBorder="0" applyAlignment="0" applyProtection="0"/>
    <xf numFmtId="0" fontId="35"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35" fillId="0" borderId="0" applyFont="0" applyFill="0" applyBorder="0" applyAlignment="0" applyProtection="0"/>
    <xf numFmtId="0" fontId="158" fillId="0" borderId="41" applyNumberFormat="0" applyFill="0" applyAlignment="0" applyProtection="0"/>
    <xf numFmtId="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21" fillId="0" borderId="0" applyFont="0" applyFill="0" applyBorder="0" applyAlignment="0" applyProtection="0"/>
    <xf numFmtId="0" fontId="160" fillId="0" borderId="42" applyNumberFormat="0" applyFill="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161" fillId="0" borderId="27" applyNumberFormat="0" applyFill="0" applyAlignment="0" applyProtection="0"/>
    <xf numFmtId="0" fontId="161" fillId="0" borderId="27" applyNumberFormat="0" applyFill="0" applyAlignment="0" applyProtection="0"/>
    <xf numFmtId="0" fontId="114" fillId="0" borderId="27" applyNumberFormat="0" applyFill="0" applyAlignment="0" applyProtection="0"/>
    <xf numFmtId="0" fontId="137" fillId="0" borderId="35"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14" fillId="0" borderId="0" applyNumberFormat="0" applyFill="0" applyBorder="0" applyAlignment="0" applyProtection="0"/>
    <xf numFmtId="0" fontId="137"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62" fillId="21" borderId="25" applyNumberFormat="0" applyAlignment="0" applyProtection="0"/>
    <xf numFmtId="0" fontId="141" fillId="41" borderId="36" applyNumberFormat="0" applyAlignment="0" applyProtection="0"/>
    <xf numFmtId="0" fontId="115" fillId="21" borderId="25" applyNumberFormat="0" applyAlignment="0" applyProtection="0"/>
    <xf numFmtId="0" fontId="115" fillId="21" borderId="25" applyNumberFormat="0" applyAlignment="0" applyProtection="0"/>
    <xf numFmtId="0" fontId="115" fillId="21" borderId="25" applyNumberFormat="0" applyAlignment="0" applyProtection="0"/>
    <xf numFmtId="0" fontId="115" fillId="21" borderId="25" applyNumberFormat="0" applyAlignment="0" applyProtection="0"/>
    <xf numFmtId="0" fontId="163" fillId="0" borderId="28" applyNumberFormat="0" applyFill="0" applyAlignment="0" applyProtection="0"/>
    <xf numFmtId="0" fontId="163" fillId="0" borderId="28" applyNumberFormat="0" applyFill="0" applyAlignment="0" applyProtection="0"/>
    <xf numFmtId="0" fontId="116" fillId="0" borderId="28" applyNumberFormat="0" applyFill="0" applyAlignment="0" applyProtection="0"/>
    <xf numFmtId="0" fontId="144" fillId="0" borderId="3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64" fillId="36" borderId="0" applyNumberFormat="0" applyBorder="0" applyAlignment="0" applyProtection="0"/>
    <xf numFmtId="0" fontId="164" fillId="36" borderId="0" applyNumberFormat="0" applyBorder="0" applyAlignment="0" applyProtection="0"/>
    <xf numFmtId="0" fontId="117" fillId="36" borderId="0" applyNumberFormat="0" applyBorder="0" applyAlignment="0" applyProtection="0"/>
    <xf numFmtId="0" fontId="140" fillId="40" borderId="0" applyNumberFormat="0" applyBorder="0" applyAlignment="0" applyProtection="0"/>
    <xf numFmtId="0" fontId="117" fillId="36" borderId="0" applyNumberFormat="0" applyBorder="0" applyAlignment="0" applyProtection="0"/>
    <xf numFmtId="0" fontId="117" fillId="36" borderId="0" applyNumberFormat="0" applyBorder="0" applyAlignment="0" applyProtection="0"/>
    <xf numFmtId="0" fontId="117" fillId="36" borderId="0" applyNumberFormat="0" applyBorder="0" applyAlignment="0" applyProtection="0"/>
    <xf numFmtId="0" fontId="117"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19" fillId="0" borderId="0"/>
    <xf numFmtId="0" fontId="40" fillId="0" borderId="0"/>
    <xf numFmtId="0" fontId="19" fillId="0" borderId="0"/>
    <xf numFmtId="0" fontId="40" fillId="0" borderId="0"/>
    <xf numFmtId="174" fontId="39" fillId="0" borderId="0" applyProtection="0"/>
    <xf numFmtId="0" fontId="40" fillId="0" borderId="0"/>
    <xf numFmtId="0" fontId="40" fillId="0" borderId="0"/>
    <xf numFmtId="174" fontId="39" fillId="0" borderId="0" applyProtection="0"/>
    <xf numFmtId="174" fontId="39" fillId="0" borderId="0" applyProtection="0"/>
    <xf numFmtId="0" fontId="40" fillId="0" borderId="0"/>
    <xf numFmtId="0" fontId="40" fillId="0" borderId="0"/>
    <xf numFmtId="0" fontId="40" fillId="0" borderId="0"/>
    <xf numFmtId="0" fontId="19" fillId="0" borderId="0"/>
    <xf numFmtId="0" fontId="19" fillId="0" borderId="0"/>
    <xf numFmtId="0" fontId="19" fillId="0" borderId="0"/>
    <xf numFmtId="0" fontId="165" fillId="0" borderId="0"/>
    <xf numFmtId="0" fontId="40" fillId="0" borderId="0"/>
    <xf numFmtId="0" fontId="166" fillId="0" borderId="0"/>
    <xf numFmtId="0" fontId="40" fillId="0" borderId="0"/>
    <xf numFmtId="0" fontId="166" fillId="0" borderId="0"/>
    <xf numFmtId="0" fontId="19" fillId="0" borderId="0"/>
    <xf numFmtId="0" fontId="16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79" fontId="19" fillId="0" borderId="0"/>
    <xf numFmtId="279"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79" fontId="19" fillId="0" borderId="0"/>
    <xf numFmtId="279"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19" fillId="37" borderId="29" applyNumberFormat="0" applyFont="0" applyAlignment="0" applyProtection="0"/>
    <xf numFmtId="0" fontId="19" fillId="37" borderId="29" applyNumberFormat="0" applyFont="0" applyAlignment="0" applyProtection="0"/>
    <xf numFmtId="0" fontId="39" fillId="37" borderId="29"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39" fillId="37" borderId="29" applyNumberFormat="0" applyFont="0" applyAlignment="0" applyProtection="0"/>
    <xf numFmtId="0" fontId="39" fillId="37" borderId="29" applyNumberFormat="0" applyFont="0" applyAlignment="0" applyProtection="0"/>
    <xf numFmtId="0" fontId="39" fillId="37" borderId="29" applyNumberFormat="0" applyFont="0" applyAlignment="0" applyProtection="0"/>
    <xf numFmtId="0" fontId="39" fillId="37" borderId="29" applyNumberFormat="0" applyFont="0" applyAlignment="0" applyProtection="0"/>
    <xf numFmtId="0" fontId="167" fillId="34" borderId="30" applyNumberFormat="0" applyAlignment="0" applyProtection="0"/>
    <xf numFmtId="0" fontId="167" fillId="34" borderId="30" applyNumberFormat="0" applyAlignment="0" applyProtection="0"/>
    <xf numFmtId="0" fontId="118" fillId="34" borderId="30" applyNumberFormat="0" applyAlignment="0" applyProtection="0"/>
    <xf numFmtId="0" fontId="142" fillId="42" borderId="37" applyNumberFormat="0" applyAlignment="0" applyProtection="0"/>
    <xf numFmtId="0" fontId="118" fillId="34" borderId="30" applyNumberFormat="0" applyAlignment="0" applyProtection="0"/>
    <xf numFmtId="0" fontId="118" fillId="34" borderId="30" applyNumberFormat="0" applyAlignment="0" applyProtection="0"/>
    <xf numFmtId="0" fontId="118" fillId="34" borderId="30" applyNumberFormat="0" applyAlignment="0" applyProtection="0"/>
    <xf numFmtId="0" fontId="118" fillId="34" borderId="30" applyNumberFormat="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166"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166"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166"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168"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166"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166"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119" fillId="0" borderId="0" applyNumberFormat="0" applyFill="0" applyBorder="0" applyAlignment="0" applyProtection="0"/>
    <xf numFmtId="0" fontId="13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9" fillId="0" borderId="0" applyFont="0" applyFill="0" applyBorder="0" applyAlignment="0" applyProtection="0"/>
    <xf numFmtId="0" fontId="154" fillId="0" borderId="2" applyNumberFormat="0" applyFont="0" applyFill="0" applyAlignment="0" applyProtection="0"/>
    <xf numFmtId="0" fontId="154" fillId="0" borderId="2" applyNumberFormat="0" applyFont="0" applyFill="0" applyAlignment="0" applyProtection="0"/>
    <xf numFmtId="0" fontId="19" fillId="0" borderId="0" applyFont="0" applyFill="0" applyBorder="0" applyAlignment="0" applyProtection="0"/>
    <xf numFmtId="0" fontId="169" fillId="0" borderId="43"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20" fillId="0" borderId="0" applyNumberFormat="0" applyFill="0" applyBorder="0" applyAlignment="0" applyProtection="0"/>
    <xf numFmtId="0" fontId="146"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3" fontId="19" fillId="0" borderId="0"/>
    <xf numFmtId="14" fontId="44" fillId="5" borderId="34">
      <alignment horizontal="center" vertical="center" wrapText="1"/>
    </xf>
    <xf numFmtId="0" fontId="37" fillId="0" borderId="34"/>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0" borderId="34">
      <alignment horizontal="center"/>
    </xf>
    <xf numFmtId="0" fontId="56" fillId="0" borderId="34">
      <alignment horizontal="right"/>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9" fillId="0" borderId="0"/>
    <xf numFmtId="0" fontId="19" fillId="0" borderId="0"/>
    <xf numFmtId="0" fontId="2" fillId="0" borderId="0"/>
    <xf numFmtId="41"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1" fontId="19" fillId="0" borderId="0" applyFont="0" applyFill="0" applyBorder="0" applyAlignment="0" applyProtection="0"/>
    <xf numFmtId="0" fontId="1" fillId="0" borderId="0"/>
    <xf numFmtId="41" fontId="1" fillId="0" borderId="0" applyFont="0" applyFill="0" applyBorder="0" applyAlignment="0" applyProtection="0"/>
  </cellStyleXfs>
  <cellXfs count="1304">
    <xf numFmtId="174" fontId="0" fillId="0" borderId="0" xfId="0" applyAlignment="1"/>
    <xf numFmtId="0" fontId="59" fillId="0" borderId="0" xfId="211" applyFont="1"/>
    <xf numFmtId="0" fontId="66" fillId="0" borderId="0" xfId="211" applyFont="1" applyAlignment="1">
      <alignment horizontal="centerContinuous"/>
    </xf>
    <xf numFmtId="0" fontId="66" fillId="0" borderId="0" xfId="211" applyFont="1" applyAlignment="1">
      <alignment horizontal="center" wrapText="1"/>
    </xf>
    <xf numFmtId="0" fontId="66" fillId="0" borderId="0" xfId="206" applyFont="1" applyFill="1" applyBorder="1" applyAlignment="1">
      <alignment horizontal="center" wrapText="1"/>
    </xf>
    <xf numFmtId="0" fontId="59" fillId="0" borderId="0" xfId="211" quotePrefix="1" applyFont="1" applyAlignment="1">
      <alignment horizontal="left"/>
    </xf>
    <xf numFmtId="41" fontId="59" fillId="14" borderId="0" xfId="211" applyNumberFormat="1" applyFont="1" applyFill="1"/>
    <xf numFmtId="0" fontId="59" fillId="0" borderId="0" xfId="211" applyFont="1" applyAlignment="1">
      <alignment horizontal="right"/>
    </xf>
    <xf numFmtId="37" fontId="59" fillId="0" borderId="0" xfId="211" applyNumberFormat="1" applyFont="1"/>
    <xf numFmtId="0" fontId="66" fillId="0" borderId="0" xfId="211" applyFont="1" applyAlignment="1">
      <alignment horizontal="centerContinuous" wrapText="1"/>
    </xf>
    <xf numFmtId="0" fontId="66" fillId="0" borderId="0" xfId="211" applyFont="1" applyAlignment="1">
      <alignment horizontal="center"/>
    </xf>
    <xf numFmtId="174" fontId="59" fillId="0" borderId="0" xfId="0" applyFont="1" applyAlignment="1">
      <alignment wrapText="1"/>
    </xf>
    <xf numFmtId="0" fontId="89" fillId="0" borderId="0" xfId="0" applyNumberFormat="1" applyFont="1" applyAlignment="1">
      <alignment horizontal="center"/>
    </xf>
    <xf numFmtId="174" fontId="89" fillId="0" borderId="0" xfId="0" applyFont="1" applyAlignment="1"/>
    <xf numFmtId="174" fontId="59" fillId="0" borderId="0" xfId="0" applyFont="1" applyAlignment="1"/>
    <xf numFmtId="174" fontId="59" fillId="0" borderId="0" xfId="207" applyFont="1" applyAlignment="1"/>
    <xf numFmtId="175" fontId="59" fillId="0" borderId="0" xfId="59" applyNumberFormat="1" applyFont="1" applyAlignment="1"/>
    <xf numFmtId="0" fontId="59" fillId="0" borderId="0" xfId="201" applyNumberFormat="1" applyFont="1" applyFill="1" applyBorder="1" applyAlignment="1" applyProtection="1">
      <protection locked="0"/>
    </xf>
    <xf numFmtId="0" fontId="59" fillId="0" borderId="0" xfId="201" applyNumberFormat="1" applyFont="1" applyFill="1" applyBorder="1" applyAlignment="1" applyProtection="1">
      <alignment horizontal="center"/>
      <protection locked="0"/>
    </xf>
    <xf numFmtId="0" fontId="59" fillId="14" borderId="0" xfId="201" applyNumberFormat="1" applyFont="1" applyFill="1" applyAlignment="1">
      <alignment horizontal="right"/>
    </xf>
    <xf numFmtId="3" fontId="59" fillId="0" borderId="0" xfId="201" applyNumberFormat="1" applyFont="1" applyFill="1" applyBorder="1" applyAlignment="1"/>
    <xf numFmtId="3" fontId="59" fillId="0" borderId="0" xfId="201" applyNumberFormat="1" applyFont="1" applyFill="1" applyBorder="1" applyAlignment="1">
      <alignment horizontal="center"/>
    </xf>
    <xf numFmtId="0" fontId="59" fillId="0" borderId="0" xfId="201" applyNumberFormat="1" applyFont="1" applyFill="1" applyBorder="1" applyProtection="1">
      <protection locked="0"/>
    </xf>
    <xf numFmtId="174" fontId="59" fillId="0" borderId="0" xfId="201" applyFont="1" applyFill="1" applyBorder="1" applyAlignment="1"/>
    <xf numFmtId="0" fontId="59" fillId="0" borderId="0" xfId="201" applyNumberFormat="1" applyFont="1" applyFill="1" applyBorder="1"/>
    <xf numFmtId="43" fontId="59" fillId="0" borderId="0" xfId="59" applyFont="1" applyAlignment="1"/>
    <xf numFmtId="0" fontId="59" fillId="0" borderId="0" xfId="210" applyNumberFormat="1" applyFont="1" applyAlignment="1" applyProtection="1">
      <protection locked="0"/>
    </xf>
    <xf numFmtId="3" fontId="59" fillId="0" borderId="0" xfId="210" applyNumberFormat="1" applyFont="1" applyAlignment="1"/>
    <xf numFmtId="3" fontId="59" fillId="0" borderId="8" xfId="210" applyNumberFormat="1" applyFont="1" applyBorder="1" applyAlignment="1">
      <alignment horizontal="center"/>
    </xf>
    <xf numFmtId="0" fontId="59" fillId="0" borderId="0" xfId="210" applyNumberFormat="1" applyFont="1" applyAlignment="1"/>
    <xf numFmtId="3" fontId="59" fillId="0" borderId="0" xfId="210" applyNumberFormat="1" applyFont="1" applyAlignment="1">
      <alignment horizontal="center"/>
    </xf>
    <xf numFmtId="0" fontId="59" fillId="0" borderId="8" xfId="210" applyNumberFormat="1" applyFont="1" applyBorder="1" applyAlignment="1" applyProtection="1">
      <alignment horizontal="center"/>
      <protection locked="0"/>
    </xf>
    <xf numFmtId="174" fontId="59" fillId="0" borderId="0" xfId="210" applyFont="1" applyFill="1" applyAlignment="1"/>
    <xf numFmtId="169" fontId="59" fillId="0" borderId="0" xfId="210" applyNumberFormat="1" applyFont="1" applyAlignment="1"/>
    <xf numFmtId="174" fontId="59" fillId="0" borderId="0" xfId="210" applyFont="1" applyAlignment="1"/>
    <xf numFmtId="3" fontId="59" fillId="0" borderId="0" xfId="210" applyNumberFormat="1" applyFont="1" applyFill="1" applyAlignment="1"/>
    <xf numFmtId="166" fontId="59" fillId="0" borderId="0" xfId="210" applyNumberFormat="1" applyFont="1" applyAlignment="1">
      <alignment horizontal="center"/>
    </xf>
    <xf numFmtId="164" fontId="59" fillId="0" borderId="0" xfId="210" applyNumberFormat="1" applyFont="1" applyAlignment="1">
      <alignment horizontal="left"/>
    </xf>
    <xf numFmtId="0" fontId="59" fillId="0" borderId="0" xfId="210" applyNumberFormat="1" applyFont="1" applyFill="1" applyAlignment="1"/>
    <xf numFmtId="164" fontId="59" fillId="0" borderId="0" xfId="210" applyNumberFormat="1" applyFont="1" applyFill="1" applyAlignment="1">
      <alignment horizontal="left"/>
    </xf>
    <xf numFmtId="175" fontId="59" fillId="0" borderId="0" xfId="59" applyNumberFormat="1" applyFont="1" applyBorder="1" applyAlignment="1"/>
    <xf numFmtId="10" fontId="59" fillId="0" borderId="0" xfId="210" applyNumberFormat="1" applyFont="1" applyFill="1" applyAlignment="1">
      <alignment horizontal="left"/>
    </xf>
    <xf numFmtId="3" fontId="59" fillId="0" borderId="0" xfId="188" applyNumberFormat="1" applyFont="1" applyAlignment="1"/>
    <xf numFmtId="166" fontId="59" fillId="0" borderId="0" xfId="188" applyNumberFormat="1" applyFont="1" applyAlignment="1"/>
    <xf numFmtId="0" fontId="59" fillId="0" borderId="0" xfId="188" applyFont="1" applyAlignment="1"/>
    <xf numFmtId="164" fontId="59" fillId="0" borderId="0" xfId="210" applyNumberFormat="1" applyFont="1" applyFill="1" applyAlignment="1" applyProtection="1">
      <alignment horizontal="left"/>
      <protection locked="0"/>
    </xf>
    <xf numFmtId="174" fontId="59" fillId="0" borderId="1" xfId="201" applyFont="1" applyFill="1" applyBorder="1" applyAlignment="1"/>
    <xf numFmtId="175" fontId="59" fillId="0" borderId="0" xfId="59" applyNumberFormat="1" applyFont="1" applyFill="1" applyBorder="1" applyAlignment="1"/>
    <xf numFmtId="43" fontId="59" fillId="0" borderId="0" xfId="59" applyFont="1" applyFill="1" applyBorder="1" applyAlignment="1"/>
    <xf numFmtId="174" fontId="90" fillId="0" borderId="0" xfId="201" applyFont="1" applyFill="1" applyBorder="1" applyAlignment="1"/>
    <xf numFmtId="174" fontId="59" fillId="0" borderId="0" xfId="201" applyFont="1" applyFill="1" applyBorder="1" applyAlignment="1">
      <alignment horizontal="center"/>
    </xf>
    <xf numFmtId="174" fontId="59" fillId="0" borderId="0" xfId="201" applyFont="1" applyFill="1" applyBorder="1" applyAlignment="1">
      <alignment horizontal="right"/>
    </xf>
    <xf numFmtId="0" fontId="59" fillId="0" borderId="0" xfId="188" applyFont="1" applyFill="1"/>
    <xf numFmtId="0" fontId="59" fillId="0" borderId="0" xfId="201" applyNumberFormat="1" applyFont="1" applyFill="1" applyAlignment="1">
      <alignment horizontal="right"/>
    </xf>
    <xf numFmtId="0" fontId="91" fillId="0" borderId="0" xfId="201" applyNumberFormat="1" applyFont="1" applyFill="1" applyBorder="1"/>
    <xf numFmtId="0" fontId="91" fillId="0" borderId="0" xfId="201" applyNumberFormat="1" applyFont="1" applyFill="1" applyBorder="1" applyAlignment="1">
      <alignment horizontal="center"/>
    </xf>
    <xf numFmtId="49" fontId="59" fillId="0" borderId="0" xfId="201" applyNumberFormat="1" applyFont="1" applyFill="1" applyBorder="1"/>
    <xf numFmtId="3" fontId="59" fillId="0" borderId="0" xfId="201" applyNumberFormat="1" applyFont="1" applyFill="1" applyBorder="1"/>
    <xf numFmtId="0" fontId="59" fillId="0" borderId="0" xfId="201" applyNumberFormat="1" applyFont="1" applyFill="1" applyBorder="1" applyAlignment="1">
      <alignment horizontal="center"/>
    </xf>
    <xf numFmtId="49" fontId="59" fillId="0" borderId="0" xfId="201" applyNumberFormat="1" applyFont="1" applyFill="1" applyBorder="1" applyAlignment="1">
      <alignment horizontal="center"/>
    </xf>
    <xf numFmtId="0" fontId="59" fillId="0" borderId="0" xfId="201" applyNumberFormat="1" applyFont="1" applyFill="1" applyBorder="1" applyAlignment="1"/>
    <xf numFmtId="3" fontId="66" fillId="0" borderId="0" xfId="201" applyNumberFormat="1" applyFont="1" applyFill="1" applyBorder="1" applyAlignment="1">
      <alignment horizontal="center"/>
    </xf>
    <xf numFmtId="174" fontId="66" fillId="0" borderId="0" xfId="201" applyFont="1" applyFill="1" applyBorder="1" applyAlignment="1">
      <alignment horizontal="center"/>
    </xf>
    <xf numFmtId="0" fontId="66" fillId="0" borderId="0" xfId="201" applyNumberFormat="1" applyFont="1" applyFill="1" applyBorder="1" applyAlignment="1" applyProtection="1">
      <alignment horizontal="center"/>
      <protection locked="0"/>
    </xf>
    <xf numFmtId="0" fontId="66" fillId="0" borderId="0" xfId="201" applyNumberFormat="1" applyFont="1" applyFill="1" applyBorder="1" applyAlignment="1">
      <alignment horizontal="center"/>
    </xf>
    <xf numFmtId="0" fontId="66" fillId="0" borderId="0" xfId="201" applyNumberFormat="1" applyFont="1" applyFill="1" applyBorder="1" applyAlignment="1"/>
    <xf numFmtId="0" fontId="92" fillId="0" borderId="0" xfId="201" applyNumberFormat="1" applyFont="1" applyFill="1" applyBorder="1" applyAlignment="1" applyProtection="1">
      <alignment horizontal="center"/>
      <protection locked="0"/>
    </xf>
    <xf numFmtId="3" fontId="59" fillId="0" borderId="0" xfId="201" applyNumberFormat="1" applyFont="1" applyFill="1" applyBorder="1" applyAlignment="1">
      <alignment horizontal="left"/>
    </xf>
    <xf numFmtId="10" fontId="93" fillId="0" borderId="0" xfId="265" applyNumberFormat="1" applyFont="1" applyFill="1" applyBorder="1" applyAlignment="1"/>
    <xf numFmtId="10" fontId="66" fillId="0" borderId="0" xfId="201" applyNumberFormat="1" applyFont="1" applyFill="1" applyBorder="1" applyAlignment="1"/>
    <xf numFmtId="3" fontId="66" fillId="0" borderId="0" xfId="201" applyNumberFormat="1" applyFont="1" applyFill="1" applyBorder="1" applyAlignment="1"/>
    <xf numFmtId="165" fontId="66" fillId="0" borderId="0" xfId="201" applyNumberFormat="1" applyFont="1" applyFill="1" applyBorder="1" applyAlignment="1"/>
    <xf numFmtId="10" fontId="59" fillId="0" borderId="0" xfId="201" applyNumberFormat="1" applyFont="1" applyFill="1" applyBorder="1" applyAlignment="1"/>
    <xf numFmtId="49" fontId="66" fillId="0" borderId="0" xfId="201" applyNumberFormat="1" applyFont="1" applyFill="1" applyBorder="1" applyAlignment="1">
      <alignment horizontal="center"/>
    </xf>
    <xf numFmtId="174" fontId="66" fillId="0" borderId="0" xfId="201" applyFont="1" applyFill="1" applyBorder="1" applyAlignment="1"/>
    <xf numFmtId="3" fontId="66" fillId="0" borderId="0" xfId="201" applyNumberFormat="1" applyFont="1" applyFill="1" applyBorder="1" applyAlignment="1">
      <alignment horizontal="left"/>
    </xf>
    <xf numFmtId="10" fontId="66" fillId="0" borderId="0" xfId="265" applyNumberFormat="1" applyFont="1" applyFill="1" applyBorder="1" applyAlignment="1"/>
    <xf numFmtId="0" fontId="59" fillId="0" borderId="0" xfId="201" applyNumberFormat="1" applyFont="1" applyFill="1" applyBorder="1" applyAlignment="1">
      <alignment horizontal="fill"/>
    </xf>
    <xf numFmtId="174" fontId="94" fillId="0" borderId="0" xfId="201" applyFont="1" applyFill="1" applyBorder="1" applyAlignment="1"/>
    <xf numFmtId="3" fontId="94" fillId="0" borderId="0" xfId="201" applyNumberFormat="1" applyFont="1" applyFill="1" applyBorder="1" applyAlignment="1"/>
    <xf numFmtId="164" fontId="59" fillId="0" borderId="0" xfId="201" applyNumberFormat="1" applyFont="1" applyFill="1" applyBorder="1" applyAlignment="1">
      <alignment horizontal="left"/>
    </xf>
    <xf numFmtId="164" fontId="59" fillId="0" borderId="0" xfId="201" applyNumberFormat="1" applyFont="1" applyFill="1" applyBorder="1" applyAlignment="1">
      <alignment horizontal="center"/>
    </xf>
    <xf numFmtId="170" fontId="59" fillId="0" borderId="0" xfId="201" applyNumberFormat="1" applyFont="1" applyFill="1" applyBorder="1" applyAlignment="1"/>
    <xf numFmtId="0" fontId="94" fillId="0" borderId="0" xfId="201" applyNumberFormat="1" applyFont="1" applyFill="1" applyBorder="1"/>
    <xf numFmtId="177" fontId="66" fillId="0" borderId="0" xfId="201" applyNumberFormat="1" applyFont="1" applyFill="1" applyBorder="1" applyAlignment="1">
      <alignment horizontal="center"/>
    </xf>
    <xf numFmtId="174" fontId="66" fillId="0" borderId="7" xfId="201" applyFont="1" applyFill="1" applyBorder="1" applyAlignment="1"/>
    <xf numFmtId="0" fontId="66" fillId="0" borderId="7" xfId="201" applyNumberFormat="1" applyFont="1" applyFill="1" applyBorder="1" applyAlignment="1">
      <alignment horizontal="center" wrapText="1"/>
    </xf>
    <xf numFmtId="174" fontId="66" fillId="0" borderId="9" xfId="201" applyFont="1" applyFill="1" applyBorder="1" applyAlignment="1">
      <alignment horizontal="center" wrapText="1"/>
    </xf>
    <xf numFmtId="3" fontId="66" fillId="0" borderId="9" xfId="201" applyNumberFormat="1" applyFont="1" applyFill="1" applyBorder="1" applyAlignment="1">
      <alignment horizontal="center" wrapText="1"/>
    </xf>
    <xf numFmtId="0" fontId="59" fillId="0" borderId="7" xfId="201" applyNumberFormat="1" applyFont="1" applyFill="1" applyBorder="1"/>
    <xf numFmtId="0" fontId="59" fillId="0" borderId="7" xfId="201" applyNumberFormat="1" applyFont="1" applyFill="1" applyBorder="1" applyAlignment="1">
      <alignment horizontal="center"/>
    </xf>
    <xf numFmtId="0" fontId="59" fillId="0" borderId="9" xfId="201" applyNumberFormat="1" applyFont="1" applyFill="1" applyBorder="1" applyAlignment="1">
      <alignment horizontal="center"/>
    </xf>
    <xf numFmtId="3" fontId="59" fillId="0" borderId="9" xfId="201" applyNumberFormat="1" applyFont="1" applyFill="1" applyBorder="1" applyAlignment="1">
      <alignment horizontal="center" wrapText="1"/>
    </xf>
    <xf numFmtId="3" fontId="59" fillId="0" borderId="7" xfId="201" applyNumberFormat="1" applyFont="1" applyFill="1" applyBorder="1" applyAlignment="1">
      <alignment horizontal="center"/>
    </xf>
    <xf numFmtId="0" fontId="59" fillId="0" borderId="11" xfId="201" applyNumberFormat="1" applyFont="1" applyFill="1" applyBorder="1"/>
    <xf numFmtId="3" fontId="59" fillId="0" borderId="11" xfId="201" applyNumberFormat="1" applyFont="1" applyFill="1" applyBorder="1" applyAlignment="1"/>
    <xf numFmtId="174" fontId="59" fillId="0" borderId="0" xfId="209" applyFont="1" applyFill="1" applyBorder="1" applyAlignment="1"/>
    <xf numFmtId="174" fontId="59" fillId="0" borderId="0" xfId="201" applyFont="1" applyFill="1" applyBorder="1" applyAlignment="1">
      <alignment horizontal="center" vertical="top"/>
    </xf>
    <xf numFmtId="49" fontId="89" fillId="0" borderId="0" xfId="0" applyNumberFormat="1" applyFont="1" applyAlignment="1">
      <alignment horizontal="center"/>
    </xf>
    <xf numFmtId="3" fontId="89" fillId="0" borderId="0" xfId="210" applyNumberFormat="1" applyFont="1" applyAlignment="1"/>
    <xf numFmtId="0" fontId="59" fillId="0" borderId="0" xfId="192" applyFont="1"/>
    <xf numFmtId="43" fontId="59" fillId="0" borderId="0" xfId="192" applyNumberFormat="1" applyFont="1"/>
    <xf numFmtId="0" fontId="59" fillId="0" borderId="0" xfId="188" applyFont="1"/>
    <xf numFmtId="0" fontId="59" fillId="0" borderId="0" xfId="188" applyFont="1" applyAlignment="1">
      <alignment horizontal="right"/>
    </xf>
    <xf numFmtId="0" fontId="59" fillId="0" borderId="0" xfId="210" applyNumberFormat="1" applyFont="1" applyAlignment="1" applyProtection="1">
      <alignment horizontal="center"/>
      <protection locked="0"/>
    </xf>
    <xf numFmtId="0" fontId="59" fillId="0" borderId="0" xfId="210" applyNumberFormat="1" applyFont="1" applyFill="1" applyAlignment="1" applyProtection="1">
      <protection locked="0"/>
    </xf>
    <xf numFmtId="0" fontId="59" fillId="0" borderId="0" xfId="210" applyNumberFormat="1" applyFont="1" applyFill="1" applyProtection="1">
      <protection locked="0"/>
    </xf>
    <xf numFmtId="0" fontId="59" fillId="14" borderId="0" xfId="188" applyFont="1" applyFill="1"/>
    <xf numFmtId="0" fontId="59" fillId="0" borderId="0" xfId="210" applyNumberFormat="1" applyFont="1" applyProtection="1">
      <protection locked="0"/>
    </xf>
    <xf numFmtId="0" fontId="59" fillId="0" borderId="0" xfId="210" applyNumberFormat="1" applyFont="1"/>
    <xf numFmtId="0" fontId="96" fillId="0" borderId="0" xfId="210" applyNumberFormat="1" applyFont="1"/>
    <xf numFmtId="49" fontId="59" fillId="0" borderId="0" xfId="210" applyNumberFormat="1" applyFont="1" applyAlignment="1"/>
    <xf numFmtId="49" fontId="59" fillId="0" borderId="0" xfId="210" applyNumberFormat="1" applyFont="1" applyAlignment="1">
      <alignment horizontal="center"/>
    </xf>
    <xf numFmtId="0" fontId="59" fillId="0" borderId="0" xfId="210" applyNumberFormat="1" applyFont="1" applyAlignment="1">
      <alignment horizontal="center"/>
    </xf>
    <xf numFmtId="49" fontId="59" fillId="0" borderId="0" xfId="210" applyNumberFormat="1" applyFont="1"/>
    <xf numFmtId="3" fontId="59" fillId="0" borderId="0" xfId="210" applyNumberFormat="1" applyFont="1"/>
    <xf numFmtId="42" fontId="59" fillId="0" borderId="0" xfId="188" applyNumberFormat="1" applyFont="1"/>
    <xf numFmtId="0" fontId="59" fillId="0" borderId="0" xfId="210" applyNumberFormat="1" applyFont="1" applyFill="1"/>
    <xf numFmtId="0" fontId="59" fillId="0" borderId="8" xfId="210" applyNumberFormat="1" applyFont="1" applyBorder="1" applyAlignment="1" applyProtection="1">
      <alignment horizontal="centerContinuous"/>
      <protection locked="0"/>
    </xf>
    <xf numFmtId="3" fontId="59" fillId="0" borderId="0" xfId="210" applyNumberFormat="1" applyFont="1" applyFill="1" applyBorder="1"/>
    <xf numFmtId="3" fontId="59" fillId="0" borderId="0" xfId="210" applyNumberFormat="1" applyFont="1" applyAlignment="1">
      <alignment horizontal="left"/>
    </xf>
    <xf numFmtId="166" fontId="59" fillId="0" borderId="0" xfId="210" applyNumberFormat="1" applyFont="1" applyAlignment="1"/>
    <xf numFmtId="174" fontId="90" fillId="0" borderId="0" xfId="0" applyFont="1" applyAlignment="1"/>
    <xf numFmtId="0" fontId="59" fillId="0" borderId="0" xfId="206" applyNumberFormat="1" applyFont="1" applyAlignment="1" applyProtection="1">
      <alignment horizontal="center"/>
      <protection locked="0"/>
    </xf>
    <xf numFmtId="0" fontId="59" fillId="0" borderId="0" xfId="206" applyNumberFormat="1" applyFont="1" applyAlignment="1"/>
    <xf numFmtId="0" fontId="59" fillId="0" borderId="0" xfId="206" applyNumberFormat="1" applyFont="1"/>
    <xf numFmtId="0" fontId="59" fillId="0" borderId="0" xfId="206" applyNumberFormat="1" applyFont="1" applyBorder="1" applyAlignment="1"/>
    <xf numFmtId="0" fontId="59" fillId="0" borderId="0" xfId="210" applyNumberFormat="1" applyFont="1" applyFill="1" applyBorder="1"/>
    <xf numFmtId="0" fontId="59" fillId="0" borderId="0" xfId="206" applyFont="1" applyAlignment="1"/>
    <xf numFmtId="3" fontId="59" fillId="0" borderId="0" xfId="206" applyNumberFormat="1" applyFont="1" applyAlignment="1"/>
    <xf numFmtId="42" fontId="59" fillId="0" borderId="18" xfId="206" applyNumberFormat="1" applyFont="1" applyBorder="1" applyAlignment="1" applyProtection="1">
      <alignment horizontal="right"/>
      <protection locked="0"/>
    </xf>
    <xf numFmtId="0" fontId="59" fillId="0" borderId="0" xfId="210" applyNumberFormat="1" applyFont="1" applyFill="1" applyBorder="1" applyAlignment="1" applyProtection="1">
      <alignment horizontal="center"/>
      <protection locked="0"/>
    </xf>
    <xf numFmtId="174" fontId="59" fillId="0" borderId="0" xfId="210" applyFont="1" applyFill="1" applyBorder="1" applyAlignment="1"/>
    <xf numFmtId="0" fontId="59" fillId="0" borderId="0" xfId="210" applyNumberFormat="1" applyFont="1" applyFill="1" applyBorder="1" applyProtection="1">
      <protection locked="0"/>
    </xf>
    <xf numFmtId="173" fontId="59" fillId="0" borderId="0" xfId="210" applyNumberFormat="1" applyFont="1" applyFill="1" applyProtection="1">
      <protection locked="0"/>
    </xf>
    <xf numFmtId="173" fontId="59" fillId="0" borderId="0" xfId="210" applyNumberFormat="1" applyFont="1" applyProtection="1">
      <protection locked="0"/>
    </xf>
    <xf numFmtId="169" fontId="59" fillId="0" borderId="0" xfId="210" applyNumberFormat="1" applyFont="1"/>
    <xf numFmtId="0" fontId="59" fillId="0" borderId="0" xfId="210" applyNumberFormat="1" applyFont="1" applyAlignment="1">
      <alignment horizontal="right"/>
    </xf>
    <xf numFmtId="0" fontId="88" fillId="0" borderId="0" xfId="210" applyNumberFormat="1" applyFont="1" applyAlignment="1"/>
    <xf numFmtId="3" fontId="66" fillId="0" borderId="0" xfId="210" applyNumberFormat="1" applyFont="1" applyAlignment="1">
      <alignment horizontal="center"/>
    </xf>
    <xf numFmtId="0" fontId="66" fillId="0" borderId="0" xfId="210" applyNumberFormat="1" applyFont="1" applyAlignment="1" applyProtection="1">
      <alignment horizontal="center"/>
      <protection locked="0"/>
    </xf>
    <xf numFmtId="174" fontId="66" fillId="0" borderId="0" xfId="210" applyFont="1" applyAlignment="1">
      <alignment horizontal="center"/>
    </xf>
    <xf numFmtId="3" fontId="66" fillId="0" borderId="0" xfId="210" applyNumberFormat="1" applyFont="1" applyAlignment="1"/>
    <xf numFmtId="0" fontId="66" fillId="0" borderId="0" xfId="210" applyNumberFormat="1" applyFont="1" applyAlignment="1"/>
    <xf numFmtId="175" fontId="59" fillId="0" borderId="8" xfId="59" applyNumberFormat="1" applyFont="1" applyBorder="1" applyAlignment="1"/>
    <xf numFmtId="43" fontId="59" fillId="0" borderId="0" xfId="59" applyFont="1" applyAlignment="1">
      <alignment horizontal="center"/>
    </xf>
    <xf numFmtId="164" fontId="59" fillId="0" borderId="0" xfId="210" applyNumberFormat="1" applyFont="1" applyAlignment="1">
      <alignment horizontal="center"/>
    </xf>
    <xf numFmtId="175" fontId="59" fillId="14" borderId="0" xfId="59" applyNumberFormat="1" applyFont="1" applyFill="1" applyBorder="1" applyAlignment="1"/>
    <xf numFmtId="184" fontId="59" fillId="0" borderId="0" xfId="59" applyNumberFormat="1" applyFont="1" applyAlignment="1"/>
    <xf numFmtId="3" fontId="59" fillId="0" borderId="0" xfId="206" applyNumberFormat="1" applyFont="1" applyBorder="1" applyAlignment="1"/>
    <xf numFmtId="3" fontId="59" fillId="0" borderId="0" xfId="206" applyNumberFormat="1" applyFont="1" applyFill="1" applyBorder="1" applyAlignment="1"/>
    <xf numFmtId="0" fontId="59" fillId="0" borderId="0" xfId="206" applyFont="1" applyFill="1" applyBorder="1" applyAlignment="1"/>
    <xf numFmtId="3" fontId="59" fillId="0" borderId="0" xfId="206" applyNumberFormat="1" applyFont="1" applyFill="1" applyAlignment="1"/>
    <xf numFmtId="184" fontId="59" fillId="0" borderId="0" xfId="59" applyNumberFormat="1" applyFont="1" applyBorder="1" applyAlignment="1"/>
    <xf numFmtId="3" fontId="59" fillId="0" borderId="0" xfId="210" quotePrefix="1" applyNumberFormat="1" applyFont="1" applyAlignment="1">
      <alignment horizontal="left"/>
    </xf>
    <xf numFmtId="175" fontId="59" fillId="0" borderId="0" xfId="59" applyNumberFormat="1" applyFont="1" applyFill="1" applyAlignment="1"/>
    <xf numFmtId="3" fontId="59" fillId="0" borderId="0" xfId="188" applyNumberFormat="1" applyFont="1" applyFill="1" applyAlignment="1"/>
    <xf numFmtId="0" fontId="59" fillId="0" borderId="0" xfId="188" applyNumberFormat="1" applyFont="1"/>
    <xf numFmtId="175" fontId="59" fillId="0" borderId="18" xfId="59" applyNumberFormat="1" applyFont="1" applyBorder="1" applyAlignment="1"/>
    <xf numFmtId="164" fontId="59" fillId="0" borderId="0" xfId="188" applyNumberFormat="1" applyFont="1" applyAlignment="1">
      <alignment horizontal="center"/>
    </xf>
    <xf numFmtId="3" fontId="59" fillId="0" borderId="0" xfId="188" applyNumberFormat="1" applyFont="1" applyBorder="1" applyAlignment="1"/>
    <xf numFmtId="3" fontId="59" fillId="0" borderId="0" xfId="210" applyNumberFormat="1" applyFont="1" applyAlignment="1">
      <alignment horizontal="right"/>
    </xf>
    <xf numFmtId="0" fontId="59" fillId="0" borderId="0" xfId="206" applyNumberFormat="1" applyFont="1" applyFill="1" applyAlignment="1"/>
    <xf numFmtId="172" fontId="59" fillId="0" borderId="0" xfId="210" applyNumberFormat="1" applyFont="1" applyFill="1" applyAlignment="1">
      <alignment horizontal="left"/>
    </xf>
    <xf numFmtId="183" fontId="59" fillId="0" borderId="0" xfId="59" applyNumberFormat="1" applyFont="1" applyAlignment="1"/>
    <xf numFmtId="183" fontId="59" fillId="0" borderId="0" xfId="59" applyNumberFormat="1" applyFont="1" applyFill="1" applyAlignment="1"/>
    <xf numFmtId="183" fontId="59" fillId="0" borderId="0" xfId="59" applyNumberFormat="1" applyFont="1" applyFill="1" applyBorder="1" applyAlignment="1"/>
    <xf numFmtId="175" fontId="59" fillId="0" borderId="8" xfId="59" applyNumberFormat="1" applyFont="1" applyFill="1" applyBorder="1" applyAlignment="1"/>
    <xf numFmtId="0" fontId="59" fillId="0" borderId="0" xfId="210" applyNumberFormat="1" applyFont="1" applyAlignment="1">
      <alignment wrapText="1"/>
    </xf>
    <xf numFmtId="0" fontId="59" fillId="0" borderId="0" xfId="210" quotePrefix="1" applyNumberFormat="1" applyFont="1" applyAlignment="1">
      <alignment horizontal="left"/>
    </xf>
    <xf numFmtId="175" fontId="59" fillId="0" borderId="0" xfId="59" applyNumberFormat="1" applyFont="1" applyFill="1" applyAlignment="1">
      <alignment horizontal="right"/>
    </xf>
    <xf numFmtId="167" fontId="59" fillId="0" borderId="0" xfId="210" applyNumberFormat="1" applyFont="1" applyAlignment="1"/>
    <xf numFmtId="166" fontId="59" fillId="0" borderId="0" xfId="188" applyNumberFormat="1" applyFont="1" applyAlignment="1">
      <alignment horizontal="center"/>
    </xf>
    <xf numFmtId="164" fontId="59" fillId="0" borderId="0" xfId="210" applyNumberFormat="1" applyFont="1" applyAlignment="1" applyProtection="1">
      <alignment horizontal="left"/>
      <protection locked="0"/>
    </xf>
    <xf numFmtId="175" fontId="59" fillId="0" borderId="14" xfId="59" applyNumberFormat="1" applyFont="1" applyBorder="1" applyAlignment="1"/>
    <xf numFmtId="174" fontId="59" fillId="0" borderId="0" xfId="210" applyFont="1" applyAlignment="1">
      <alignment horizontal="right"/>
    </xf>
    <xf numFmtId="0" fontId="89" fillId="0" borderId="0" xfId="210" applyNumberFormat="1" applyFont="1" applyAlignment="1" applyProtection="1">
      <alignment horizontal="center"/>
      <protection locked="0"/>
    </xf>
    <xf numFmtId="0" fontId="59" fillId="0" borderId="8" xfId="210" applyNumberFormat="1" applyFont="1" applyFill="1" applyBorder="1" applyProtection="1">
      <protection locked="0"/>
    </xf>
    <xf numFmtId="0" fontId="59" fillId="0" borderId="8" xfId="210" applyNumberFormat="1" applyFont="1" applyFill="1" applyBorder="1"/>
    <xf numFmtId="3" fontId="59" fillId="0" borderId="0" xfId="210" applyNumberFormat="1" applyFont="1" applyFill="1" applyAlignment="1">
      <alignment horizontal="center"/>
    </xf>
    <xf numFmtId="49" fontId="59" fillId="0" borderId="0" xfId="210" applyNumberFormat="1" applyFont="1" applyFill="1"/>
    <xf numFmtId="49" fontId="59" fillId="0" borderId="0" xfId="210" applyNumberFormat="1" applyFont="1" applyFill="1" applyAlignment="1"/>
    <xf numFmtId="49" fontId="59" fillId="0" borderId="0" xfId="210" applyNumberFormat="1" applyFont="1" applyFill="1" applyAlignment="1">
      <alignment horizontal="center"/>
    </xf>
    <xf numFmtId="183" fontId="59" fillId="0" borderId="0" xfId="59" applyNumberFormat="1" applyFont="1" applyFill="1" applyAlignment="1">
      <alignment horizontal="right"/>
    </xf>
    <xf numFmtId="3" fontId="59" fillId="0" borderId="8" xfId="210" applyNumberFormat="1" applyFont="1" applyBorder="1" applyAlignment="1"/>
    <xf numFmtId="4" fontId="59" fillId="0" borderId="0" xfId="210" applyNumberFormat="1" applyFont="1" applyAlignment="1"/>
    <xf numFmtId="3" fontId="59" fillId="0" borderId="0" xfId="188" applyNumberFormat="1" applyFont="1" applyBorder="1" applyAlignment="1">
      <alignment horizontal="center"/>
    </xf>
    <xf numFmtId="0" fontId="59" fillId="0" borderId="8" xfId="188" applyNumberFormat="1" applyFont="1" applyBorder="1" applyAlignment="1">
      <alignment horizontal="center"/>
    </xf>
    <xf numFmtId="0" fontId="59" fillId="0" borderId="0" xfId="188" applyNumberFormat="1" applyFont="1" applyAlignment="1">
      <alignment horizontal="center"/>
    </xf>
    <xf numFmtId="3" fontId="59" fillId="0" borderId="0" xfId="210" quotePrefix="1" applyNumberFormat="1" applyFont="1" applyAlignment="1"/>
    <xf numFmtId="175" fontId="59" fillId="0" borderId="0" xfId="59" applyNumberFormat="1" applyFont="1" applyFill="1" applyAlignment="1">
      <alignment horizontal="center"/>
    </xf>
    <xf numFmtId="168" fontId="59" fillId="0" borderId="0" xfId="210" applyNumberFormat="1" applyFont="1" applyProtection="1">
      <protection locked="0"/>
    </xf>
    <xf numFmtId="1" fontId="59" fillId="0" borderId="0" xfId="210" applyNumberFormat="1" applyFont="1" applyFill="1" applyProtection="1"/>
    <xf numFmtId="1" fontId="59" fillId="0" borderId="0" xfId="210" applyNumberFormat="1" applyFont="1" applyFill="1" applyAlignment="1" applyProtection="1"/>
    <xf numFmtId="0" fontId="59" fillId="0" borderId="0" xfId="210" applyNumberFormat="1" applyFont="1" applyAlignment="1" applyProtection="1">
      <alignment horizontal="left"/>
      <protection locked="0"/>
    </xf>
    <xf numFmtId="3" fontId="59" fillId="0" borderId="0" xfId="210" applyNumberFormat="1" applyFont="1" applyFill="1" applyAlignment="1" applyProtection="1"/>
    <xf numFmtId="174" fontId="59" fillId="0" borderId="0" xfId="210" applyNumberFormat="1" applyFont="1" applyAlignment="1" applyProtection="1">
      <protection locked="0"/>
    </xf>
    <xf numFmtId="170" fontId="59" fillId="0" borderId="0" xfId="210" applyNumberFormat="1" applyFont="1" applyFill="1" applyBorder="1" applyAlignment="1" applyProtection="1"/>
    <xf numFmtId="170" fontId="59" fillId="0" borderId="0" xfId="210" applyNumberFormat="1" applyFont="1" applyAlignment="1" applyProtection="1">
      <alignment horizontal="right"/>
      <protection locked="0"/>
    </xf>
    <xf numFmtId="170" fontId="59" fillId="0" borderId="0" xfId="210" applyNumberFormat="1" applyFont="1" applyProtection="1">
      <protection locked="0"/>
    </xf>
    <xf numFmtId="3" fontId="59" fillId="0" borderId="0" xfId="210" applyNumberFormat="1" applyFont="1" applyAlignment="1">
      <alignment vertical="top" wrapText="1"/>
    </xf>
    <xf numFmtId="0" fontId="59" fillId="0" borderId="0" xfId="210" applyNumberFormat="1" applyFont="1" applyAlignment="1" applyProtection="1">
      <alignment vertical="top" wrapText="1"/>
      <protection locked="0"/>
    </xf>
    <xf numFmtId="174" fontId="88" fillId="0" borderId="15" xfId="201" applyFont="1" applyFill="1" applyBorder="1" applyAlignment="1"/>
    <xf numFmtId="177" fontId="66" fillId="0" borderId="0" xfId="201" quotePrefix="1" applyNumberFormat="1" applyFont="1" applyFill="1" applyBorder="1" applyAlignment="1">
      <alignment horizontal="center"/>
    </xf>
    <xf numFmtId="174" fontId="59" fillId="0" borderId="0" xfId="210" applyFont="1" applyAlignment="1">
      <alignment horizontal="center"/>
    </xf>
    <xf numFmtId="174" fontId="59" fillId="0" borderId="0" xfId="201" applyFont="1" applyFill="1" applyBorder="1" applyAlignment="1">
      <alignment horizontal="left"/>
    </xf>
    <xf numFmtId="0" fontId="59" fillId="0" borderId="0" xfId="210" applyNumberFormat="1" applyFont="1" applyFill="1" applyAlignment="1">
      <alignment horizontal="center"/>
    </xf>
    <xf numFmtId="10" fontId="59" fillId="0" borderId="0" xfId="265" applyNumberFormat="1" applyFont="1" applyAlignment="1"/>
    <xf numFmtId="0" fontId="59" fillId="0" borderId="0" xfId="187" applyFont="1" applyFill="1" applyBorder="1" applyAlignment="1">
      <alignment horizontal="center"/>
    </xf>
    <xf numFmtId="174" fontId="59" fillId="0" borderId="0" xfId="0" applyFont="1" applyFill="1" applyAlignment="1"/>
    <xf numFmtId="174" fontId="59" fillId="0" borderId="0" xfId="0" applyFont="1" applyAlignment="1">
      <alignment horizontal="center"/>
    </xf>
    <xf numFmtId="174" fontId="59" fillId="0" borderId="0" xfId="0" applyFont="1" applyAlignment="1">
      <alignment horizontal="right"/>
    </xf>
    <xf numFmtId="0" fontId="59" fillId="0" borderId="0" xfId="0" applyNumberFormat="1" applyFont="1" applyAlignment="1">
      <alignment horizontal="center"/>
    </xf>
    <xf numFmtId="0" fontId="59" fillId="0" borderId="0" xfId="0" applyNumberFormat="1" applyFont="1" applyAlignment="1">
      <alignment horizontal="center" wrapText="1"/>
    </xf>
    <xf numFmtId="0" fontId="88" fillId="0" borderId="0" xfId="0" applyNumberFormat="1" applyFont="1" applyAlignment="1">
      <alignment horizontal="center"/>
    </xf>
    <xf numFmtId="174" fontId="88" fillId="0" borderId="0" xfId="0" applyFont="1" applyAlignment="1">
      <alignment horizontal="center"/>
    </xf>
    <xf numFmtId="44" fontId="88" fillId="0" borderId="0" xfId="0" applyNumberFormat="1" applyFont="1" applyBorder="1" applyAlignment="1"/>
    <xf numFmtId="0" fontId="59" fillId="0" borderId="22" xfId="201" applyNumberFormat="1" applyFont="1" applyFill="1" applyBorder="1"/>
    <xf numFmtId="0" fontId="59" fillId="0" borderId="7" xfId="201" applyNumberFormat="1" applyFont="1" applyFill="1" applyBorder="1" applyAlignment="1">
      <alignment horizontal="center" wrapText="1"/>
    </xf>
    <xf numFmtId="174" fontId="49" fillId="0" borderId="0" xfId="0" applyFont="1" applyAlignment="1"/>
    <xf numFmtId="43" fontId="49" fillId="0" borderId="0" xfId="59" applyFont="1" applyAlignment="1"/>
    <xf numFmtId="175" fontId="49" fillId="0" borderId="0" xfId="59" applyNumberFormat="1" applyFont="1" applyAlignment="1" applyProtection="1">
      <alignment horizontal="center"/>
      <protection locked="0"/>
    </xf>
    <xf numFmtId="0" fontId="49" fillId="0" borderId="0" xfId="210" applyNumberFormat="1" applyFont="1" applyAlignment="1" applyProtection="1">
      <protection locked="0"/>
    </xf>
    <xf numFmtId="3" fontId="49" fillId="0" borderId="0" xfId="210" applyNumberFormat="1" applyFont="1" applyAlignment="1"/>
    <xf numFmtId="3" fontId="49" fillId="0" borderId="8" xfId="210" applyNumberFormat="1" applyFont="1" applyBorder="1" applyAlignment="1">
      <alignment horizontal="center"/>
    </xf>
    <xf numFmtId="170" fontId="49" fillId="0" borderId="0" xfId="0" applyNumberFormat="1" applyFont="1" applyAlignment="1"/>
    <xf numFmtId="0" fontId="49" fillId="0" borderId="0" xfId="210" applyNumberFormat="1" applyFont="1" applyAlignment="1"/>
    <xf numFmtId="3" fontId="49" fillId="0" borderId="0" xfId="210" applyNumberFormat="1" applyFont="1" applyAlignment="1">
      <alignment horizontal="center"/>
    </xf>
    <xf numFmtId="0" fontId="49" fillId="0" borderId="8" xfId="210" applyNumberFormat="1" applyFont="1" applyBorder="1" applyAlignment="1" applyProtection="1">
      <alignment horizontal="center"/>
      <protection locked="0"/>
    </xf>
    <xf numFmtId="174" fontId="49" fillId="0" borderId="0" xfId="210" applyFont="1" applyFill="1" applyAlignment="1"/>
    <xf numFmtId="174" fontId="49" fillId="0" borderId="0" xfId="210" applyFont="1" applyAlignment="1"/>
    <xf numFmtId="43" fontId="49" fillId="0" borderId="0" xfId="59" applyFont="1" applyFill="1" applyAlignment="1">
      <alignment horizontal="center"/>
    </xf>
    <xf numFmtId="3" fontId="49" fillId="0" borderId="0" xfId="210" applyNumberFormat="1" applyFont="1" applyFill="1" applyAlignment="1"/>
    <xf numFmtId="166" fontId="49" fillId="0" borderId="0" xfId="210" applyNumberFormat="1" applyFont="1" applyAlignment="1">
      <alignment horizontal="center"/>
    </xf>
    <xf numFmtId="164" fontId="49" fillId="0" borderId="0" xfId="210" applyNumberFormat="1" applyFont="1" applyAlignment="1">
      <alignment horizontal="left"/>
    </xf>
    <xf numFmtId="0" fontId="49" fillId="0" borderId="0" xfId="210" applyNumberFormat="1" applyFont="1" applyFill="1" applyAlignment="1"/>
    <xf numFmtId="164" fontId="49" fillId="0" borderId="0" xfId="210" applyNumberFormat="1" applyFont="1" applyFill="1" applyAlignment="1">
      <alignment horizontal="left"/>
    </xf>
    <xf numFmtId="43" fontId="49" fillId="0" borderId="0" xfId="59" applyFont="1" applyFill="1" applyAlignment="1">
      <alignment horizontal="right"/>
    </xf>
    <xf numFmtId="175" fontId="49" fillId="0" borderId="0" xfId="59" applyNumberFormat="1" applyFont="1" applyBorder="1" applyAlignment="1"/>
    <xf numFmtId="10" fontId="49" fillId="0" borderId="0" xfId="210" applyNumberFormat="1" applyFont="1" applyFill="1" applyAlignment="1">
      <alignment horizontal="left"/>
    </xf>
    <xf numFmtId="3" fontId="49" fillId="0" borderId="0" xfId="188" applyNumberFormat="1" applyFont="1" applyAlignment="1"/>
    <xf numFmtId="166" fontId="49" fillId="0" borderId="0" xfId="188" applyNumberFormat="1" applyFont="1" applyAlignment="1"/>
    <xf numFmtId="0" fontId="49" fillId="0" borderId="0" xfId="188" applyFont="1" applyAlignment="1"/>
    <xf numFmtId="164" fontId="49" fillId="0" borderId="0" xfId="210" applyNumberFormat="1" applyFont="1" applyFill="1" applyAlignment="1" applyProtection="1">
      <alignment horizontal="left"/>
      <protection locked="0"/>
    </xf>
    <xf numFmtId="0" fontId="59" fillId="0" borderId="0" xfId="211" applyFont="1" applyAlignment="1">
      <alignment horizontal="center"/>
    </xf>
    <xf numFmtId="49" fontId="59" fillId="0" borderId="0" xfId="0" applyNumberFormat="1" applyFont="1" applyAlignment="1">
      <alignment horizontal="center"/>
    </xf>
    <xf numFmtId="0" fontId="59" fillId="0" borderId="0" xfId="210" applyNumberFormat="1" applyFont="1" applyFill="1" applyAlignment="1" applyProtection="1">
      <alignment vertical="top"/>
      <protection locked="0"/>
    </xf>
    <xf numFmtId="0" fontId="59" fillId="0" borderId="0" xfId="188" applyNumberFormat="1" applyFont="1" applyAlignment="1">
      <alignment vertical="top"/>
    </xf>
    <xf numFmtId="0" fontId="59" fillId="0" borderId="0" xfId="210" applyNumberFormat="1" applyFont="1" applyAlignment="1" applyProtection="1">
      <alignment vertical="top"/>
      <protection locked="0"/>
    </xf>
    <xf numFmtId="170" fontId="59" fillId="0" borderId="0" xfId="210" applyNumberFormat="1" applyFont="1" applyFill="1" applyBorder="1" applyAlignment="1" applyProtection="1">
      <alignment vertical="top"/>
    </xf>
    <xf numFmtId="3" fontId="59" fillId="0" borderId="0" xfId="210" applyNumberFormat="1" applyFont="1" applyFill="1" applyAlignment="1" applyProtection="1">
      <alignment vertical="top"/>
    </xf>
    <xf numFmtId="174" fontId="59" fillId="0" borderId="0" xfId="0" applyFont="1" applyAlignment="1">
      <alignment vertical="top"/>
    </xf>
    <xf numFmtId="1" fontId="59" fillId="0" borderId="0" xfId="0" applyNumberFormat="1" applyFont="1" applyFill="1" applyAlignment="1">
      <alignment horizontal="center"/>
    </xf>
    <xf numFmtId="49" fontId="59" fillId="0" borderId="0" xfId="0" applyNumberFormat="1" applyFont="1" applyFill="1" applyAlignment="1">
      <alignment horizontal="center"/>
    </xf>
    <xf numFmtId="175" fontId="49" fillId="0" borderId="0" xfId="59" applyNumberFormat="1" applyFont="1" applyAlignment="1"/>
    <xf numFmtId="175" fontId="59" fillId="0" borderId="0" xfId="59" applyNumberFormat="1" applyFont="1" applyAlignment="1">
      <alignment horizontal="right"/>
    </xf>
    <xf numFmtId="174" fontId="59" fillId="0" borderId="0" xfId="0" applyFont="1" applyFill="1" applyAlignment="1">
      <alignment horizontal="center"/>
    </xf>
    <xf numFmtId="175" fontId="59" fillId="0" borderId="11" xfId="59" applyNumberFormat="1" applyFont="1" applyFill="1" applyBorder="1" applyAlignment="1"/>
    <xf numFmtId="0" fontId="59" fillId="0" borderId="0" xfId="188" applyNumberFormat="1" applyFont="1" applyFill="1" applyAlignment="1">
      <alignment vertical="top"/>
    </xf>
    <xf numFmtId="0" fontId="59" fillId="0" borderId="0" xfId="0" applyNumberFormat="1" applyFont="1" applyFill="1" applyBorder="1" applyAlignment="1">
      <alignment vertical="top"/>
    </xf>
    <xf numFmtId="3" fontId="59" fillId="0" borderId="0" xfId="210" applyNumberFormat="1" applyFont="1" applyBorder="1" applyAlignment="1">
      <alignment horizontal="center"/>
    </xf>
    <xf numFmtId="3" fontId="49" fillId="0" borderId="0" xfId="0" applyNumberFormat="1" applyFont="1" applyAlignment="1"/>
    <xf numFmtId="3" fontId="49" fillId="0" borderId="0" xfId="0" applyNumberFormat="1" applyFont="1" applyFill="1" applyAlignment="1"/>
    <xf numFmtId="0" fontId="49" fillId="0" borderId="0" xfId="0" applyNumberFormat="1" applyFont="1" applyProtection="1">
      <protection locked="0"/>
    </xf>
    <xf numFmtId="3" fontId="49" fillId="0" borderId="0" xfId="0" applyNumberFormat="1" applyFont="1" applyAlignment="1">
      <alignment horizontal="center"/>
    </xf>
    <xf numFmtId="3" fontId="59" fillId="0" borderId="0" xfId="188" applyNumberFormat="1" applyFont="1" applyAlignment="1">
      <alignment wrapText="1"/>
    </xf>
    <xf numFmtId="174" fontId="49" fillId="0" borderId="0" xfId="210" applyFont="1" applyFill="1" applyAlignment="1">
      <alignment wrapText="1"/>
    </xf>
    <xf numFmtId="175" fontId="49" fillId="0" borderId="0" xfId="59" applyNumberFormat="1" applyFont="1" applyAlignment="1">
      <alignment horizontal="left" indent="2"/>
    </xf>
    <xf numFmtId="183" fontId="49" fillId="0" borderId="0" xfId="59" applyNumberFormat="1" applyFont="1" applyAlignment="1"/>
    <xf numFmtId="174" fontId="59" fillId="0" borderId="0" xfId="0" applyFont="1" applyFill="1" applyBorder="1" applyAlignment="1"/>
    <xf numFmtId="175" fontId="59" fillId="0" borderId="8" xfId="59" applyNumberFormat="1" applyFont="1" applyFill="1" applyBorder="1" applyAlignment="1">
      <alignment horizontal="center"/>
    </xf>
    <xf numFmtId="0" fontId="59" fillId="0" borderId="19" xfId="201" applyNumberFormat="1" applyFont="1" applyFill="1" applyBorder="1"/>
    <xf numFmtId="174" fontId="88" fillId="0" borderId="17" xfId="201" applyFont="1" applyFill="1" applyBorder="1" applyAlignment="1"/>
    <xf numFmtId="0" fontId="59" fillId="0" borderId="9" xfId="201" applyNumberFormat="1" applyFont="1" applyFill="1" applyBorder="1" applyAlignment="1">
      <alignment horizontal="center" wrapText="1"/>
    </xf>
    <xf numFmtId="10" fontId="59" fillId="15" borderId="0" xfId="59" applyNumberFormat="1" applyFont="1" applyFill="1" applyAlignment="1"/>
    <xf numFmtId="0" fontId="59" fillId="0" borderId="0" xfId="0" applyNumberFormat="1" applyFont="1" applyAlignment="1">
      <alignment horizontal="center"/>
    </xf>
    <xf numFmtId="44" fontId="59" fillId="0" borderId="0" xfId="0" applyNumberFormat="1" applyFont="1" applyBorder="1" applyAlignment="1"/>
    <xf numFmtId="44" fontId="59" fillId="0" borderId="0" xfId="0" applyNumberFormat="1" applyFont="1" applyFill="1" applyBorder="1" applyAlignment="1"/>
    <xf numFmtId="0" fontId="59" fillId="0" borderId="0" xfId="187" applyFont="1" applyFill="1" applyBorder="1" applyAlignment="1"/>
    <xf numFmtId="174" fontId="89" fillId="0" borderId="0" xfId="0" applyFont="1" applyBorder="1" applyAlignment="1"/>
    <xf numFmtId="0" fontId="59" fillId="15" borderId="0" xfId="187" applyFont="1" applyFill="1" applyBorder="1" applyAlignment="1"/>
    <xf numFmtId="175" fontId="59" fillId="0" borderId="1" xfId="59" applyNumberFormat="1" applyFont="1" applyFill="1" applyBorder="1" applyAlignment="1">
      <alignment horizontal="center" wrapText="1"/>
    </xf>
    <xf numFmtId="175" fontId="59" fillId="0" borderId="0" xfId="59" applyNumberFormat="1" applyFont="1" applyFill="1" applyBorder="1"/>
    <xf numFmtId="174" fontId="59" fillId="0" borderId="0" xfId="0" applyFont="1" applyBorder="1" applyAlignment="1"/>
    <xf numFmtId="3" fontId="59" fillId="0" borderId="0" xfId="188" applyNumberFormat="1" applyFont="1" applyFill="1" applyAlignment="1">
      <alignment wrapText="1"/>
    </xf>
    <xf numFmtId="0" fontId="66" fillId="0" borderId="0" xfId="211" applyFont="1" applyFill="1" applyAlignment="1">
      <alignment horizontal="center" wrapText="1"/>
    </xf>
    <xf numFmtId="0" fontId="59" fillId="0" borderId="0" xfId="210" applyNumberFormat="1" applyFont="1" applyFill="1" applyAlignment="1" applyProtection="1">
      <alignment horizontal="center"/>
      <protection locked="0"/>
    </xf>
    <xf numFmtId="164" fontId="59" fillId="0" borderId="0" xfId="210" applyNumberFormat="1" applyFont="1" applyFill="1" applyAlignment="1">
      <alignment horizontal="center"/>
    </xf>
    <xf numFmtId="0" fontId="59" fillId="0" borderId="0" xfId="206" applyNumberFormat="1" applyFont="1" applyFill="1" applyAlignment="1">
      <alignment horizontal="left"/>
    </xf>
    <xf numFmtId="0" fontId="59" fillId="0" borderId="0" xfId="187" applyFont="1" applyBorder="1" applyAlignment="1">
      <alignment horizontal="center"/>
    </xf>
    <xf numFmtId="3" fontId="59" fillId="0" borderId="0" xfId="187" applyNumberFormat="1" applyFont="1" applyFill="1" applyBorder="1" applyAlignment="1"/>
    <xf numFmtId="174" fontId="66" fillId="0" borderId="1" xfId="201" applyFont="1" applyBorder="1" applyAlignment="1">
      <alignment horizontal="center" wrapText="1"/>
    </xf>
    <xf numFmtId="0" fontId="59" fillId="0" borderId="0" xfId="204" applyFont="1" applyBorder="1" applyAlignment="1"/>
    <xf numFmtId="180" fontId="59" fillId="0" borderId="0" xfId="205" applyNumberFormat="1" applyFont="1" applyFill="1" applyBorder="1" applyAlignment="1"/>
    <xf numFmtId="174" fontId="59" fillId="0" borderId="0" xfId="201" applyFont="1" applyFill="1" applyBorder="1" applyAlignment="1">
      <alignment vertical="top" wrapText="1"/>
    </xf>
    <xf numFmtId="0" fontId="92" fillId="0" borderId="0" xfId="187" applyFont="1" applyBorder="1" applyAlignment="1">
      <alignment horizontal="left"/>
    </xf>
    <xf numFmtId="0" fontId="59" fillId="0" borderId="0" xfId="187" applyFont="1" applyBorder="1" applyAlignment="1"/>
    <xf numFmtId="174" fontId="66" fillId="0" borderId="0" xfId="201" applyFont="1" applyAlignment="1">
      <alignment horizontal="center"/>
    </xf>
    <xf numFmtId="174" fontId="66" fillId="0" borderId="0" xfId="201" applyFont="1" applyAlignment="1">
      <alignment horizontal="center" wrapText="1"/>
    </xf>
    <xf numFmtId="0" fontId="66" fillId="0" borderId="0" xfId="185" applyFont="1" applyAlignment="1">
      <alignment horizontal="center"/>
    </xf>
    <xf numFmtId="0" fontId="59" fillId="0" borderId="0" xfId="187" applyFont="1" applyBorder="1"/>
    <xf numFmtId="170" fontId="59" fillId="0" borderId="0" xfId="204" applyNumberFormat="1" applyFont="1" applyFill="1" applyBorder="1" applyAlignment="1">
      <alignment horizontal="right"/>
    </xf>
    <xf numFmtId="173" fontId="59" fillId="0" borderId="0" xfId="204" applyNumberFormat="1" applyFont="1" applyFill="1" applyBorder="1" applyAlignment="1"/>
    <xf numFmtId="173" fontId="59" fillId="0" borderId="0" xfId="205" applyNumberFormat="1" applyFont="1" applyFill="1" applyBorder="1" applyAlignment="1"/>
    <xf numFmtId="0" fontId="59" fillId="0" borderId="0" xfId="204" applyFont="1" applyFill="1" applyBorder="1" applyAlignment="1"/>
    <xf numFmtId="175" fontId="59" fillId="0" borderId="0" xfId="364" applyNumberFormat="1" applyFont="1" applyFill="1" applyBorder="1" applyAlignment="1">
      <alignment horizontal="right"/>
    </xf>
    <xf numFmtId="174" fontId="66" fillId="0" borderId="0" xfId="201" applyFont="1" applyFill="1" applyBorder="1" applyAlignment="1">
      <alignment horizontal="center" wrapText="1"/>
    </xf>
    <xf numFmtId="174" fontId="59" fillId="0" borderId="0" xfId="201" applyFont="1" applyFill="1" applyBorder="1" applyAlignment="1">
      <alignment wrapText="1"/>
    </xf>
    <xf numFmtId="174" fontId="59" fillId="0" borderId="0" xfId="0" applyFont="1" applyAlignment="1"/>
    <xf numFmtId="0" fontId="59" fillId="0" borderId="0" xfId="0" applyNumberFormat="1" applyFont="1" applyFill="1" applyAlignment="1">
      <alignment horizontal="center" vertical="top"/>
    </xf>
    <xf numFmtId="3" fontId="59" fillId="0" borderId="0" xfId="188" applyNumberFormat="1" applyFont="1" applyAlignment="1">
      <alignment horizontal="center" wrapText="1"/>
    </xf>
    <xf numFmtId="1" fontId="59" fillId="0" borderId="0" xfId="0" applyNumberFormat="1" applyFont="1" applyFill="1" applyAlignment="1">
      <alignment horizontal="center" vertical="top"/>
    </xf>
    <xf numFmtId="175" fontId="59" fillId="15" borderId="0" xfId="59" applyNumberFormat="1" applyFont="1" applyFill="1" applyAlignment="1"/>
    <xf numFmtId="0" fontId="59" fillId="0" borderId="0" xfId="206" applyNumberFormat="1" applyFont="1" applyFill="1" applyAlignment="1" applyProtection="1">
      <alignment horizontal="center"/>
      <protection locked="0"/>
    </xf>
    <xf numFmtId="0" fontId="59" fillId="0" borderId="8" xfId="210" applyNumberFormat="1" applyFont="1" applyFill="1" applyBorder="1" applyAlignment="1" applyProtection="1">
      <alignment horizontal="center"/>
      <protection locked="0"/>
    </xf>
    <xf numFmtId="3" fontId="59" fillId="0" borderId="0" xfId="210" applyNumberFormat="1" applyFont="1" applyFill="1" applyAlignment="1">
      <alignment horizontal="left"/>
    </xf>
    <xf numFmtId="183" fontId="59" fillId="0" borderId="0" xfId="59" applyNumberFormat="1" applyFont="1" applyBorder="1" applyAlignment="1"/>
    <xf numFmtId="183" fontId="59" fillId="0" borderId="0" xfId="59" applyNumberFormat="1" applyFont="1" applyAlignment="1">
      <alignment horizontal="center"/>
    </xf>
    <xf numFmtId="183" fontId="59" fillId="0" borderId="0" xfId="210" applyNumberFormat="1" applyFont="1" applyAlignment="1">
      <alignment horizontal="center"/>
    </xf>
    <xf numFmtId="10" fontId="59" fillId="0" borderId="8" xfId="265" applyNumberFormat="1" applyFont="1" applyBorder="1" applyAlignment="1"/>
    <xf numFmtId="0" fontId="59" fillId="0" borderId="0" xfId="187" applyFont="1" applyFill="1"/>
    <xf numFmtId="0" fontId="59" fillId="0" borderId="0" xfId="187" applyFont="1" applyFill="1" applyBorder="1"/>
    <xf numFmtId="0" fontId="66" fillId="0" borderId="0" xfId="187" applyFont="1" applyFill="1" applyBorder="1" applyAlignment="1">
      <alignment horizontal="center"/>
    </xf>
    <xf numFmtId="43" fontId="59" fillId="0" borderId="0" xfId="187" applyNumberFormat="1" applyFont="1" applyFill="1" applyBorder="1"/>
    <xf numFmtId="0" fontId="66" fillId="0" borderId="0" xfId="187" applyFont="1" applyFill="1" applyBorder="1"/>
    <xf numFmtId="0" fontId="66" fillId="0" borderId="0" xfId="187" quotePrefix="1" applyFont="1" applyFill="1" applyBorder="1" applyAlignment="1">
      <alignment horizontal="center"/>
    </xf>
    <xf numFmtId="164" fontId="66" fillId="0" borderId="0" xfId="187" applyNumberFormat="1" applyFont="1" applyFill="1" applyBorder="1" applyAlignment="1">
      <alignment horizontal="center"/>
    </xf>
    <xf numFmtId="175" fontId="59" fillId="0" borderId="0" xfId="187" applyNumberFormat="1" applyFont="1" applyFill="1" applyBorder="1"/>
    <xf numFmtId="10" fontId="59" fillId="0" borderId="0" xfId="187" applyNumberFormat="1" applyFont="1" applyFill="1" applyBorder="1"/>
    <xf numFmtId="175" fontId="90" fillId="0" borderId="0" xfId="187" applyNumberFormat="1" applyFont="1" applyFill="1" applyBorder="1"/>
    <xf numFmtId="3" fontId="59" fillId="0" borderId="0" xfId="187" applyNumberFormat="1" applyFont="1" applyFill="1" applyBorder="1"/>
    <xf numFmtId="164" fontId="59" fillId="0" borderId="0" xfId="265" applyNumberFormat="1" applyFont="1" applyFill="1" applyBorder="1"/>
    <xf numFmtId="164" fontId="59" fillId="0" borderId="0" xfId="282" applyNumberFormat="1" applyFont="1" applyFill="1" applyBorder="1"/>
    <xf numFmtId="0" fontId="59" fillId="0" borderId="0" xfId="187" applyFont="1" applyAlignment="1">
      <alignment horizontal="center"/>
    </xf>
    <xf numFmtId="0" fontId="59" fillId="0" borderId="0" xfId="187" applyFont="1"/>
    <xf numFmtId="0" fontId="59" fillId="0" borderId="0" xfId="187" applyFont="1" applyFill="1" applyAlignment="1">
      <alignment wrapText="1"/>
    </xf>
    <xf numFmtId="0" fontId="59" fillId="0" borderId="0" xfId="187" applyFont="1" applyFill="1" applyBorder="1" applyAlignment="1">
      <alignment wrapText="1"/>
    </xf>
    <xf numFmtId="10" fontId="59" fillId="0" borderId="0" xfId="265" applyNumberFormat="1" applyFont="1" applyFill="1" applyBorder="1"/>
    <xf numFmtId="0" fontId="59" fillId="0" borderId="3" xfId="187" applyFont="1" applyFill="1" applyBorder="1"/>
    <xf numFmtId="176" fontId="59" fillId="0" borderId="0" xfId="102" applyNumberFormat="1" applyFont="1" applyFill="1" applyBorder="1" applyAlignment="1">
      <alignment horizontal="center"/>
    </xf>
    <xf numFmtId="174" fontId="59" fillId="0" borderId="0" xfId="0" applyFont="1" applyBorder="1" applyAlignment="1"/>
    <xf numFmtId="10" fontId="59" fillId="0" borderId="3" xfId="187" applyNumberFormat="1" applyFont="1" applyFill="1" applyBorder="1"/>
    <xf numFmtId="0" fontId="66" fillId="0" borderId="3" xfId="187" applyFont="1" applyFill="1" applyBorder="1"/>
    <xf numFmtId="10" fontId="66" fillId="0" borderId="3" xfId="187" applyNumberFormat="1" applyFont="1" applyFill="1" applyBorder="1"/>
    <xf numFmtId="0" fontId="59" fillId="0" borderId="1" xfId="187" applyFont="1" applyFill="1" applyBorder="1" applyAlignment="1">
      <alignment horizontal="center"/>
    </xf>
    <xf numFmtId="0" fontId="59" fillId="0" borderId="0" xfId="187" applyFont="1" applyFill="1" applyAlignment="1"/>
    <xf numFmtId="0" fontId="59" fillId="0" borderId="1" xfId="187" applyFont="1" applyFill="1" applyBorder="1" applyAlignment="1">
      <alignment horizontal="center" wrapText="1"/>
    </xf>
    <xf numFmtId="175" fontId="59" fillId="0" borderId="3" xfId="59" applyNumberFormat="1" applyFont="1" applyFill="1" applyBorder="1"/>
    <xf numFmtId="164" fontId="59" fillId="0" borderId="3" xfId="282" applyNumberFormat="1" applyFont="1" applyFill="1" applyBorder="1"/>
    <xf numFmtId="0" fontId="59" fillId="0" borderId="0" xfId="187" quotePrefix="1" applyFont="1" applyFill="1" applyBorder="1" applyAlignment="1">
      <alignment horizontal="center"/>
    </xf>
    <xf numFmtId="175" fontId="59" fillId="0" borderId="0" xfId="59" applyNumberFormat="1" applyFont="1" applyFill="1"/>
    <xf numFmtId="0" fontId="66" fillId="0" borderId="0" xfId="211" applyFont="1" applyBorder="1" applyAlignment="1">
      <alignment horizontal="center" wrapText="1"/>
    </xf>
    <xf numFmtId="0" fontId="66" fillId="0" borderId="0" xfId="211" applyFont="1" applyBorder="1" applyAlignment="1">
      <alignment horizontal="center"/>
    </xf>
    <xf numFmtId="10" fontId="66" fillId="0" borderId="0" xfId="187" applyNumberFormat="1" applyFont="1" applyFill="1" applyBorder="1"/>
    <xf numFmtId="10" fontId="59" fillId="0" borderId="0" xfId="265" applyNumberFormat="1" applyFont="1" applyFill="1" applyAlignment="1"/>
    <xf numFmtId="49" fontId="104" fillId="0" borderId="0" xfId="0" applyNumberFormat="1" applyFont="1" applyAlignment="1">
      <alignment horizontal="center"/>
    </xf>
    <xf numFmtId="1" fontId="62" fillId="0" borderId="0" xfId="0" applyNumberFormat="1" applyFont="1" applyFill="1" applyAlignment="1">
      <alignment horizontal="center"/>
    </xf>
    <xf numFmtId="0" fontId="62" fillId="0" borderId="1" xfId="187" applyFont="1" applyFill="1" applyBorder="1" applyAlignment="1">
      <alignment horizontal="right"/>
    </xf>
    <xf numFmtId="0" fontId="62" fillId="0" borderId="0" xfId="187" applyFont="1" applyFill="1" applyBorder="1"/>
    <xf numFmtId="0" fontId="62" fillId="0" borderId="0" xfId="187" applyFont="1" applyBorder="1" applyAlignment="1">
      <alignment horizontal="left"/>
    </xf>
    <xf numFmtId="0" fontId="62" fillId="0" borderId="0" xfId="187" applyNumberFormat="1" applyFont="1" applyFill="1" applyBorder="1" applyAlignment="1">
      <alignment horizontal="left"/>
    </xf>
    <xf numFmtId="0" fontId="62" fillId="0" borderId="0" xfId="187" applyFont="1" applyBorder="1"/>
    <xf numFmtId="0" fontId="59" fillId="0" borderId="1" xfId="187" applyFont="1" applyBorder="1" applyAlignment="1">
      <alignment horizontal="center" wrapText="1"/>
    </xf>
    <xf numFmtId="174" fontId="59" fillId="0" borderId="0" xfId="0" quotePrefix="1" applyFont="1" applyAlignment="1">
      <alignment horizontal="center"/>
    </xf>
    <xf numFmtId="174" fontId="0" fillId="0" borderId="0" xfId="0" applyAlignment="1"/>
    <xf numFmtId="0" fontId="66" fillId="0" borderId="0" xfId="211" applyFont="1" applyAlignment="1">
      <alignment horizontal="center"/>
    </xf>
    <xf numFmtId="0" fontId="59" fillId="0" borderId="0" xfId="187" applyFont="1" applyFill="1" applyBorder="1" applyAlignment="1">
      <alignment horizontal="left"/>
    </xf>
    <xf numFmtId="0" fontId="59" fillId="0" borderId="0" xfId="187" applyFont="1" applyFill="1" applyAlignment="1">
      <alignment horizontal="center"/>
    </xf>
    <xf numFmtId="0" fontId="59" fillId="0" borderId="0" xfId="187" applyFont="1" applyFill="1" applyAlignment="1">
      <alignment horizontal="left" wrapText="1"/>
    </xf>
    <xf numFmtId="0" fontId="59" fillId="0" borderId="0" xfId="0" applyNumberFormat="1" applyFont="1" applyAlignment="1">
      <alignment horizontal="center"/>
    </xf>
    <xf numFmtId="3" fontId="49" fillId="0" borderId="8" xfId="0" quotePrefix="1" applyNumberFormat="1" applyFont="1" applyBorder="1" applyAlignment="1">
      <alignment horizontal="center"/>
    </xf>
    <xf numFmtId="1" fontId="59" fillId="0" borderId="0" xfId="0" applyNumberFormat="1" applyFont="1" applyAlignment="1">
      <alignment horizontal="center"/>
    </xf>
    <xf numFmtId="171" fontId="59" fillId="14" borderId="0" xfId="265" applyNumberFormat="1" applyFont="1" applyFill="1" applyAlignment="1" applyProtection="1">
      <alignment vertical="top"/>
      <protection locked="0"/>
    </xf>
    <xf numFmtId="10" fontId="59" fillId="0" borderId="0" xfId="265" applyNumberFormat="1" applyFont="1" applyFill="1" applyAlignment="1">
      <alignment horizontal="right"/>
    </xf>
    <xf numFmtId="171" fontId="59" fillId="0" borderId="0" xfId="265" applyNumberFormat="1" applyFont="1" applyFill="1" applyBorder="1" applyAlignment="1"/>
    <xf numFmtId="276" fontId="59" fillId="0" borderId="0" xfId="59" applyNumberFormat="1" applyFont="1" applyFill="1" applyBorder="1" applyAlignment="1"/>
    <xf numFmtId="276" fontId="93" fillId="0" borderId="0" xfId="59" applyNumberFormat="1" applyFont="1" applyFill="1" applyBorder="1" applyAlignment="1"/>
    <xf numFmtId="276" fontId="66" fillId="0" borderId="0" xfId="59" applyNumberFormat="1" applyFont="1" applyFill="1" applyBorder="1" applyAlignment="1"/>
    <xf numFmtId="3" fontId="59" fillId="0" borderId="8" xfId="0" applyNumberFormat="1" applyFont="1" applyBorder="1" applyAlignment="1">
      <alignment horizontal="center"/>
    </xf>
    <xf numFmtId="1" fontId="59" fillId="0" borderId="0" xfId="0" applyNumberFormat="1" applyFont="1" applyFill="1" applyBorder="1" applyAlignment="1">
      <alignment horizontal="center"/>
    </xf>
    <xf numFmtId="0" fontId="59" fillId="0" borderId="0" xfId="210" applyNumberFormat="1" applyFont="1" applyBorder="1" applyAlignment="1" applyProtection="1">
      <protection locked="0"/>
    </xf>
    <xf numFmtId="0" fontId="66" fillId="0" borderId="0" xfId="211" applyFont="1" applyFill="1" applyBorder="1" applyAlignment="1">
      <alignment horizontal="center" wrapText="1"/>
    </xf>
    <xf numFmtId="0" fontId="59" fillId="0" borderId="1" xfId="187" applyFont="1" applyFill="1" applyBorder="1"/>
    <xf numFmtId="175" fontId="59" fillId="0" borderId="3" xfId="59" applyNumberFormat="1" applyFont="1" applyBorder="1" applyAlignment="1">
      <alignment horizontal="left"/>
    </xf>
    <xf numFmtId="0" fontId="59" fillId="0" borderId="0" xfId="187" applyFont="1" applyFill="1" applyAlignment="1">
      <alignment horizontal="right"/>
    </xf>
    <xf numFmtId="0" fontId="59" fillId="0" borderId="0" xfId="211" applyFont="1" applyAlignment="1">
      <alignment horizontal="center" wrapText="1"/>
    </xf>
    <xf numFmtId="174" fontId="59" fillId="0" borderId="0" xfId="0" applyFont="1" applyFill="1" applyAlignment="1">
      <alignment wrapText="1"/>
    </xf>
    <xf numFmtId="174" fontId="66" fillId="0" borderId="7" xfId="201" applyFont="1" applyFill="1" applyBorder="1" applyAlignment="1">
      <alignment horizontal="center" wrapText="1"/>
    </xf>
    <xf numFmtId="174" fontId="59" fillId="0" borderId="9" xfId="201" applyFont="1" applyFill="1" applyBorder="1" applyAlignment="1">
      <alignment horizontal="center"/>
    </xf>
    <xf numFmtId="43" fontId="59" fillId="15" borderId="10" xfId="59" applyFont="1" applyFill="1" applyBorder="1" applyAlignment="1">
      <alignment horizontal="left"/>
    </xf>
    <xf numFmtId="175" fontId="59" fillId="0" borderId="0" xfId="59" applyNumberFormat="1" applyFont="1" applyAlignment="1"/>
    <xf numFmtId="0" fontId="59" fillId="0" borderId="0" xfId="201" applyNumberFormat="1" applyFont="1" applyFill="1" applyBorder="1" applyAlignment="1" applyProtection="1">
      <protection locked="0"/>
    </xf>
    <xf numFmtId="0" fontId="59" fillId="0" borderId="0" xfId="201" applyNumberFormat="1" applyFont="1" applyFill="1" applyBorder="1" applyAlignment="1" applyProtection="1">
      <alignment horizontal="center"/>
      <protection locked="0"/>
    </xf>
    <xf numFmtId="3" fontId="59" fillId="0" borderId="0" xfId="201" applyNumberFormat="1" applyFont="1" applyFill="1" applyBorder="1" applyAlignment="1"/>
    <xf numFmtId="0" fontId="59" fillId="0" borderId="0" xfId="201" applyNumberFormat="1" applyFont="1" applyFill="1" applyBorder="1" applyProtection="1">
      <protection locked="0"/>
    </xf>
    <xf numFmtId="174" fontId="59" fillId="0" borderId="0" xfId="201" applyFont="1" applyFill="1" applyBorder="1" applyAlignment="1"/>
    <xf numFmtId="43" fontId="59" fillId="0" borderId="0" xfId="59" applyFont="1" applyAlignment="1"/>
    <xf numFmtId="174" fontId="59" fillId="0" borderId="15" xfId="201" applyFont="1" applyFill="1" applyBorder="1" applyAlignment="1"/>
    <xf numFmtId="0" fontId="59" fillId="0" borderId="0" xfId="210" applyNumberFormat="1" applyFont="1" applyFill="1" applyAlignment="1">
      <alignment horizontal="center"/>
    </xf>
    <xf numFmtId="174" fontId="59" fillId="0" borderId="0" xfId="0" applyFont="1"/>
    <xf numFmtId="174" fontId="59" fillId="0" borderId="0" xfId="0" applyFont="1" applyFill="1"/>
    <xf numFmtId="175" fontId="59" fillId="0" borderId="15" xfId="59" applyNumberFormat="1" applyFont="1" applyFill="1" applyBorder="1" applyAlignment="1"/>
    <xf numFmtId="174" fontId="100" fillId="0" borderId="0" xfId="201" applyFont="1" applyFill="1" applyBorder="1" applyAlignment="1"/>
    <xf numFmtId="0" fontId="59" fillId="0" borderId="0" xfId="208" applyNumberFormat="1" applyFont="1" applyFill="1" applyBorder="1" applyAlignment="1" applyProtection="1">
      <alignment horizontal="center"/>
      <protection locked="0"/>
    </xf>
    <xf numFmtId="174" fontId="59" fillId="0" borderId="19" xfId="0" applyFont="1" applyBorder="1"/>
    <xf numFmtId="174" fontId="59" fillId="0" borderId="20" xfId="0" applyFont="1" applyBorder="1"/>
    <xf numFmtId="174" fontId="59" fillId="0" borderId="22" xfId="0" applyFont="1" applyBorder="1" applyAlignment="1">
      <alignment horizontal="center"/>
    </xf>
    <xf numFmtId="174" fontId="59" fillId="0" borderId="3" xfId="0" applyFont="1" applyBorder="1"/>
    <xf numFmtId="174" fontId="59" fillId="0" borderId="15" xfId="0" applyFont="1" applyBorder="1" applyAlignment="1">
      <alignment horizontal="center"/>
    </xf>
    <xf numFmtId="174" fontId="59" fillId="0" borderId="22" xfId="0" applyFont="1" applyBorder="1"/>
    <xf numFmtId="176" fontId="59" fillId="15" borderId="10" xfId="93" applyNumberFormat="1" applyFont="1" applyFill="1" applyBorder="1"/>
    <xf numFmtId="174" fontId="59" fillId="0" borderId="11" xfId="0" applyFont="1" applyBorder="1"/>
    <xf numFmtId="174" fontId="59" fillId="0" borderId="9" xfId="0" applyFont="1" applyBorder="1" applyAlignment="1">
      <alignment horizontal="center"/>
    </xf>
    <xf numFmtId="174" fontId="59" fillId="0" borderId="11" xfId="0" applyFont="1" applyBorder="1" applyAlignment="1">
      <alignment horizontal="center"/>
    </xf>
    <xf numFmtId="174" fontId="59" fillId="0" borderId="15" xfId="0" applyFont="1" applyBorder="1"/>
    <xf numFmtId="43" fontId="59" fillId="0" borderId="0" xfId="59" applyFont="1"/>
    <xf numFmtId="174" fontId="59" fillId="0" borderId="0" xfId="201" applyFont="1" applyAlignment="1"/>
    <xf numFmtId="174" fontId="59" fillId="0" borderId="19" xfId="201" applyFont="1" applyFill="1" applyBorder="1" applyAlignment="1">
      <alignment horizontal="center"/>
    </xf>
    <xf numFmtId="174" fontId="59" fillId="0" borderId="22" xfId="201" applyFont="1" applyFill="1" applyBorder="1" applyAlignment="1">
      <alignment horizontal="center"/>
    </xf>
    <xf numFmtId="174" fontId="59" fillId="0" borderId="17" xfId="201" applyFont="1" applyFill="1" applyBorder="1" applyAlignment="1">
      <alignment horizontal="center"/>
    </xf>
    <xf numFmtId="174" fontId="59" fillId="15" borderId="11" xfId="0" applyFont="1" applyFill="1" applyBorder="1"/>
    <xf numFmtId="0" fontId="59" fillId="0" borderId="0" xfId="59" applyNumberFormat="1" applyFont="1" applyFill="1" applyAlignment="1">
      <alignment horizontal="center"/>
    </xf>
    <xf numFmtId="0" fontId="59" fillId="0" borderId="0" xfId="59" applyNumberFormat="1" applyFont="1" applyFill="1" applyBorder="1" applyAlignment="1">
      <alignment horizontal="center"/>
    </xf>
    <xf numFmtId="0" fontId="59" fillId="0" borderId="0" xfId="59" applyNumberFormat="1" applyFont="1" applyAlignment="1">
      <alignment horizontal="center"/>
    </xf>
    <xf numFmtId="174" fontId="59" fillId="0" borderId="10" xfId="0" applyFont="1" applyBorder="1" applyAlignment="1">
      <alignment horizontal="center"/>
    </xf>
    <xf numFmtId="0" fontId="66" fillId="0" borderId="0" xfId="59" applyNumberFormat="1" applyFont="1" applyFill="1" applyBorder="1" applyAlignment="1">
      <alignment horizontal="left"/>
    </xf>
    <xf numFmtId="174" fontId="59" fillId="0" borderId="19" xfId="0" applyFont="1" applyBorder="1" applyAlignment="1">
      <alignment horizontal="center"/>
    </xf>
    <xf numFmtId="174" fontId="100" fillId="0" borderId="15" xfId="201" applyFont="1" applyFill="1" applyBorder="1" applyAlignment="1">
      <alignment horizontal="center"/>
    </xf>
    <xf numFmtId="174" fontId="59" fillId="0" borderId="0" xfId="0" applyFont="1" applyFill="1" applyAlignment="1">
      <alignment vertical="top" wrapText="1"/>
    </xf>
    <xf numFmtId="174" fontId="59" fillId="0" borderId="0" xfId="201" applyFont="1" applyFill="1" applyBorder="1" applyAlignment="1">
      <alignment horizontal="left" vertical="top" wrapText="1"/>
    </xf>
    <xf numFmtId="174" fontId="59" fillId="0" borderId="0" xfId="0" applyFont="1" applyFill="1" applyAlignment="1">
      <alignment horizontal="left" wrapText="1"/>
    </xf>
    <xf numFmtId="0" fontId="59" fillId="0" borderId="0" xfId="201" applyNumberFormat="1" applyFont="1" applyFill="1" applyBorder="1" applyAlignment="1" applyProtection="1">
      <alignment horizontal="center"/>
      <protection locked="0"/>
    </xf>
    <xf numFmtId="174" fontId="95" fillId="0" borderId="15" xfId="0" applyNumberFormat="1" applyFont="1" applyFill="1" applyBorder="1" applyAlignment="1" applyProtection="1">
      <alignment horizontal="center"/>
    </xf>
    <xf numFmtId="174" fontId="59" fillId="0" borderId="11" xfId="0" applyNumberFormat="1" applyFont="1" applyFill="1" applyBorder="1" applyAlignment="1" applyProtection="1">
      <alignment horizontal="center"/>
    </xf>
    <xf numFmtId="174" fontId="59" fillId="0" borderId="11" xfId="0" applyFont="1" applyFill="1" applyBorder="1" applyAlignment="1">
      <alignment horizontal="center"/>
    </xf>
    <xf numFmtId="174" fontId="59" fillId="0" borderId="22" xfId="0" applyFont="1" applyFill="1" applyBorder="1" applyAlignment="1">
      <alignment horizontal="center"/>
    </xf>
    <xf numFmtId="175" fontId="59" fillId="0" borderId="17" xfId="93" applyNumberFormat="1" applyFont="1" applyFill="1" applyBorder="1"/>
    <xf numFmtId="175" fontId="59" fillId="0" borderId="0" xfId="59" applyNumberFormat="1" applyFont="1"/>
    <xf numFmtId="175" fontId="59" fillId="0" borderId="21" xfId="93" applyNumberFormat="1" applyFont="1" applyFill="1" applyBorder="1"/>
    <xf numFmtId="175" fontId="59" fillId="0" borderId="15" xfId="0" applyNumberFormat="1" applyFont="1" applyBorder="1"/>
    <xf numFmtId="171" fontId="59" fillId="0" borderId="22" xfId="265" applyNumberFormat="1" applyFont="1" applyBorder="1"/>
    <xf numFmtId="171" fontId="59" fillId="0" borderId="11" xfId="265" applyNumberFormat="1" applyFont="1" applyBorder="1"/>
    <xf numFmtId="171" fontId="59" fillId="0" borderId="15" xfId="265" applyNumberFormat="1" applyFont="1" applyBorder="1"/>
    <xf numFmtId="171" fontId="59" fillId="0" borderId="0" xfId="265" applyNumberFormat="1" applyFont="1"/>
    <xf numFmtId="174" fontId="59" fillId="15" borderId="11" xfId="0" applyFont="1" applyFill="1" applyBorder="1" applyAlignment="1">
      <alignment horizontal="center"/>
    </xf>
    <xf numFmtId="175" fontId="59" fillId="0" borderId="0" xfId="210" applyNumberFormat="1" applyFont="1" applyAlignment="1"/>
    <xf numFmtId="175" fontId="59" fillId="0" borderId="0" xfId="206" applyNumberFormat="1" applyFont="1" applyAlignment="1"/>
    <xf numFmtId="175" fontId="49" fillId="0" borderId="0" xfId="59" applyNumberFormat="1" applyFont="1" applyFill="1" applyAlignment="1">
      <alignment horizontal="center"/>
    </xf>
    <xf numFmtId="171" fontId="49" fillId="0" borderId="0" xfId="265" applyNumberFormat="1" applyFont="1" applyAlignment="1"/>
    <xf numFmtId="171" fontId="49" fillId="0" borderId="0" xfId="265" applyNumberFormat="1" applyFont="1" applyFill="1" applyAlignment="1">
      <alignment horizontal="right"/>
    </xf>
    <xf numFmtId="43" fontId="49" fillId="0" borderId="0" xfId="59" applyFont="1" applyFill="1" applyAlignment="1"/>
    <xf numFmtId="10" fontId="49" fillId="0" borderId="0" xfId="265" applyNumberFormat="1" applyFont="1" applyAlignment="1"/>
    <xf numFmtId="10" fontId="49" fillId="0" borderId="8" xfId="265" applyNumberFormat="1" applyFont="1" applyBorder="1" applyAlignment="1"/>
    <xf numFmtId="10" fontId="49" fillId="0" borderId="0" xfId="265" applyNumberFormat="1" applyFont="1" applyFill="1" applyAlignment="1">
      <alignment horizontal="right"/>
    </xf>
    <xf numFmtId="174" fontId="0" fillId="0" borderId="0" xfId="0" applyAlignment="1"/>
    <xf numFmtId="0" fontId="59" fillId="0" borderId="0" xfId="210" applyNumberFormat="1" applyFont="1" applyAlignment="1" applyProtection="1">
      <alignment horizontal="center"/>
      <protection locked="0"/>
    </xf>
    <xf numFmtId="175" fontId="59" fillId="0" borderId="24" xfId="59" applyNumberFormat="1" applyFont="1" applyBorder="1" applyAlignment="1">
      <alignment horizontal="fill"/>
    </xf>
    <xf numFmtId="183" fontId="59" fillId="0" borderId="0" xfId="210" applyNumberFormat="1" applyFont="1" applyAlignment="1"/>
    <xf numFmtId="183" fontId="59" fillId="0" borderId="0" xfId="188" applyNumberFormat="1" applyFont="1" applyAlignment="1"/>
    <xf numFmtId="174" fontId="59" fillId="0" borderId="0" xfId="201" applyFont="1" applyFill="1" applyBorder="1" applyAlignment="1">
      <alignment vertical="top"/>
    </xf>
    <xf numFmtId="49" fontId="59" fillId="0" borderId="0" xfId="201" applyNumberFormat="1" applyFont="1" applyFill="1" applyBorder="1" applyAlignment="1">
      <alignment horizontal="center" vertical="top"/>
    </xf>
    <xf numFmtId="175" fontId="88" fillId="0" borderId="15" xfId="59" applyNumberFormat="1" applyFont="1" applyFill="1" applyBorder="1" applyAlignment="1"/>
    <xf numFmtId="175" fontId="49" fillId="0" borderId="0" xfId="210" applyNumberFormat="1" applyFont="1" applyAlignment="1"/>
    <xf numFmtId="175" fontId="49" fillId="0" borderId="0" xfId="0" applyNumberFormat="1" applyFont="1" applyAlignment="1"/>
    <xf numFmtId="175" fontId="49" fillId="0" borderId="0" xfId="59" applyNumberFormat="1" applyFont="1" applyFill="1" applyAlignment="1">
      <alignment horizontal="right"/>
    </xf>
    <xf numFmtId="0" fontId="59" fillId="0" borderId="0" xfId="188" applyNumberFormat="1" applyFont="1" applyFill="1" applyAlignment="1">
      <alignment vertical="top" wrapText="1"/>
    </xf>
    <xf numFmtId="0" fontId="59" fillId="0" borderId="0" xfId="188" applyNumberFormat="1" applyFont="1" applyFill="1" applyAlignment="1">
      <alignment vertical="top" wrapText="1"/>
    </xf>
    <xf numFmtId="49" fontId="59" fillId="0" borderId="0" xfId="0" applyNumberFormat="1" applyFont="1" applyFill="1" applyBorder="1" applyAlignment="1">
      <alignment horizontal="center" vertical="center" wrapText="1"/>
    </xf>
    <xf numFmtId="0" fontId="59" fillId="0" borderId="0" xfId="0" applyNumberFormat="1" applyFont="1" applyBorder="1" applyAlignment="1">
      <alignment horizontal="center" vertical="center"/>
    </xf>
    <xf numFmtId="174" fontId="59" fillId="0" borderId="1" xfId="201" applyFont="1" applyFill="1" applyBorder="1" applyAlignment="1">
      <alignment horizontal="center"/>
    </xf>
    <xf numFmtId="10" fontId="59" fillId="0" borderId="0" xfId="265" applyNumberFormat="1" applyFont="1" applyFill="1" applyBorder="1" applyAlignment="1">
      <alignment horizontal="right"/>
    </xf>
    <xf numFmtId="10" fontId="59" fillId="0" borderId="0" xfId="265" applyNumberFormat="1" applyFont="1" applyFill="1" applyBorder="1" applyAlignment="1"/>
    <xf numFmtId="170" fontId="59" fillId="15" borderId="0" xfId="201" applyNumberFormat="1" applyFont="1" applyFill="1" applyBorder="1" applyAlignment="1"/>
    <xf numFmtId="0" fontId="59" fillId="0" borderId="0" xfId="206" applyNumberFormat="1" applyFont="1" applyFill="1" applyAlignment="1"/>
    <xf numFmtId="0" fontId="59" fillId="0" borderId="0" xfId="188" quotePrefix="1" applyNumberFormat="1" applyFont="1" applyFill="1" applyAlignment="1">
      <alignment vertical="top"/>
    </xf>
    <xf numFmtId="3" fontId="59" fillId="0" borderId="0" xfId="210" applyNumberFormat="1" applyFont="1" applyFill="1" applyAlignment="1"/>
    <xf numFmtId="0" fontId="59" fillId="0" borderId="0" xfId="210" applyNumberFormat="1" applyFont="1" applyFill="1" applyAlignment="1"/>
    <xf numFmtId="3" fontId="59" fillId="0" borderId="0" xfId="188" applyNumberFormat="1" applyFont="1" applyFill="1" applyAlignment="1"/>
    <xf numFmtId="183" fontId="59" fillId="0" borderId="0" xfId="59" applyNumberFormat="1" applyFont="1" applyFill="1" applyAlignment="1"/>
    <xf numFmtId="174" fontId="59" fillId="0" borderId="0" xfId="0" applyFont="1" applyFill="1" applyAlignment="1"/>
    <xf numFmtId="0" fontId="59" fillId="0" borderId="0" xfId="206" applyNumberFormat="1" applyFont="1" applyFill="1" applyAlignment="1" applyProtection="1">
      <alignment horizontal="center"/>
      <protection locked="0"/>
    </xf>
    <xf numFmtId="175" fontId="59" fillId="0" borderId="1" xfId="59" applyNumberFormat="1" applyFont="1" applyFill="1" applyBorder="1" applyAlignment="1"/>
    <xf numFmtId="276" fontId="59" fillId="0" borderId="3" xfId="59" applyNumberFormat="1" applyFont="1" applyFill="1" applyBorder="1" applyAlignment="1"/>
    <xf numFmtId="175" fontId="59" fillId="0" borderId="22" xfId="59" applyNumberFormat="1" applyFont="1" applyFill="1" applyBorder="1" applyAlignment="1"/>
    <xf numFmtId="174" fontId="59" fillId="0" borderId="10" xfId="209" applyFont="1" applyFill="1" applyBorder="1" applyAlignment="1">
      <alignment horizontal="center"/>
    </xf>
    <xf numFmtId="175" fontId="59" fillId="0" borderId="10" xfId="59" applyNumberFormat="1" applyFont="1" applyFill="1" applyBorder="1" applyAlignment="1"/>
    <xf numFmtId="1" fontId="59" fillId="0" borderId="10" xfId="59" applyNumberFormat="1" applyFont="1" applyFill="1" applyBorder="1" applyAlignment="1">
      <alignment horizontal="center"/>
    </xf>
    <xf numFmtId="1" fontId="59" fillId="0" borderId="19" xfId="59" applyNumberFormat="1" applyFont="1" applyFill="1" applyBorder="1" applyAlignment="1">
      <alignment horizontal="center"/>
    </xf>
    <xf numFmtId="174" fontId="59" fillId="0" borderId="3" xfId="209" applyFont="1" applyFill="1" applyBorder="1" applyAlignment="1"/>
    <xf numFmtId="174" fontId="59" fillId="0" borderId="11" xfId="0" applyFont="1" applyFill="1" applyBorder="1"/>
    <xf numFmtId="175" fontId="59" fillId="0" borderId="10" xfId="59" applyNumberFormat="1" applyFont="1" applyFill="1" applyBorder="1"/>
    <xf numFmtId="171" fontId="59" fillId="0" borderId="11" xfId="265" applyNumberFormat="1" applyFont="1" applyFill="1" applyBorder="1"/>
    <xf numFmtId="175" fontId="59" fillId="0" borderId="12" xfId="59" applyNumberFormat="1" applyFont="1" applyFill="1" applyBorder="1"/>
    <xf numFmtId="175" fontId="59" fillId="0" borderId="11" xfId="59" applyNumberFormat="1" applyFont="1" applyFill="1" applyBorder="1" applyAlignment="1">
      <alignment horizontal="center"/>
    </xf>
    <xf numFmtId="175" fontId="59" fillId="0" borderId="11" xfId="59" applyNumberFormat="1" applyFont="1" applyFill="1" applyBorder="1"/>
    <xf numFmtId="174" fontId="59" fillId="0" borderId="22" xfId="0" applyFont="1" applyFill="1" applyBorder="1"/>
    <xf numFmtId="171" fontId="59" fillId="0" borderId="22" xfId="265" applyNumberFormat="1" applyFont="1" applyFill="1" applyBorder="1"/>
    <xf numFmtId="0" fontId="59" fillId="0" borderId="1" xfId="59" applyNumberFormat="1" applyFont="1" applyBorder="1" applyAlignment="1">
      <alignment horizontal="center"/>
    </xf>
    <xf numFmtId="0" fontId="59" fillId="0" borderId="0" xfId="59" applyNumberFormat="1" applyFont="1" applyFill="1" applyBorder="1" applyAlignment="1"/>
    <xf numFmtId="176" fontId="59" fillId="0" borderId="0" xfId="93" applyNumberFormat="1" applyFont="1" applyFill="1" applyBorder="1" applyAlignment="1"/>
    <xf numFmtId="1" fontId="59" fillId="0" borderId="19" xfId="209" applyNumberFormat="1" applyFont="1" applyFill="1" applyBorder="1" applyAlignment="1">
      <alignment horizontal="center"/>
    </xf>
    <xf numFmtId="174" fontId="59" fillId="0" borderId="8" xfId="201" applyFont="1" applyFill="1" applyBorder="1" applyAlignment="1">
      <alignment horizontal="center"/>
    </xf>
    <xf numFmtId="0" fontId="59" fillId="0" borderId="3" xfId="59" applyNumberFormat="1" applyFont="1" applyFill="1" applyBorder="1" applyAlignment="1"/>
    <xf numFmtId="176" fontId="59" fillId="0" borderId="3" xfId="93" applyNumberFormat="1" applyFont="1" applyFill="1" applyBorder="1" applyAlignment="1"/>
    <xf numFmtId="175" fontId="59" fillId="0" borderId="3" xfId="59" applyNumberFormat="1" applyFont="1" applyFill="1" applyBorder="1" applyAlignment="1"/>
    <xf numFmtId="174" fontId="0" fillId="0" borderId="0" xfId="0" applyAlignment="1"/>
    <xf numFmtId="3" fontId="59" fillId="0" borderId="0" xfId="201" applyNumberFormat="1" applyFont="1" applyFill="1" applyBorder="1" applyAlignment="1"/>
    <xf numFmtId="174" fontId="59" fillId="0" borderId="0" xfId="201" applyFont="1" applyFill="1" applyBorder="1" applyAlignment="1"/>
    <xf numFmtId="0" fontId="59" fillId="0" borderId="0" xfId="201" applyNumberFormat="1" applyFont="1" applyFill="1" applyBorder="1"/>
    <xf numFmtId="3" fontId="59" fillId="0" borderId="0" xfId="210" applyNumberFormat="1" applyFont="1" applyAlignment="1"/>
    <xf numFmtId="0" fontId="59" fillId="0" borderId="0" xfId="210" applyNumberFormat="1" applyFont="1" applyAlignment="1"/>
    <xf numFmtId="0" fontId="59" fillId="0" borderId="0" xfId="210" applyNumberFormat="1" applyFont="1" applyFill="1" applyAlignment="1"/>
    <xf numFmtId="174" fontId="59" fillId="0" borderId="1" xfId="201" applyFont="1" applyFill="1" applyBorder="1" applyAlignment="1"/>
    <xf numFmtId="175" fontId="59" fillId="0" borderId="0" xfId="59" applyNumberFormat="1" applyFont="1" applyFill="1" applyBorder="1" applyAlignment="1"/>
    <xf numFmtId="174" fontId="59" fillId="0" borderId="0" xfId="201" applyFont="1" applyFill="1" applyBorder="1" applyAlignment="1">
      <alignment horizontal="center"/>
    </xf>
    <xf numFmtId="0" fontId="59" fillId="0" borderId="0" xfId="201" applyNumberFormat="1" applyFont="1" applyFill="1" applyBorder="1" applyAlignment="1">
      <alignment horizontal="center"/>
    </xf>
    <xf numFmtId="0" fontId="59" fillId="0" borderId="0" xfId="201" applyNumberFormat="1" applyFont="1" applyFill="1" applyBorder="1" applyAlignment="1"/>
    <xf numFmtId="0" fontId="66" fillId="0" borderId="0" xfId="201" applyNumberFormat="1" applyFont="1" applyFill="1" applyBorder="1" applyAlignment="1"/>
    <xf numFmtId="177" fontId="66" fillId="0" borderId="0" xfId="201" applyNumberFormat="1" applyFont="1" applyFill="1" applyBorder="1" applyAlignment="1">
      <alignment horizontal="center"/>
    </xf>
    <xf numFmtId="174" fontId="66" fillId="0" borderId="16" xfId="201" applyFont="1" applyFill="1" applyBorder="1" applyAlignment="1">
      <alignment horizontal="center" wrapText="1"/>
    </xf>
    <xf numFmtId="174" fontId="66" fillId="0" borderId="7" xfId="201" applyFont="1" applyFill="1" applyBorder="1" applyAlignment="1"/>
    <xf numFmtId="0" fontId="59" fillId="0" borderId="16" xfId="201" applyNumberFormat="1" applyFont="1" applyFill="1" applyBorder="1"/>
    <xf numFmtId="0" fontId="59" fillId="0" borderId="7" xfId="201" applyNumberFormat="1" applyFont="1" applyFill="1" applyBorder="1"/>
    <xf numFmtId="0" fontId="59" fillId="0" borderId="10" xfId="201" applyNumberFormat="1" applyFont="1" applyFill="1" applyBorder="1"/>
    <xf numFmtId="174" fontId="59" fillId="0" borderId="10" xfId="209" applyFont="1" applyFill="1" applyBorder="1" applyAlignment="1"/>
    <xf numFmtId="174" fontId="59" fillId="0" borderId="0" xfId="209" applyFont="1" applyFill="1" applyBorder="1" applyAlignment="1"/>
    <xf numFmtId="174" fontId="59" fillId="14" borderId="0" xfId="209" applyFont="1" applyFill="1" applyBorder="1" applyAlignment="1"/>
    <xf numFmtId="0" fontId="59" fillId="14" borderId="0" xfId="59" applyNumberFormat="1" applyFont="1" applyFill="1" applyBorder="1" applyAlignment="1"/>
    <xf numFmtId="176" fontId="59" fillId="14" borderId="0" xfId="93" applyNumberFormat="1" applyFont="1" applyFill="1" applyBorder="1" applyAlignment="1"/>
    <xf numFmtId="174" fontId="59" fillId="0" borderId="0" xfId="201" applyFont="1" applyFill="1" applyBorder="1" applyAlignment="1">
      <alignment horizontal="center" vertical="top"/>
    </xf>
    <xf numFmtId="0" fontId="59" fillId="0" borderId="0" xfId="210" applyNumberFormat="1" applyFont="1" applyFill="1"/>
    <xf numFmtId="175" fontId="59" fillId="14" borderId="0" xfId="59" applyNumberFormat="1" applyFont="1" applyFill="1" applyBorder="1" applyAlignment="1"/>
    <xf numFmtId="174" fontId="59" fillId="0" borderId="0" xfId="0" applyFont="1"/>
    <xf numFmtId="174" fontId="59" fillId="0" borderId="0" xfId="0" applyFont="1" applyFill="1" applyAlignment="1"/>
    <xf numFmtId="174" fontId="59" fillId="0" borderId="0" xfId="0" applyFont="1" applyFill="1"/>
    <xf numFmtId="175" fontId="59" fillId="0" borderId="11" xfId="59" applyNumberFormat="1" applyFont="1" applyFill="1" applyBorder="1" applyAlignment="1"/>
    <xf numFmtId="174" fontId="100" fillId="0" borderId="0" xfId="201" applyFont="1" applyFill="1" applyBorder="1" applyAlignment="1"/>
    <xf numFmtId="175" fontId="59" fillId="14" borderId="10" xfId="59" applyNumberFormat="1" applyFont="1" applyFill="1" applyBorder="1" applyAlignment="1"/>
    <xf numFmtId="174" fontId="59" fillId="0" borderId="15" xfId="0" applyFont="1" applyBorder="1" applyAlignment="1">
      <alignment horizontal="center"/>
    </xf>
    <xf numFmtId="174" fontId="59" fillId="15" borderId="0" xfId="0" applyFont="1" applyFill="1"/>
    <xf numFmtId="174" fontId="59" fillId="0" borderId="22" xfId="0" applyFont="1" applyBorder="1"/>
    <xf numFmtId="174" fontId="59" fillId="0" borderId="11" xfId="0" applyFont="1" applyBorder="1"/>
    <xf numFmtId="174" fontId="59" fillId="0" borderId="9" xfId="0" applyFont="1" applyBorder="1" applyAlignment="1">
      <alignment horizontal="center"/>
    </xf>
    <xf numFmtId="174" fontId="59" fillId="0" borderId="11" xfId="0" applyFont="1" applyBorder="1" applyAlignment="1">
      <alignment horizontal="center"/>
    </xf>
    <xf numFmtId="174" fontId="59" fillId="0" borderId="15" xfId="0" applyFont="1" applyBorder="1"/>
    <xf numFmtId="174" fontId="59" fillId="0" borderId="0" xfId="201" applyFont="1" applyAlignment="1"/>
    <xf numFmtId="174" fontId="59" fillId="0" borderId="19" xfId="201" applyFont="1" applyFill="1" applyBorder="1" applyAlignment="1">
      <alignment horizontal="center"/>
    </xf>
    <xf numFmtId="174" fontId="59" fillId="0" borderId="17" xfId="201" applyFont="1" applyFill="1" applyBorder="1" applyAlignment="1">
      <alignment horizontal="center"/>
    </xf>
    <xf numFmtId="174" fontId="59" fillId="15" borderId="11" xfId="0" applyFont="1" applyFill="1" applyBorder="1"/>
    <xf numFmtId="174" fontId="59" fillId="0" borderId="0" xfId="201" applyFont="1" applyFill="1" applyBorder="1" applyAlignment="1">
      <alignment wrapText="1"/>
    </xf>
    <xf numFmtId="0" fontId="59" fillId="0" borderId="0" xfId="59" applyNumberFormat="1" applyFont="1" applyFill="1" applyAlignment="1">
      <alignment horizontal="center"/>
    </xf>
    <xf numFmtId="0" fontId="59" fillId="0" borderId="0" xfId="59" applyNumberFormat="1" applyFont="1" applyAlignment="1">
      <alignment horizontal="center"/>
    </xf>
    <xf numFmtId="175" fontId="59" fillId="0" borderId="3" xfId="59" applyNumberFormat="1" applyFont="1" applyBorder="1"/>
    <xf numFmtId="175" fontId="59" fillId="0" borderId="3" xfId="59" applyNumberFormat="1" applyFont="1" applyFill="1" applyBorder="1"/>
    <xf numFmtId="276" fontId="59" fillId="0" borderId="0" xfId="59" applyNumberFormat="1" applyFont="1" applyFill="1" applyBorder="1" applyAlignment="1"/>
    <xf numFmtId="174" fontId="59" fillId="0" borderId="9" xfId="201" applyFont="1" applyFill="1" applyBorder="1" applyAlignment="1">
      <alignment horizontal="center"/>
    </xf>
    <xf numFmtId="174" fontId="59" fillId="0" borderId="0" xfId="0" applyFont="1" applyFill="1" applyAlignment="1">
      <alignment vertical="top" wrapText="1"/>
    </xf>
    <xf numFmtId="174" fontId="59" fillId="0" borderId="11" xfId="0" applyFont="1" applyFill="1" applyBorder="1" applyAlignment="1">
      <alignment horizontal="center"/>
    </xf>
    <xf numFmtId="174" fontId="59" fillId="0" borderId="22" xfId="0" applyFont="1" applyFill="1" applyBorder="1" applyAlignment="1">
      <alignment horizontal="center"/>
    </xf>
    <xf numFmtId="175" fontId="59" fillId="15" borderId="10" xfId="59" applyNumberFormat="1" applyFont="1" applyFill="1" applyBorder="1"/>
    <xf numFmtId="175" fontId="59" fillId="0" borderId="0" xfId="59" applyNumberFormat="1" applyFont="1"/>
    <xf numFmtId="175" fontId="59" fillId="15" borderId="12" xfId="59" applyNumberFormat="1" applyFont="1" applyFill="1" applyBorder="1"/>
    <xf numFmtId="175" fontId="59" fillId="0" borderId="11" xfId="59" applyNumberFormat="1" applyFont="1" applyBorder="1" applyAlignment="1">
      <alignment horizontal="center"/>
    </xf>
    <xf numFmtId="175" fontId="59" fillId="0" borderId="11" xfId="59" applyNumberFormat="1" applyFont="1" applyBorder="1"/>
    <xf numFmtId="175" fontId="59" fillId="15" borderId="11" xfId="59" applyNumberFormat="1" applyFont="1" applyFill="1" applyBorder="1"/>
    <xf numFmtId="175" fontId="59" fillId="0" borderId="15" xfId="0" applyNumberFormat="1" applyFont="1" applyBorder="1"/>
    <xf numFmtId="171" fontId="59" fillId="0" borderId="11" xfId="265" applyNumberFormat="1" applyFont="1" applyBorder="1"/>
    <xf numFmtId="174" fontId="59" fillId="15" borderId="11" xfId="0" applyFont="1" applyFill="1" applyBorder="1" applyAlignment="1">
      <alignment horizontal="center"/>
    </xf>
    <xf numFmtId="174" fontId="59" fillId="0" borderId="0" xfId="201" applyFont="1" applyFill="1" applyBorder="1" applyAlignment="1">
      <alignment vertical="top"/>
    </xf>
    <xf numFmtId="174" fontId="0" fillId="0" borderId="0" xfId="0" applyFill="1"/>
    <xf numFmtId="0" fontId="59" fillId="0" borderId="0" xfId="0" applyNumberFormat="1" applyFont="1" applyAlignment="1">
      <alignment horizontal="center"/>
    </xf>
    <xf numFmtId="0" fontId="59" fillId="0" borderId="0" xfId="187" applyFont="1" applyFill="1" applyBorder="1" applyAlignment="1">
      <alignment horizontal="left"/>
    </xf>
    <xf numFmtId="0" fontId="66" fillId="0" borderId="0" xfId="211" quotePrefix="1" applyFont="1" applyAlignment="1">
      <alignment horizontal="center" wrapText="1"/>
    </xf>
    <xf numFmtId="175" fontId="59" fillId="0" borderId="14" xfId="59" applyNumberFormat="1" applyFont="1" applyBorder="1"/>
    <xf numFmtId="174" fontId="78" fillId="0" borderId="0" xfId="0" applyFont="1" applyAlignment="1">
      <alignment horizontal="left"/>
    </xf>
    <xf numFmtId="174" fontId="78" fillId="0" borderId="0" xfId="0" applyFont="1" applyFill="1" applyAlignment="1">
      <alignment horizontal="left"/>
    </xf>
    <xf numFmtId="174" fontId="26" fillId="0" borderId="0" xfId="0" applyFont="1"/>
    <xf numFmtId="174" fontId="0" fillId="0" borderId="0" xfId="0" applyFill="1" applyProtection="1">
      <protection locked="0"/>
    </xf>
    <xf numFmtId="174" fontId="0" fillId="0" borderId="0" xfId="0"/>
    <xf numFmtId="174" fontId="122" fillId="0" borderId="0" xfId="0" applyFont="1" applyFill="1" applyProtection="1">
      <protection locked="0"/>
    </xf>
    <xf numFmtId="174" fontId="123" fillId="0" borderId="0" xfId="0" applyFont="1" applyFill="1" applyProtection="1">
      <protection locked="0"/>
    </xf>
    <xf numFmtId="277" fontId="0" fillId="0" borderId="0" xfId="0" applyNumberFormat="1" applyFill="1"/>
    <xf numFmtId="176" fontId="39" fillId="0" borderId="0" xfId="93" applyNumberFormat="1" applyFont="1" applyFill="1"/>
    <xf numFmtId="174" fontId="124"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9" fillId="14" borderId="0" xfId="0" applyNumberFormat="1" applyFont="1" applyFill="1" applyAlignment="1" applyProtection="1">
      <alignment horizontal="center"/>
      <protection locked="0"/>
    </xf>
    <xf numFmtId="0" fontId="59" fillId="0" borderId="0" xfId="0" applyNumberFormat="1" applyFont="1" applyFill="1" applyAlignment="1" applyProtection="1">
      <alignment horizontal="center"/>
      <protection locked="0"/>
    </xf>
    <xf numFmtId="174" fontId="59" fillId="0" borderId="0" xfId="0" applyFont="1" applyFill="1" applyProtection="1">
      <protection locked="0"/>
    </xf>
    <xf numFmtId="174" fontId="59" fillId="0" borderId="31" xfId="0" applyFont="1" applyFill="1" applyBorder="1" applyAlignment="1" applyProtection="1">
      <alignment horizontal="center" wrapText="1"/>
      <protection locked="0"/>
    </xf>
    <xf numFmtId="174" fontId="59" fillId="0" borderId="32" xfId="0" applyFont="1" applyFill="1" applyBorder="1" applyAlignment="1" applyProtection="1">
      <alignment horizontal="center" wrapText="1"/>
      <protection locked="0"/>
    </xf>
    <xf numFmtId="174" fontId="59" fillId="0" borderId="32" xfId="0" applyFont="1" applyFill="1" applyBorder="1" applyProtection="1">
      <protection locked="0"/>
    </xf>
    <xf numFmtId="170" fontId="59" fillId="0" borderId="33" xfId="0" applyNumberFormat="1" applyFont="1" applyFill="1" applyBorder="1" applyAlignment="1" applyProtection="1">
      <alignment horizontal="center"/>
      <protection locked="0"/>
    </xf>
    <xf numFmtId="174" fontId="66" fillId="0" borderId="0" xfId="0" applyFont="1" applyFill="1" applyAlignment="1" applyProtection="1">
      <alignment horizontal="center"/>
      <protection locked="0"/>
    </xf>
    <xf numFmtId="174" fontId="59" fillId="0" borderId="0" xfId="0" applyFont="1" applyFill="1" applyAlignment="1" applyProtection="1">
      <alignment horizontal="center"/>
      <protection locked="0"/>
    </xf>
    <xf numFmtId="175" fontId="59" fillId="0" borderId="0" xfId="0" applyNumberFormat="1" applyFont="1" applyFill="1" applyProtection="1">
      <protection locked="0"/>
    </xf>
    <xf numFmtId="5" fontId="59" fillId="0" borderId="33" xfId="0" applyNumberFormat="1" applyFont="1" applyFill="1" applyBorder="1" applyAlignment="1" applyProtection="1">
      <alignment horizontal="center"/>
      <protection locked="0"/>
    </xf>
    <xf numFmtId="175" fontId="59" fillId="0" borderId="8" xfId="0" applyNumberFormat="1" applyFont="1" applyFill="1" applyBorder="1" applyProtection="1">
      <protection locked="0"/>
    </xf>
    <xf numFmtId="174" fontId="59" fillId="0" borderId="8" xfId="0" applyFont="1" applyFill="1" applyBorder="1" applyAlignment="1" applyProtection="1">
      <alignment horizontal="center"/>
      <protection locked="0"/>
    </xf>
    <xf numFmtId="174" fontId="59" fillId="0" borderId="8" xfId="0" applyFont="1" applyFill="1" applyBorder="1" applyProtection="1">
      <protection locked="0"/>
    </xf>
    <xf numFmtId="175" fontId="59" fillId="0" borderId="0" xfId="0" applyNumberFormat="1" applyFont="1" applyFill="1" applyAlignment="1" applyProtection="1">
      <alignment horizontal="left"/>
      <protection locked="0"/>
    </xf>
    <xf numFmtId="0" fontId="66" fillId="0" borderId="0" xfId="0" applyNumberFormat="1" applyFont="1" applyFill="1" applyAlignment="1" applyProtection="1">
      <alignment horizontal="left"/>
      <protection locked="0"/>
    </xf>
    <xf numFmtId="174" fontId="66" fillId="0" borderId="0" xfId="0" applyFont="1" applyFill="1" applyAlignment="1" applyProtection="1">
      <alignment horizontal="center" wrapText="1"/>
      <protection locked="0"/>
    </xf>
    <xf numFmtId="175" fontId="66" fillId="0" borderId="0" xfId="0" applyNumberFormat="1" applyFont="1" applyFill="1" applyAlignment="1" applyProtection="1">
      <alignment horizontal="center" wrapText="1"/>
      <protection locked="0"/>
    </xf>
    <xf numFmtId="175" fontId="66" fillId="0" borderId="0" xfId="0" applyNumberFormat="1" applyFont="1" applyFill="1" applyAlignment="1" applyProtection="1">
      <alignment horizontal="center"/>
      <protection locked="0"/>
    </xf>
    <xf numFmtId="277" fontId="59" fillId="0" borderId="0" xfId="265" applyNumberFormat="1" applyFont="1" applyFill="1" applyProtection="1">
      <protection locked="0"/>
    </xf>
    <xf numFmtId="164" fontId="59" fillId="0" borderId="0" xfId="265" applyNumberFormat="1" applyFont="1" applyFill="1" applyProtection="1">
      <protection locked="0"/>
    </xf>
    <xf numFmtId="175" fontId="59" fillId="0" borderId="0" xfId="0" applyNumberFormat="1" applyFont="1" applyFill="1" applyAlignment="1" applyProtection="1">
      <alignment horizontal="center"/>
      <protection locked="0"/>
    </xf>
    <xf numFmtId="174" fontId="92" fillId="0" borderId="0" xfId="0" applyFont="1" applyFill="1" applyAlignment="1" applyProtection="1">
      <alignment horizontal="center"/>
      <protection locked="0"/>
    </xf>
    <xf numFmtId="174" fontId="59" fillId="14" borderId="0" xfId="0" applyFont="1" applyFill="1" applyProtection="1">
      <protection locked="0"/>
    </xf>
    <xf numFmtId="175" fontId="59" fillId="0" borderId="0" xfId="59" applyNumberFormat="1" applyFont="1" applyFill="1" applyProtection="1">
      <protection locked="0"/>
    </xf>
    <xf numFmtId="164" fontId="59" fillId="0" borderId="0" xfId="0" applyNumberFormat="1" applyFont="1" applyFill="1" applyProtection="1">
      <protection locked="0"/>
    </xf>
    <xf numFmtId="175" fontId="66" fillId="0" borderId="0" xfId="59" applyNumberFormat="1" applyFont="1" applyFill="1" applyProtection="1">
      <protection locked="0"/>
    </xf>
    <xf numFmtId="175" fontId="66" fillId="0" borderId="0" xfId="59" applyNumberFormat="1" applyFont="1" applyFill="1" applyAlignment="1" applyProtection="1">
      <alignment horizontal="center"/>
      <protection locked="0"/>
    </xf>
    <xf numFmtId="174" fontId="92" fillId="0" borderId="0" xfId="0" applyFont="1" applyFill="1" applyProtection="1">
      <protection locked="0"/>
    </xf>
    <xf numFmtId="175" fontId="59" fillId="0" borderId="0" xfId="0" applyNumberFormat="1" applyFont="1" applyProtection="1">
      <protection locked="0"/>
    </xf>
    <xf numFmtId="175" fontId="59" fillId="0" borderId="0" xfId="0" applyNumberFormat="1" applyFont="1"/>
    <xf numFmtId="277" fontId="59" fillId="0" borderId="0" xfId="0" applyNumberFormat="1" applyFont="1" applyFill="1" applyProtection="1">
      <protection locked="0"/>
    </xf>
    <xf numFmtId="176" fontId="59" fillId="0" borderId="0" xfId="93" applyNumberFormat="1" applyFont="1" applyFill="1"/>
    <xf numFmtId="174" fontId="59" fillId="0" borderId="1" xfId="0" applyFont="1" applyBorder="1" applyAlignment="1">
      <alignment horizontal="center"/>
    </xf>
    <xf numFmtId="174" fontId="59" fillId="0" borderId="0" xfId="0" applyFont="1" applyFill="1" applyAlignment="1">
      <alignment horizontal="left" vertical="top"/>
    </xf>
    <xf numFmtId="1" fontId="59" fillId="0" borderId="16" xfId="59" applyNumberFormat="1" applyFont="1" applyFill="1" applyBorder="1" applyAlignment="1">
      <alignment horizontal="center"/>
    </xf>
    <xf numFmtId="174" fontId="94" fillId="0" borderId="7" xfId="201" applyFont="1" applyFill="1" applyBorder="1" applyAlignment="1"/>
    <xf numFmtId="0" fontId="59" fillId="0" borderId="7" xfId="201" applyNumberFormat="1" applyFont="1" applyFill="1" applyBorder="1" applyAlignment="1"/>
    <xf numFmtId="175" fontId="59" fillId="0" borderId="7" xfId="59" applyNumberFormat="1" applyFont="1" applyFill="1" applyBorder="1" applyAlignment="1">
      <alignment horizontal="center"/>
    </xf>
    <xf numFmtId="174" fontId="59" fillId="0" borderId="7" xfId="201" applyFont="1" applyFill="1" applyBorder="1" applyAlignment="1">
      <alignment horizontal="center"/>
    </xf>
    <xf numFmtId="3" fontId="59" fillId="0" borderId="7" xfId="201" applyNumberFormat="1" applyFont="1" applyFill="1" applyBorder="1" applyAlignment="1"/>
    <xf numFmtId="170" fontId="59" fillId="0" borderId="7" xfId="201" applyNumberFormat="1" applyFont="1" applyFill="1" applyBorder="1" applyAlignment="1"/>
    <xf numFmtId="175" fontId="59" fillId="0" borderId="9" xfId="59" applyNumberFormat="1" applyFont="1" applyFill="1" applyBorder="1" applyAlignment="1">
      <alignment horizontal="center"/>
    </xf>
    <xf numFmtId="174" fontId="78" fillId="0" borderId="0" xfId="0" applyFont="1"/>
    <xf numFmtId="174" fontId="59" fillId="0" borderId="17" xfId="201" applyFont="1" applyBorder="1" applyAlignment="1">
      <alignment horizontal="center"/>
    </xf>
    <xf numFmtId="174" fontId="59" fillId="0" borderId="15" xfId="201" applyFont="1" applyBorder="1" applyAlignment="1">
      <alignment horizontal="center"/>
    </xf>
    <xf numFmtId="183" fontId="49" fillId="0" borderId="0" xfId="59" applyNumberFormat="1" applyFont="1" applyFill="1" applyAlignment="1">
      <alignment horizontal="right"/>
    </xf>
    <xf numFmtId="175" fontId="49" fillId="0" borderId="0" xfId="59" applyNumberFormat="1" applyFont="1" applyAlignment="1">
      <alignment horizontal="center"/>
    </xf>
    <xf numFmtId="175" fontId="49" fillId="0" borderId="1" xfId="59" applyNumberFormat="1" applyFont="1" applyBorder="1" applyAlignment="1">
      <alignment horizontal="center"/>
    </xf>
    <xf numFmtId="0" fontId="59" fillId="0" borderId="1" xfId="0" applyNumberFormat="1" applyFont="1" applyBorder="1" applyAlignment="1">
      <alignment horizontal="center"/>
    </xf>
    <xf numFmtId="0" fontId="59" fillId="0" borderId="1" xfId="187" applyFont="1" applyFill="1" applyBorder="1" applyAlignment="1"/>
    <xf numFmtId="3" fontId="59" fillId="0" borderId="1" xfId="187" applyNumberFormat="1" applyFont="1" applyFill="1" applyBorder="1" applyAlignment="1">
      <alignment horizontal="center" wrapText="1"/>
    </xf>
    <xf numFmtId="0" fontId="59" fillId="0" borderId="3" xfId="187" applyFont="1" applyFill="1" applyBorder="1" applyAlignment="1"/>
    <xf numFmtId="175" fontId="59" fillId="0" borderId="3" xfId="59" applyNumberFormat="1" applyFont="1" applyFill="1" applyBorder="1" applyAlignment="1">
      <alignment horizontal="center"/>
    </xf>
    <xf numFmtId="174" fontId="49" fillId="0" borderId="0" xfId="0" applyFont="1" applyAlignment="1">
      <alignment horizontal="left"/>
    </xf>
    <xf numFmtId="0" fontId="55" fillId="0" borderId="0" xfId="554" applyFont="1" applyAlignment="1">
      <alignment horizontal="right"/>
    </xf>
    <xf numFmtId="0" fontId="125" fillId="0" borderId="0" xfId="555" applyFont="1" applyAlignment="1">
      <alignment horizontal="centerContinuous"/>
    </xf>
    <xf numFmtId="174" fontId="49" fillId="0" borderId="0" xfId="0" applyFont="1" applyAlignment="1">
      <alignment horizontal="centerContinuous"/>
    </xf>
    <xf numFmtId="174" fontId="49" fillId="0" borderId="0" xfId="0" applyFont="1" applyBorder="1" applyAlignment="1">
      <alignment horizontal="center"/>
    </xf>
    <xf numFmtId="174" fontId="49" fillId="0" borderId="0" xfId="0" applyFont="1" applyBorder="1" applyAlignment="1">
      <alignment horizontal="centerContinuous"/>
    </xf>
    <xf numFmtId="174" fontId="49" fillId="0" borderId="0" xfId="0" applyFont="1" applyAlignment="1">
      <alignment horizontal="center"/>
    </xf>
    <xf numFmtId="174" fontId="126" fillId="0" borderId="0" xfId="0" applyFont="1" applyAlignment="1">
      <alignment horizontal="center"/>
    </xf>
    <xf numFmtId="174" fontId="126" fillId="0" borderId="0" xfId="0" applyFont="1" applyAlignment="1"/>
    <xf numFmtId="37" fontId="49" fillId="0" borderId="0" xfId="0" applyNumberFormat="1" applyFont="1" applyAlignment="1">
      <alignment horizontal="center" vertical="top"/>
    </xf>
    <xf numFmtId="174" fontId="49" fillId="0" borderId="0" xfId="0" quotePrefix="1" applyFont="1" applyAlignment="1"/>
    <xf numFmtId="175" fontId="49" fillId="0" borderId="0" xfId="59" applyNumberFormat="1" applyFont="1" applyFill="1" applyAlignment="1"/>
    <xf numFmtId="175" fontId="49" fillId="0" borderId="3" xfId="59" applyNumberFormat="1" applyFont="1" applyBorder="1" applyAlignment="1"/>
    <xf numFmtId="174" fontId="125" fillId="0" borderId="0" xfId="0" applyFont="1" applyFill="1" applyAlignment="1"/>
    <xf numFmtId="174" fontId="49" fillId="0" borderId="0" xfId="0" applyFont="1" applyFill="1" applyAlignment="1"/>
    <xf numFmtId="174" fontId="49" fillId="0" borderId="0" xfId="0" applyFont="1" applyFill="1" applyBorder="1" applyAlignment="1"/>
    <xf numFmtId="0" fontId="128" fillId="0" borderId="0" xfId="182" applyFont="1"/>
    <xf numFmtId="174" fontId="49" fillId="0" borderId="0" xfId="0" applyFont="1" applyBorder="1" applyAlignment="1"/>
    <xf numFmtId="174" fontId="129" fillId="0" borderId="0" xfId="0" applyFont="1" applyAlignment="1"/>
    <xf numFmtId="174" fontId="130" fillId="0" borderId="0" xfId="201" applyFont="1" applyAlignment="1">
      <alignment horizontal="center"/>
    </xf>
    <xf numFmtId="49" fontId="59" fillId="0" borderId="0" xfId="187" applyNumberFormat="1" applyFont="1" applyFill="1" applyBorder="1" applyAlignment="1">
      <alignment horizontal="center"/>
    </xf>
    <xf numFmtId="0" fontId="66" fillId="0" borderId="0" xfId="185" applyFont="1" applyFill="1" applyBorder="1" applyAlignment="1">
      <alignment horizontal="center"/>
    </xf>
    <xf numFmtId="174" fontId="131" fillId="0" borderId="0" xfId="0" applyFont="1" applyFill="1" applyAlignment="1"/>
    <xf numFmtId="174" fontId="59" fillId="0" borderId="0" xfId="201" applyFont="1" applyAlignment="1">
      <alignment horizontal="center"/>
    </xf>
    <xf numFmtId="0" fontId="66" fillId="0" borderId="1" xfId="185" applyFont="1" applyBorder="1" applyAlignment="1">
      <alignment horizontal="center"/>
    </xf>
    <xf numFmtId="175" fontId="59" fillId="0" borderId="3" xfId="59" applyNumberFormat="1" applyFont="1" applyBorder="1" applyAlignment="1"/>
    <xf numFmtId="0" fontId="59" fillId="0" borderId="0" xfId="0" applyNumberFormat="1" applyFont="1" applyAlignment="1">
      <alignment horizontal="center" vertical="top"/>
    </xf>
    <xf numFmtId="2" fontId="59" fillId="0" borderId="0" xfId="0" applyNumberFormat="1" applyFont="1" applyAlignment="1">
      <alignment wrapText="1"/>
    </xf>
    <xf numFmtId="0" fontId="125" fillId="0" borderId="0" xfId="555" applyFont="1" applyAlignment="1">
      <alignment horizontal="center"/>
    </xf>
    <xf numFmtId="174" fontId="49" fillId="0" borderId="0" xfId="0" applyFont="1" applyAlignment="1">
      <alignment vertical="top"/>
    </xf>
    <xf numFmtId="174" fontId="49" fillId="0" borderId="1" xfId="0" applyFont="1" applyBorder="1" applyAlignment="1">
      <alignment horizontal="center"/>
    </xf>
    <xf numFmtId="174" fontId="49" fillId="0" borderId="0" xfId="0" applyFont="1" applyAlignment="1">
      <alignment horizontal="center" vertical="top"/>
    </xf>
    <xf numFmtId="0" fontId="59" fillId="0" borderId="0" xfId="187" applyFont="1" applyFill="1" applyAlignment="1">
      <alignment horizontal="left" wrapText="1"/>
    </xf>
    <xf numFmtId="0" fontId="59" fillId="0" borderId="0" xfId="187" applyFont="1" applyFill="1" applyBorder="1" applyAlignment="1">
      <alignment horizontal="left" wrapText="1"/>
    </xf>
    <xf numFmtId="174" fontId="59" fillId="0" borderId="1" xfId="0" applyFont="1" applyBorder="1" applyAlignment="1">
      <alignment horizontal="center"/>
    </xf>
    <xf numFmtId="0" fontId="59" fillId="0" borderId="0" xfId="187" applyFont="1" applyFill="1" applyAlignment="1">
      <alignment horizontal="center"/>
    </xf>
    <xf numFmtId="10" fontId="59" fillId="0" borderId="0" xfId="265" applyNumberFormat="1" applyFont="1" applyFill="1" applyAlignment="1">
      <alignment horizontal="center"/>
    </xf>
    <xf numFmtId="0" fontId="59" fillId="0" borderId="0" xfId="0" applyNumberFormat="1" applyFont="1" applyAlignment="1"/>
    <xf numFmtId="174" fontId="66" fillId="0" borderId="0" xfId="201" quotePrefix="1" applyFont="1" applyAlignment="1">
      <alignment horizontal="left"/>
    </xf>
    <xf numFmtId="174" fontId="59" fillId="0" borderId="0" xfId="201" applyFont="1" applyBorder="1" applyAlignment="1"/>
    <xf numFmtId="174" fontId="59" fillId="0" borderId="0" xfId="201" quotePrefix="1" applyFont="1" applyBorder="1" applyAlignment="1">
      <alignment horizontal="left"/>
    </xf>
    <xf numFmtId="176" fontId="59" fillId="0" borderId="0" xfId="105" applyNumberFormat="1" applyFont="1" applyFill="1" applyBorder="1" applyAlignment="1"/>
    <xf numFmtId="176" fontId="59" fillId="0" borderId="0" xfId="105" applyNumberFormat="1" applyFont="1" applyBorder="1" applyAlignment="1"/>
    <xf numFmtId="1" fontId="59" fillId="0" borderId="0" xfId="201" applyNumberFormat="1" applyFont="1" applyAlignment="1">
      <alignment horizontal="left"/>
    </xf>
    <xf numFmtId="174" fontId="59" fillId="0" borderId="0" xfId="201" quotePrefix="1" applyFont="1" applyAlignment="1">
      <alignment horizontal="left"/>
    </xf>
    <xf numFmtId="10" fontId="59" fillId="14" borderId="0" xfId="265" applyNumberFormat="1" applyFont="1" applyFill="1" applyAlignment="1"/>
    <xf numFmtId="43" fontId="59" fillId="0" borderId="0" xfId="59" applyFont="1" applyBorder="1" applyAlignment="1"/>
    <xf numFmtId="174" fontId="59" fillId="0" borderId="0" xfId="201" applyFont="1" applyAlignment="1">
      <alignment horizontal="left"/>
    </xf>
    <xf numFmtId="10" fontId="59" fillId="0" borderId="0" xfId="265" applyNumberFormat="1" applyFont="1" applyBorder="1" applyAlignment="1"/>
    <xf numFmtId="164" fontId="59" fillId="0" borderId="0" xfId="265" applyNumberFormat="1" applyFont="1" applyAlignment="1"/>
    <xf numFmtId="0" fontId="59" fillId="0" borderId="0" xfId="365" applyFont="1" applyAlignment="1"/>
    <xf numFmtId="0" fontId="59" fillId="0" borderId="0" xfId="365" applyFont="1" applyAlignment="1">
      <alignment horizontal="right"/>
    </xf>
    <xf numFmtId="0" fontId="59" fillId="0" borderId="0" xfId="365" applyFont="1"/>
    <xf numFmtId="0" fontId="59" fillId="0" borderId="0" xfId="365" applyFont="1" applyAlignment="1">
      <alignment horizontal="center" wrapText="1"/>
    </xf>
    <xf numFmtId="0" fontId="92" fillId="0" borderId="0" xfId="365" applyFont="1" applyAlignment="1"/>
    <xf numFmtId="0" fontId="59" fillId="0" borderId="0" xfId="365" quotePrefix="1" applyFont="1" applyAlignment="1">
      <alignment horizontal="left"/>
    </xf>
    <xf numFmtId="1" fontId="59" fillId="0" borderId="0" xfId="365" applyNumberFormat="1" applyFont="1" applyAlignment="1">
      <alignment horizontal="center"/>
    </xf>
    <xf numFmtId="0" fontId="59" fillId="0" borderId="0" xfId="365" applyFont="1" applyAlignment="1">
      <alignment horizontal="center"/>
    </xf>
    <xf numFmtId="9" fontId="59" fillId="0" borderId="0" xfId="365" applyNumberFormat="1" applyFont="1" applyAlignment="1">
      <alignment horizontal="center"/>
    </xf>
    <xf numFmtId="10" fontId="59" fillId="0" borderId="0" xfId="365" applyNumberFormat="1" applyFont="1" applyAlignment="1">
      <alignment horizontal="center"/>
    </xf>
    <xf numFmtId="3" fontId="59" fillId="0" borderId="0" xfId="365" applyNumberFormat="1" applyFont="1"/>
    <xf numFmtId="10" fontId="59" fillId="0" borderId="0" xfId="365" applyNumberFormat="1" applyFont="1"/>
    <xf numFmtId="3" fontId="59" fillId="0" borderId="0" xfId="365" applyNumberFormat="1" applyFont="1" applyAlignment="1">
      <alignment horizontal="center"/>
    </xf>
    <xf numFmtId="0" fontId="59" fillId="0" borderId="0" xfId="365" quotePrefix="1" applyFont="1" applyAlignment="1"/>
    <xf numFmtId="275" fontId="59" fillId="0" borderId="0" xfId="365" applyNumberFormat="1" applyFont="1" applyAlignment="1">
      <alignment horizontal="left"/>
    </xf>
    <xf numFmtId="10" fontId="59" fillId="0" borderId="0" xfId="365" applyNumberFormat="1" applyFont="1" applyAlignment="1">
      <alignment horizontal="right"/>
    </xf>
    <xf numFmtId="0" fontId="78" fillId="0" borderId="0" xfId="365" applyFont="1" applyAlignment="1"/>
    <xf numFmtId="1" fontId="78" fillId="0" borderId="0" xfId="365" applyNumberFormat="1" applyFont="1" applyAlignment="1">
      <alignment horizontal="center"/>
    </xf>
    <xf numFmtId="10" fontId="78" fillId="0" borderId="0" xfId="365" applyNumberFormat="1" applyFont="1" applyAlignment="1">
      <alignment horizontal="center"/>
    </xf>
    <xf numFmtId="9" fontId="78" fillId="0" borderId="0" xfId="365" applyNumberFormat="1" applyFont="1" applyAlignment="1">
      <alignment horizontal="center"/>
    </xf>
    <xf numFmtId="0" fontId="78" fillId="0" borderId="0" xfId="365" applyFont="1" applyAlignment="1">
      <alignment horizontal="center"/>
    </xf>
    <xf numFmtId="49" fontId="59" fillId="0" borderId="0" xfId="365" applyNumberFormat="1" applyFont="1" applyAlignment="1"/>
    <xf numFmtId="1" fontId="59" fillId="0" borderId="0" xfId="365" applyNumberFormat="1" applyFont="1" applyAlignment="1"/>
    <xf numFmtId="9" fontId="59" fillId="0" borderId="0" xfId="365" applyNumberFormat="1" applyFont="1" applyAlignment="1"/>
    <xf numFmtId="2" fontId="132" fillId="0" borderId="0" xfId="0" applyNumberFormat="1" applyFont="1" applyFill="1" applyBorder="1" applyAlignment="1">
      <alignment horizontal="center"/>
    </xf>
    <xf numFmtId="0" fontId="59" fillId="0" borderId="1" xfId="365" applyFont="1" applyBorder="1" applyAlignment="1">
      <alignment horizontal="center"/>
    </xf>
    <xf numFmtId="0" fontId="59" fillId="0" borderId="0" xfId="365" applyFont="1" applyAlignment="1">
      <alignment horizontal="center" vertical="top"/>
    </xf>
    <xf numFmtId="2" fontId="59" fillId="0" borderId="0" xfId="0" applyNumberFormat="1" applyFont="1" applyAlignment="1">
      <alignment horizontal="center" wrapText="1"/>
    </xf>
    <xf numFmtId="2" fontId="59" fillId="0" borderId="0" xfId="0" applyNumberFormat="1" applyFont="1" applyAlignment="1">
      <alignment horizontal="left"/>
    </xf>
    <xf numFmtId="10" fontId="59" fillId="0" borderId="0" xfId="365" applyNumberFormat="1" applyFont="1" applyAlignment="1"/>
    <xf numFmtId="1" fontId="59" fillId="0" borderId="0" xfId="201" applyNumberFormat="1" applyFont="1" applyAlignment="1">
      <alignment horizontal="center"/>
    </xf>
    <xf numFmtId="0" fontId="49" fillId="0" borderId="0" xfId="187" applyFont="1" applyFill="1"/>
    <xf numFmtId="170" fontId="59" fillId="0" borderId="0" xfId="0" applyNumberFormat="1" applyFont="1"/>
    <xf numFmtId="175" fontId="49" fillId="0" borderId="0" xfId="79" applyNumberFormat="1" applyFont="1" applyFill="1" applyBorder="1" applyAlignment="1">
      <alignment wrapText="1"/>
    </xf>
    <xf numFmtId="0" fontId="59" fillId="0" borderId="0" xfId="187" applyFont="1" applyAlignment="1"/>
    <xf numFmtId="174" fontId="59" fillId="0" borderId="0" xfId="0" applyFont="1" applyBorder="1" applyAlignment="1">
      <alignment horizontal="centerContinuous"/>
    </xf>
    <xf numFmtId="0" fontId="66" fillId="0" borderId="0" xfId="187" applyFont="1" applyAlignment="1"/>
    <xf numFmtId="0" fontId="78" fillId="0" borderId="0" xfId="187" applyFont="1" applyFill="1"/>
    <xf numFmtId="175" fontId="59" fillId="0" borderId="0" xfId="79" applyNumberFormat="1" applyFont="1" applyFill="1" applyAlignment="1">
      <alignment horizontal="right"/>
    </xf>
    <xf numFmtId="0" fontId="66" fillId="0" borderId="0" xfId="187" applyFont="1" applyFill="1"/>
    <xf numFmtId="175" fontId="59" fillId="15" borderId="0" xfId="79" applyNumberFormat="1" applyFont="1" applyFill="1" applyBorder="1" applyAlignment="1"/>
    <xf numFmtId="175" fontId="59" fillId="0" borderId="0" xfId="79" applyNumberFormat="1" applyFont="1" applyFill="1" applyBorder="1" applyAlignment="1"/>
    <xf numFmtId="0" fontId="49" fillId="0" borderId="0" xfId="187" applyFont="1"/>
    <xf numFmtId="175" fontId="59" fillId="0" borderId="0" xfId="187" applyNumberFormat="1" applyFont="1" applyFill="1"/>
    <xf numFmtId="0" fontId="90" fillId="0" borderId="0" xfId="187" applyFont="1"/>
    <xf numFmtId="0" fontId="59" fillId="0" borderId="0" xfId="187" applyFont="1" applyFill="1" applyAlignment="1">
      <alignment horizontal="center" vertical="top"/>
    </xf>
    <xf numFmtId="175" fontId="59" fillId="0" borderId="0" xfId="79" applyNumberFormat="1" applyFont="1" applyFill="1" applyAlignment="1"/>
    <xf numFmtId="175" fontId="49" fillId="0" borderId="0" xfId="79" applyNumberFormat="1" applyFont="1" applyAlignment="1"/>
    <xf numFmtId="175" fontId="59" fillId="0" borderId="0" xfId="79" applyNumberFormat="1" applyFont="1" applyBorder="1" applyAlignment="1"/>
    <xf numFmtId="175" fontId="59" fillId="0" borderId="0" xfId="187" applyNumberFormat="1" applyFont="1"/>
    <xf numFmtId="175" fontId="59" fillId="0" borderId="1" xfId="79" applyNumberFormat="1" applyFont="1" applyFill="1" applyBorder="1" applyAlignment="1">
      <alignment horizontal="center"/>
    </xf>
    <xf numFmtId="0" fontId="66" fillId="0" borderId="0" xfId="187" applyFont="1"/>
    <xf numFmtId="170" fontId="59" fillId="15" borderId="33" xfId="0" applyNumberFormat="1" applyFont="1" applyFill="1" applyBorder="1" applyAlignment="1" applyProtection="1">
      <alignment horizontal="center"/>
      <protection locked="0"/>
    </xf>
    <xf numFmtId="171" fontId="59" fillId="0" borderId="0" xfId="265" applyNumberFormat="1" applyFont="1" applyFill="1" applyAlignment="1">
      <alignment horizontal="right"/>
    </xf>
    <xf numFmtId="171" fontId="59" fillId="0" borderId="8" xfId="265" applyNumberFormat="1" applyFont="1" applyFill="1" applyBorder="1" applyAlignment="1">
      <alignment horizontal="right"/>
    </xf>
    <xf numFmtId="0" fontId="59" fillId="15" borderId="0" xfId="0" applyNumberFormat="1" applyFont="1" applyFill="1" applyAlignment="1" applyProtection="1">
      <alignment horizontal="center"/>
      <protection locked="0"/>
    </xf>
    <xf numFmtId="175" fontId="59" fillId="0" borderId="0" xfId="86" applyNumberFormat="1" applyFont="1" applyFill="1" applyBorder="1" applyAlignment="1">
      <alignment horizontal="right"/>
    </xf>
    <xf numFmtId="10" fontId="59" fillId="0" borderId="0" xfId="187" applyNumberFormat="1" applyFont="1" applyFill="1"/>
    <xf numFmtId="10" fontId="59" fillId="15" borderId="0" xfId="187" applyNumberFormat="1" applyFont="1" applyFill="1"/>
    <xf numFmtId="174" fontId="66" fillId="0" borderId="0" xfId="201" applyFont="1" applyFill="1" applyAlignment="1">
      <alignment horizontal="center" wrapText="1"/>
    </xf>
    <xf numFmtId="0" fontId="66" fillId="0" borderId="0" xfId="185" applyFont="1" applyFill="1" applyAlignment="1">
      <alignment horizontal="center"/>
    </xf>
    <xf numFmtId="174" fontId="66" fillId="0" borderId="1" xfId="201" applyFont="1" applyFill="1" applyBorder="1" applyAlignment="1">
      <alignment horizontal="center" wrapText="1"/>
    </xf>
    <xf numFmtId="0" fontId="59" fillId="0" borderId="0" xfId="365" applyFont="1" applyAlignment="1">
      <alignment horizontal="left"/>
    </xf>
    <xf numFmtId="0" fontId="66" fillId="0" borderId="0" xfId="206" applyFont="1" applyFill="1" applyBorder="1" applyAlignment="1">
      <alignment horizontal="center" wrapText="1"/>
    </xf>
    <xf numFmtId="0" fontId="59" fillId="0" borderId="0" xfId="0" applyNumberFormat="1" applyFont="1" applyAlignment="1">
      <alignment horizontal="center" wrapText="1"/>
    </xf>
    <xf numFmtId="174" fontId="59" fillId="0" borderId="0" xfId="0" applyFont="1" applyAlignment="1">
      <alignment vertical="top"/>
    </xf>
    <xf numFmtId="174" fontId="59" fillId="0" borderId="0" xfId="0" applyFont="1" applyFill="1" applyAlignment="1">
      <alignment vertical="top"/>
    </xf>
    <xf numFmtId="0" fontId="59" fillId="0" borderId="1" xfId="187" applyFont="1" applyBorder="1" applyAlignment="1">
      <alignment horizontal="center" wrapText="1"/>
    </xf>
    <xf numFmtId="174" fontId="59" fillId="0" borderId="0" xfId="0" applyFont="1" applyFill="1" applyAlignment="1">
      <alignment vertical="top" wrapText="1"/>
    </xf>
    <xf numFmtId="0" fontId="59" fillId="0" borderId="0" xfId="188" applyNumberFormat="1" applyFont="1" applyFill="1" applyAlignment="1">
      <alignment vertical="top" wrapText="1"/>
    </xf>
    <xf numFmtId="10" fontId="59" fillId="14" borderId="0" xfId="265" applyNumberFormat="1" applyFont="1" applyFill="1" applyAlignment="1"/>
    <xf numFmtId="174" fontId="49" fillId="0" borderId="0" xfId="0" applyFont="1" applyAlignment="1">
      <alignment vertical="top" wrapText="1"/>
    </xf>
    <xf numFmtId="0" fontId="59" fillId="0" borderId="0" xfId="187" applyFont="1" applyFill="1" applyBorder="1" applyAlignment="1">
      <alignment horizontal="center" vertical="top"/>
    </xf>
    <xf numFmtId="174" fontId="59" fillId="0" borderId="0" xfId="201" applyFont="1" applyFill="1" applyAlignment="1">
      <alignment wrapText="1"/>
    </xf>
    <xf numFmtId="0" fontId="59" fillId="0" borderId="0" xfId="210" applyNumberFormat="1" applyFont="1" applyFill="1" applyAlignment="1" applyProtection="1">
      <alignment horizontal="center" vertical="top" wrapText="1"/>
      <protection locked="0"/>
    </xf>
    <xf numFmtId="0" fontId="59" fillId="0" borderId="0" xfId="188" applyFont="1" applyFill="1" applyAlignment="1">
      <alignment horizontal="center" vertical="top" wrapText="1"/>
    </xf>
    <xf numFmtId="0" fontId="59" fillId="0" borderId="0" xfId="210" applyNumberFormat="1" applyFont="1" applyFill="1" applyBorder="1" applyAlignment="1" applyProtection="1">
      <alignment horizontal="center" vertical="top" wrapText="1"/>
      <protection locked="0"/>
    </xf>
    <xf numFmtId="174" fontId="59" fillId="0" borderId="0" xfId="210" applyFont="1" applyFill="1" applyAlignment="1">
      <alignment horizontal="center" vertical="top" wrapText="1"/>
    </xf>
    <xf numFmtId="174" fontId="59" fillId="0" borderId="0" xfId="0" applyFont="1" applyAlignment="1">
      <alignment horizontal="center"/>
    </xf>
    <xf numFmtId="0" fontId="59" fillId="0" borderId="0" xfId="201" applyNumberFormat="1" applyFont="1" applyFill="1" applyBorder="1" applyAlignment="1" applyProtection="1">
      <alignment horizontal="center"/>
      <protection locked="0"/>
    </xf>
    <xf numFmtId="0" fontId="90" fillId="0" borderId="0" xfId="187" applyFont="1" applyFill="1" applyBorder="1" applyAlignment="1">
      <alignment horizontal="center"/>
    </xf>
    <xf numFmtId="0" fontId="59" fillId="0" borderId="0" xfId="0" applyNumberFormat="1" applyFont="1" applyAlignment="1">
      <alignment horizontal="center"/>
    </xf>
    <xf numFmtId="10" fontId="59" fillId="0" borderId="0" xfId="265" applyNumberFormat="1" applyFont="1" applyFill="1" applyAlignment="1">
      <alignment horizontal="center"/>
    </xf>
    <xf numFmtId="0" fontId="59" fillId="0" borderId="0" xfId="59" applyNumberFormat="1" applyFont="1" applyAlignment="1">
      <alignment horizontal="center" vertical="top"/>
    </xf>
    <xf numFmtId="43" fontId="59" fillId="0" borderId="0" xfId="59" applyFont="1" applyAlignment="1">
      <alignment horizontal="left"/>
    </xf>
    <xf numFmtId="43" fontId="59" fillId="0" borderId="10" xfId="59" applyFont="1" applyFill="1" applyBorder="1" applyAlignment="1">
      <alignment horizontal="center"/>
    </xf>
    <xf numFmtId="43" fontId="59" fillId="0" borderId="0" xfId="59" applyFont="1" applyFill="1" applyProtection="1">
      <protection locked="0"/>
    </xf>
    <xf numFmtId="43" fontId="66" fillId="0" borderId="0" xfId="59" applyFont="1" applyFill="1" applyProtection="1">
      <protection locked="0"/>
    </xf>
    <xf numFmtId="43" fontId="59" fillId="0" borderId="1" xfId="59" applyFont="1" applyFill="1" applyBorder="1" applyProtection="1">
      <protection locked="0"/>
    </xf>
    <xf numFmtId="174" fontId="59" fillId="0" borderId="0" xfId="0" applyFont="1" applyAlignment="1">
      <alignment horizontal="center" vertical="top"/>
    </xf>
    <xf numFmtId="174" fontId="49" fillId="0" borderId="0" xfId="0" applyFont="1" applyFill="1" applyAlignment="1">
      <alignment vertical="top"/>
    </xf>
    <xf numFmtId="0" fontId="59" fillId="0" borderId="0" xfId="59" applyNumberFormat="1" applyFont="1" applyFill="1"/>
    <xf numFmtId="0" fontId="59" fillId="0" borderId="0" xfId="59" applyNumberFormat="1" applyFont="1" applyFill="1" applyAlignment="1">
      <alignment horizontal="right"/>
    </xf>
    <xf numFmtId="0" fontId="59" fillId="0" borderId="0" xfId="59" applyNumberFormat="1" applyFont="1" applyFill="1" applyBorder="1"/>
    <xf numFmtId="175" fontId="0" fillId="0" borderId="0" xfId="59" applyNumberFormat="1" applyFont="1" applyAlignment="1"/>
    <xf numFmtId="175" fontId="66" fillId="0" borderId="0" xfId="59" applyNumberFormat="1" applyFont="1" applyFill="1" applyBorder="1"/>
    <xf numFmtId="175" fontId="59" fillId="0" borderId="1" xfId="59" applyNumberFormat="1" applyFont="1" applyBorder="1" applyAlignment="1">
      <alignment horizontal="center" wrapText="1"/>
    </xf>
    <xf numFmtId="175" fontId="66" fillId="0" borderId="0" xfId="59" applyNumberFormat="1" applyFont="1" applyBorder="1" applyAlignment="1">
      <alignment horizontal="center"/>
    </xf>
    <xf numFmtId="0" fontId="59" fillId="0" borderId="0" xfId="211" applyFont="1" applyFill="1" applyAlignment="1">
      <alignment horizontal="left"/>
    </xf>
    <xf numFmtId="0" fontId="59" fillId="0" borderId="0" xfId="210" applyNumberFormat="1" applyFont="1" applyFill="1" applyAlignment="1" applyProtection="1">
      <alignment vertical="top" wrapText="1"/>
      <protection locked="0"/>
    </xf>
    <xf numFmtId="3" fontId="59" fillId="0" borderId="0" xfId="210" applyNumberFormat="1" applyFont="1" applyFill="1" applyAlignment="1">
      <alignment wrapText="1"/>
    </xf>
    <xf numFmtId="3" fontId="59" fillId="0" borderId="0" xfId="210" quotePrefix="1" applyNumberFormat="1" applyFont="1" applyFill="1" applyAlignment="1">
      <alignment horizontal="left"/>
    </xf>
    <xf numFmtId="174" fontId="59" fillId="0" borderId="1" xfId="0" applyFont="1" applyBorder="1" applyAlignment="1">
      <alignment horizontal="center"/>
    </xf>
    <xf numFmtId="174" fontId="59" fillId="0" borderId="0" xfId="0" applyFont="1" applyAlignment="1">
      <alignment horizontal="center"/>
    </xf>
    <xf numFmtId="10" fontId="59" fillId="0" borderId="0" xfId="265" applyNumberFormat="1" applyFont="1" applyFill="1" applyAlignment="1">
      <alignment horizontal="center"/>
    </xf>
    <xf numFmtId="175" fontId="59" fillId="0" borderId="9" xfId="59" applyNumberFormat="1" applyFont="1" applyFill="1" applyBorder="1"/>
    <xf numFmtId="174" fontId="59" fillId="0" borderId="1" xfId="0" applyFont="1" applyBorder="1"/>
    <xf numFmtId="174" fontId="59" fillId="0" borderId="0" xfId="0" applyFont="1" applyAlignment="1">
      <alignment horizontal="center"/>
    </xf>
    <xf numFmtId="0" fontId="132" fillId="0" borderId="0" xfId="0" applyNumberFormat="1" applyFont="1" applyAlignment="1">
      <alignment horizontal="center"/>
    </xf>
    <xf numFmtId="174" fontId="66" fillId="0" borderId="34" xfId="210" applyFont="1" applyBorder="1" applyAlignment="1">
      <alignment horizontal="center"/>
    </xf>
    <xf numFmtId="1" fontId="59" fillId="15" borderId="0" xfId="0" applyNumberFormat="1" applyFont="1" applyFill="1" applyAlignment="1">
      <alignment horizontal="center"/>
    </xf>
    <xf numFmtId="0" fontId="59" fillId="0" borderId="0" xfId="210" applyNumberFormat="1" applyFont="1" applyFill="1" applyAlignment="1" applyProtection="1">
      <alignment horizontal="center" vertical="top" wrapText="1"/>
      <protection locked="0"/>
    </xf>
    <xf numFmtId="174" fontId="59" fillId="0" borderId="0" xfId="0" applyFont="1" applyFill="1" applyAlignment="1">
      <alignment vertical="top" wrapText="1"/>
    </xf>
    <xf numFmtId="0" fontId="66" fillId="0" borderId="0" xfId="211" applyFont="1" applyAlignment="1">
      <alignment horizontal="center" wrapText="1"/>
    </xf>
    <xf numFmtId="175" fontId="59" fillId="0" borderId="0" xfId="187" applyNumberFormat="1" applyFont="1" applyBorder="1"/>
    <xf numFmtId="0" fontId="59" fillId="0" borderId="0" xfId="206" applyFont="1" applyFill="1" applyBorder="1" applyAlignment="1">
      <alignment horizontal="center" wrapText="1"/>
    </xf>
    <xf numFmtId="41" fontId="59" fillId="69" borderId="0" xfId="211" applyNumberFormat="1" applyFont="1" applyFill="1"/>
    <xf numFmtId="174" fontId="59" fillId="14" borderId="0" xfId="209" applyFont="1" applyFill="1" applyBorder="1" applyAlignment="1"/>
    <xf numFmtId="174" fontId="59" fillId="14" borderId="0" xfId="209" applyFont="1" applyFill="1" applyBorder="1" applyAlignment="1"/>
    <xf numFmtId="0" fontId="59" fillId="14" borderId="0" xfId="59" applyNumberFormat="1" applyFont="1" applyFill="1" applyBorder="1" applyAlignment="1"/>
    <xf numFmtId="0" fontId="59" fillId="14" borderId="0" xfId="59" applyNumberFormat="1" applyFont="1" applyFill="1" applyBorder="1" applyAlignment="1"/>
    <xf numFmtId="0" fontId="59" fillId="0" borderId="3" xfId="59" applyNumberFormat="1" applyFont="1" applyFill="1" applyBorder="1" applyAlignment="1"/>
    <xf numFmtId="174" fontId="59" fillId="15" borderId="11" xfId="0" applyFont="1" applyFill="1" applyBorder="1"/>
    <xf numFmtId="174" fontId="59" fillId="0" borderId="11" xfId="0" applyFont="1" applyFill="1" applyBorder="1" applyAlignment="1">
      <alignment horizontal="center"/>
    </xf>
    <xf numFmtId="174" fontId="59" fillId="0" borderId="22" xfId="0" applyFont="1" applyFill="1" applyBorder="1" applyAlignment="1">
      <alignment horizontal="center"/>
    </xf>
    <xf numFmtId="174" fontId="59" fillId="15" borderId="11" xfId="0" applyFont="1" applyFill="1" applyBorder="1" applyAlignment="1">
      <alignment horizontal="center"/>
    </xf>
    <xf numFmtId="174" fontId="59" fillId="0" borderId="11" xfId="0" applyFont="1" applyFill="1" applyBorder="1"/>
    <xf numFmtId="174" fontId="59" fillId="0" borderId="22" xfId="0" applyFont="1" applyFill="1" applyBorder="1"/>
    <xf numFmtId="0" fontId="59" fillId="14" borderId="0" xfId="187" applyFont="1" applyFill="1" applyBorder="1"/>
    <xf numFmtId="10" fontId="59" fillId="14" borderId="0" xfId="187" applyNumberFormat="1" applyFont="1" applyFill="1" applyBorder="1"/>
    <xf numFmtId="10" fontId="59" fillId="15" borderId="0" xfId="79" applyNumberFormat="1" applyFont="1" applyFill="1" applyBorder="1"/>
    <xf numFmtId="10" fontId="59" fillId="15" borderId="0" xfId="187" applyNumberFormat="1" applyFont="1" applyFill="1" applyBorder="1"/>
    <xf numFmtId="0" fontId="59" fillId="14" borderId="0" xfId="59" applyNumberFormat="1" applyFont="1" applyFill="1" applyBorder="1"/>
    <xf numFmtId="175" fontId="59" fillId="15" borderId="0" xfId="59" applyNumberFormat="1" applyFont="1" applyFill="1" applyBorder="1"/>
    <xf numFmtId="175" fontId="59" fillId="15" borderId="1" xfId="59" applyNumberFormat="1" applyFont="1" applyFill="1" applyBorder="1"/>
    <xf numFmtId="175" fontId="59" fillId="15" borderId="0" xfId="59" applyNumberFormat="1" applyFont="1" applyFill="1" applyBorder="1"/>
    <xf numFmtId="175" fontId="49" fillId="15" borderId="0" xfId="59" applyNumberFormat="1" applyFont="1" applyFill="1" applyAlignment="1"/>
    <xf numFmtId="10" fontId="49" fillId="15" borderId="0" xfId="0" applyNumberFormat="1" applyFont="1" applyFill="1" applyBorder="1" applyAlignment="1"/>
    <xf numFmtId="10" fontId="59" fillId="14" borderId="0" xfId="265" applyNumberFormat="1" applyFont="1" applyFill="1" applyAlignment="1" applyProtection="1">
      <alignment vertical="top"/>
      <protection locked="0"/>
    </xf>
    <xf numFmtId="10" fontId="59" fillId="14" borderId="0" xfId="265" applyNumberFormat="1" applyFont="1" applyFill="1" applyAlignment="1">
      <alignment horizontal="right"/>
    </xf>
    <xf numFmtId="175" fontId="59" fillId="14" borderId="0" xfId="59" applyNumberFormat="1" applyFont="1" applyFill="1" applyBorder="1"/>
    <xf numFmtId="43" fontId="59" fillId="15" borderId="3" xfId="59" applyFont="1" applyFill="1" applyBorder="1"/>
    <xf numFmtId="43" fontId="59" fillId="15" borderId="0" xfId="59" applyFont="1" applyFill="1" applyBorder="1"/>
    <xf numFmtId="43" fontId="59" fillId="15" borderId="1" xfId="59" applyFont="1" applyFill="1" applyBorder="1"/>
    <xf numFmtId="10" fontId="59" fillId="15" borderId="1" xfId="187" applyNumberFormat="1" applyFont="1" applyFill="1" applyBorder="1"/>
    <xf numFmtId="0" fontId="59" fillId="14" borderId="1" xfId="59" applyNumberFormat="1" applyFont="1" applyFill="1" applyBorder="1"/>
    <xf numFmtId="175" fontId="59" fillId="14" borderId="1" xfId="59" applyNumberFormat="1" applyFont="1" applyFill="1" applyBorder="1"/>
    <xf numFmtId="41" fontId="59" fillId="15" borderId="0" xfId="211" applyNumberFormat="1" applyFont="1" applyFill="1"/>
    <xf numFmtId="175" fontId="59" fillId="15" borderId="0" xfId="86" applyNumberFormat="1" applyFont="1" applyFill="1" applyBorder="1" applyAlignment="1">
      <alignment horizontal="right"/>
    </xf>
    <xf numFmtId="0" fontId="59" fillId="0" borderId="0" xfId="9820" applyFont="1"/>
    <xf numFmtId="0" fontId="59" fillId="0" borderId="0" xfId="9820" applyFont="1" applyAlignment="1">
      <alignment horizontal="center"/>
    </xf>
    <xf numFmtId="0" fontId="49" fillId="0" borderId="0" xfId="9820" applyFont="1"/>
    <xf numFmtId="0" fontId="173" fillId="0" borderId="0" xfId="9820" applyFont="1" applyAlignment="1">
      <alignment horizontal="left"/>
    </xf>
    <xf numFmtId="0" fontId="26" fillId="0" borderId="0" xfId="9820" applyFont="1" applyAlignment="1">
      <alignment horizontal="right"/>
    </xf>
    <xf numFmtId="0" fontId="19" fillId="0" borderId="0" xfId="9820" applyFont="1" applyAlignment="1">
      <alignment horizontal="center"/>
    </xf>
    <xf numFmtId="0" fontId="21" fillId="0" borderId="0" xfId="9819" applyFont="1" applyFill="1" applyAlignment="1"/>
    <xf numFmtId="0" fontId="19" fillId="0" borderId="0" xfId="9820" applyFont="1"/>
    <xf numFmtId="0" fontId="50" fillId="0" borderId="0" xfId="9820" applyFont="1" applyFill="1" applyBorder="1" applyAlignment="1">
      <alignment horizontal="left"/>
    </xf>
    <xf numFmtId="0" fontId="19" fillId="0" borderId="0" xfId="9820" applyFont="1" applyFill="1" applyAlignment="1">
      <alignment horizontal="center"/>
    </xf>
    <xf numFmtId="0" fontId="44" fillId="0" borderId="0" xfId="9820" applyFont="1" applyFill="1" applyAlignment="1">
      <alignment horizontal="center"/>
    </xf>
    <xf numFmtId="0" fontId="44" fillId="0" borderId="0" xfId="9820" applyFont="1" applyAlignment="1">
      <alignment horizontal="center"/>
    </xf>
    <xf numFmtId="9" fontId="44" fillId="0" borderId="0" xfId="9820" quotePrefix="1" applyNumberFormat="1" applyFont="1" applyFill="1" applyAlignment="1">
      <alignment horizontal="center"/>
    </xf>
    <xf numFmtId="9" fontId="44" fillId="0" borderId="0" xfId="9820" applyNumberFormat="1" applyFont="1" applyFill="1" applyAlignment="1">
      <alignment horizontal="center"/>
    </xf>
    <xf numFmtId="0" fontId="50" fillId="0" borderId="0" xfId="9820" applyFont="1" applyFill="1" applyBorder="1"/>
    <xf numFmtId="0" fontId="174" fillId="0" borderId="0" xfId="9820" applyFont="1" applyAlignment="1">
      <alignment horizontal="center"/>
    </xf>
    <xf numFmtId="0" fontId="174" fillId="0" borderId="0" xfId="9820" applyFont="1" applyFill="1" applyAlignment="1">
      <alignment horizontal="center"/>
    </xf>
    <xf numFmtId="0" fontId="19" fillId="14" borderId="9" xfId="9820" applyFont="1" applyFill="1" applyBorder="1"/>
    <xf numFmtId="41" fontId="175" fillId="14" borderId="9" xfId="9820" applyNumberFormat="1" applyFont="1" applyFill="1" applyBorder="1"/>
    <xf numFmtId="0" fontId="175" fillId="14" borderId="9" xfId="9820" applyFont="1" applyFill="1" applyBorder="1"/>
    <xf numFmtId="174" fontId="19" fillId="14" borderId="9" xfId="0" applyFont="1" applyFill="1" applyBorder="1"/>
    <xf numFmtId="0" fontId="19" fillId="14" borderId="9" xfId="9820" applyFont="1" applyFill="1" applyBorder="1" applyAlignment="1">
      <alignment vertical="top" wrapText="1"/>
    </xf>
    <xf numFmtId="0" fontId="19" fillId="14" borderId="9" xfId="9820" applyFont="1" applyFill="1" applyBorder="1" applyAlignment="1">
      <alignment vertical="top"/>
    </xf>
    <xf numFmtId="41" fontId="19" fillId="14" borderId="9" xfId="9820" applyNumberFormat="1" applyFont="1" applyFill="1" applyBorder="1" applyAlignment="1">
      <alignment vertical="top"/>
    </xf>
    <xf numFmtId="41" fontId="19" fillId="14" borderId="9" xfId="9820" applyNumberFormat="1" applyFont="1" applyFill="1" applyBorder="1"/>
    <xf numFmtId="0" fontId="44" fillId="0" borderId="9" xfId="9820" applyFont="1" applyFill="1" applyBorder="1"/>
    <xf numFmtId="37" fontId="19" fillId="0" borderId="9" xfId="9820" applyNumberFormat="1" applyFont="1" applyFill="1" applyBorder="1"/>
    <xf numFmtId="0" fontId="19" fillId="0" borderId="9" xfId="9820" applyFont="1" applyBorder="1"/>
    <xf numFmtId="41" fontId="19" fillId="15" borderId="9" xfId="9820" applyNumberFormat="1" applyFont="1" applyFill="1" applyBorder="1"/>
    <xf numFmtId="0" fontId="51" fillId="0" borderId="9" xfId="9820" applyFont="1" applyFill="1" applyBorder="1"/>
    <xf numFmtId="0" fontId="19" fillId="15" borderId="9" xfId="9820" applyFont="1" applyFill="1" applyBorder="1"/>
    <xf numFmtId="0" fontId="44" fillId="0" borderId="9" xfId="9820" applyFont="1" applyFill="1" applyBorder="1" applyAlignment="1">
      <alignment vertical="center"/>
    </xf>
    <xf numFmtId="37" fontId="19" fillId="0" borderId="9" xfId="9820" applyNumberFormat="1" applyFont="1" applyFill="1" applyBorder="1" applyAlignment="1">
      <alignment vertical="center"/>
    </xf>
    <xf numFmtId="277" fontId="171" fillId="0" borderId="9" xfId="9820" applyNumberFormat="1" applyFont="1" applyFill="1" applyBorder="1" applyAlignment="1">
      <alignment vertical="center"/>
    </xf>
    <xf numFmtId="0" fontId="19" fillId="0" borderId="22" xfId="9820" applyFont="1" applyFill="1" applyBorder="1"/>
    <xf numFmtId="0" fontId="19" fillId="0" borderId="9" xfId="9820" applyFont="1" applyFill="1" applyBorder="1"/>
    <xf numFmtId="37" fontId="19" fillId="0" borderId="16" xfId="9820" applyNumberFormat="1" applyFont="1" applyFill="1" applyBorder="1"/>
    <xf numFmtId="37" fontId="19" fillId="0" borderId="4" xfId="9820" applyNumberFormat="1" applyFont="1" applyFill="1" applyBorder="1"/>
    <xf numFmtId="0" fontId="44" fillId="0" borderId="0" xfId="9820" applyFont="1" applyFill="1" applyBorder="1"/>
    <xf numFmtId="0" fontId="19" fillId="0" borderId="0" xfId="9820" applyFont="1" applyFill="1" applyBorder="1"/>
    <xf numFmtId="37" fontId="19" fillId="0" borderId="0" xfId="9820" applyNumberFormat="1" applyFont="1" applyFill="1" applyBorder="1"/>
    <xf numFmtId="0" fontId="44" fillId="0" borderId="0" xfId="9819" applyFont="1" applyFill="1"/>
    <xf numFmtId="0" fontId="19" fillId="0" borderId="0" xfId="9820" applyFont="1" applyFill="1"/>
    <xf numFmtId="37" fontId="19" fillId="0" borderId="0" xfId="9820" applyNumberFormat="1" applyFont="1" applyFill="1"/>
    <xf numFmtId="0" fontId="176" fillId="0" borderId="0" xfId="9820" applyFont="1" applyFill="1" applyBorder="1" applyAlignment="1">
      <alignment horizontal="left"/>
    </xf>
    <xf numFmtId="41" fontId="175" fillId="14" borderId="9" xfId="9820" applyNumberFormat="1" applyFont="1" applyFill="1" applyBorder="1" applyAlignment="1"/>
    <xf numFmtId="0" fontId="19" fillId="14" borderId="9" xfId="9820" applyFont="1" applyFill="1" applyBorder="1" applyAlignment="1">
      <alignment wrapText="1"/>
    </xf>
    <xf numFmtId="41" fontId="175" fillId="14" borderId="9" xfId="9820" applyNumberFormat="1" applyFont="1" applyFill="1" applyBorder="1" applyAlignment="1">
      <alignment vertical="top"/>
    </xf>
    <xf numFmtId="175" fontId="175" fillId="14" borderId="9" xfId="9820" applyNumberFormat="1" applyFont="1" applyFill="1" applyBorder="1"/>
    <xf numFmtId="175" fontId="19" fillId="14" borderId="9" xfId="9820" applyNumberFormat="1" applyFont="1" applyFill="1" applyBorder="1" applyAlignment="1">
      <alignment vertical="top"/>
    </xf>
    <xf numFmtId="175" fontId="19" fillId="14" borderId="9" xfId="9820" applyNumberFormat="1" applyFont="1" applyFill="1" applyBorder="1"/>
    <xf numFmtId="41" fontId="19" fillId="0" borderId="0" xfId="9820" applyNumberFormat="1" applyFont="1" applyFill="1"/>
    <xf numFmtId="0" fontId="172" fillId="0" borderId="0" xfId="9819" applyFont="1"/>
    <xf numFmtId="0" fontId="26" fillId="0" borderId="0" xfId="9820" applyFont="1" applyFill="1" applyBorder="1"/>
    <xf numFmtId="0" fontId="177" fillId="0" borderId="0" xfId="9819" applyFont="1"/>
    <xf numFmtId="0" fontId="21" fillId="0" borderId="0" xfId="9819" applyFont="1" applyFill="1" applyAlignment="1">
      <alignment horizontal="right"/>
    </xf>
    <xf numFmtId="0" fontId="21" fillId="0" borderId="0" xfId="9819" applyFont="1" applyFill="1" applyAlignment="1">
      <alignment horizontal="center"/>
    </xf>
    <xf numFmtId="0" fontId="19" fillId="0" borderId="0" xfId="9819" applyFont="1" applyFill="1" applyAlignment="1"/>
    <xf numFmtId="0" fontId="19" fillId="14" borderId="9" xfId="9819" applyFont="1" applyFill="1" applyBorder="1"/>
    <xf numFmtId="0" fontId="19" fillId="0" borderId="9" xfId="9820" applyFont="1" applyBorder="1" applyAlignment="1">
      <alignment wrapText="1"/>
    </xf>
    <xf numFmtId="0" fontId="19" fillId="15" borderId="9" xfId="9820" applyFont="1" applyFill="1" applyBorder="1" applyAlignment="1">
      <alignment wrapText="1"/>
    </xf>
    <xf numFmtId="0" fontId="19" fillId="0" borderId="0" xfId="9820" applyFont="1" applyAlignment="1">
      <alignment wrapText="1"/>
    </xf>
    <xf numFmtId="0" fontId="178" fillId="0" borderId="0" xfId="9820" applyFont="1" applyFill="1"/>
    <xf numFmtId="0" fontId="44" fillId="0" borderId="0" xfId="9820" applyFont="1" applyFill="1" applyAlignment="1">
      <alignment wrapText="1"/>
    </xf>
    <xf numFmtId="0" fontId="174" fillId="0" borderId="0" xfId="9820" applyFont="1" applyFill="1" applyAlignment="1">
      <alignment wrapText="1"/>
    </xf>
    <xf numFmtId="0" fontId="59" fillId="0" borderId="0" xfId="9820" applyFont="1" applyAlignment="1"/>
    <xf numFmtId="37" fontId="51" fillId="0" borderId="9" xfId="9820" applyNumberFormat="1" applyFont="1" applyFill="1" applyBorder="1"/>
    <xf numFmtId="277" fontId="171" fillId="0" borderId="9" xfId="9820" applyNumberFormat="1" applyFont="1" applyFill="1" applyBorder="1"/>
    <xf numFmtId="41" fontId="19" fillId="15" borderId="0" xfId="9820" applyNumberFormat="1" applyFont="1" applyFill="1" applyBorder="1"/>
    <xf numFmtId="0" fontId="172" fillId="0" borderId="0" xfId="187" applyFont="1"/>
    <xf numFmtId="43" fontId="19" fillId="15" borderId="0" xfId="59" applyFont="1" applyFill="1"/>
    <xf numFmtId="0" fontId="44" fillId="15" borderId="0" xfId="187" applyFont="1" applyFill="1"/>
    <xf numFmtId="175" fontId="19" fillId="0" borderId="14" xfId="59" applyNumberFormat="1" applyFont="1" applyBorder="1"/>
    <xf numFmtId="0" fontId="19" fillId="0" borderId="0" xfId="187" applyFont="1"/>
    <xf numFmtId="0" fontId="26" fillId="0" borderId="0" xfId="187" applyFont="1" applyAlignment="1">
      <alignment horizontal="center"/>
    </xf>
    <xf numFmtId="0" fontId="26" fillId="0" borderId="0" xfId="187" applyFont="1"/>
    <xf numFmtId="0" fontId="19" fillId="0" borderId="0" xfId="187" applyFont="1" applyAlignment="1">
      <alignment horizontal="center" wrapText="1"/>
    </xf>
    <xf numFmtId="175" fontId="19" fillId="0" borderId="0" xfId="537" applyNumberFormat="1" applyFont="1" applyBorder="1" applyAlignment="1">
      <alignment vertical="center" wrapText="1"/>
    </xf>
    <xf numFmtId="175" fontId="19" fillId="0" borderId="0" xfId="537" applyNumberFormat="1" applyFont="1" applyBorder="1" applyAlignment="1">
      <alignment horizontal="right" vertical="center" wrapText="1"/>
    </xf>
    <xf numFmtId="175" fontId="19" fillId="15" borderId="0" xfId="537" applyNumberFormat="1" applyFont="1" applyFill="1" applyBorder="1" applyAlignment="1">
      <alignment vertical="center" wrapText="1"/>
    </xf>
    <xf numFmtId="175" fontId="44" fillId="0" borderId="0" xfId="537" applyNumberFormat="1" applyFont="1" applyFill="1" applyBorder="1" applyAlignment="1">
      <alignment vertical="center" wrapText="1"/>
    </xf>
    <xf numFmtId="175" fontId="19" fillId="0" borderId="0" xfId="537" applyNumberFormat="1" applyFont="1" applyFill="1" applyBorder="1" applyAlignment="1">
      <alignment horizontal="right" vertical="center" wrapText="1"/>
    </xf>
    <xf numFmtId="10" fontId="19" fillId="0" borderId="0" xfId="9823" applyNumberFormat="1" applyFont="1"/>
    <xf numFmtId="175" fontId="19" fillId="0" borderId="3" xfId="537" applyNumberFormat="1" applyFont="1" applyBorder="1" applyAlignment="1">
      <alignment vertical="center" wrapText="1"/>
    </xf>
    <xf numFmtId="10" fontId="180" fillId="0" borderId="0" xfId="9824" applyNumberFormat="1" applyFont="1" applyBorder="1" applyAlignment="1">
      <alignment vertical="center" wrapText="1"/>
    </xf>
    <xf numFmtId="10" fontId="19" fillId="0" borderId="0" xfId="9824" applyNumberFormat="1" applyFont="1" applyBorder="1" applyAlignment="1">
      <alignment vertical="center" wrapText="1"/>
    </xf>
    <xf numFmtId="175" fontId="19" fillId="0" borderId="0" xfId="537" applyNumberFormat="1" applyFont="1" applyFill="1" applyBorder="1" applyAlignment="1">
      <alignment vertical="center" wrapText="1"/>
    </xf>
    <xf numFmtId="175" fontId="19" fillId="0" borderId="1" xfId="537" applyNumberFormat="1" applyFont="1" applyBorder="1" applyAlignment="1">
      <alignment vertical="center" wrapText="1"/>
    </xf>
    <xf numFmtId="0" fontId="19" fillId="0" borderId="0" xfId="187" applyFont="1" applyFill="1"/>
    <xf numFmtId="0" fontId="26" fillId="0" borderId="0" xfId="187" applyFont="1" applyFill="1"/>
    <xf numFmtId="175" fontId="26" fillId="0" borderId="0" xfId="537" applyNumberFormat="1" applyFont="1" applyFill="1" applyBorder="1" applyAlignment="1">
      <alignment horizontal="right" vertical="center" wrapText="1"/>
    </xf>
    <xf numFmtId="10" fontId="26" fillId="0" borderId="0" xfId="9823" applyNumberFormat="1" applyFont="1"/>
    <xf numFmtId="175" fontId="26" fillId="0" borderId="0" xfId="537" applyNumberFormat="1" applyFont="1" applyBorder="1" applyAlignment="1">
      <alignment horizontal="right" vertical="center" wrapText="1"/>
    </xf>
    <xf numFmtId="175" fontId="26" fillId="0" borderId="0" xfId="537" applyNumberFormat="1" applyFont="1" applyFill="1" applyBorder="1" applyAlignment="1">
      <alignment vertical="center" wrapText="1"/>
    </xf>
    <xf numFmtId="10" fontId="180" fillId="0" borderId="0" xfId="9824" applyNumberFormat="1" applyFont="1" applyFill="1" applyBorder="1" applyAlignment="1">
      <alignment vertical="center" wrapText="1"/>
    </xf>
    <xf numFmtId="10" fontId="19" fillId="0" borderId="0" xfId="9824" applyNumberFormat="1" applyFont="1" applyFill="1" applyBorder="1" applyAlignment="1">
      <alignment vertical="center" wrapText="1"/>
    </xf>
    <xf numFmtId="0" fontId="18" fillId="0" borderId="0" xfId="9820" applyFont="1" applyAlignment="1">
      <alignment horizontal="left"/>
    </xf>
    <xf numFmtId="37" fontId="44" fillId="0" borderId="0" xfId="187" applyNumberFormat="1" applyFont="1" applyAlignment="1">
      <alignment horizontal="right"/>
    </xf>
    <xf numFmtId="0" fontId="26" fillId="0" borderId="0" xfId="9820" applyFont="1" applyAlignment="1">
      <alignment horizontal="center"/>
    </xf>
    <xf numFmtId="0" fontId="19" fillId="0" borderId="0" xfId="9820" applyFont="1" applyAlignment="1">
      <alignment horizontal="left"/>
    </xf>
    <xf numFmtId="0" fontId="21" fillId="0" borderId="0" xfId="187" applyFont="1" applyFill="1" applyAlignment="1"/>
    <xf numFmtId="0" fontId="26" fillId="0" borderId="0" xfId="187" applyFont="1" applyAlignment="1"/>
    <xf numFmtId="0" fontId="19" fillId="14" borderId="9" xfId="9819" applyNumberFormat="1" applyFont="1" applyFill="1" applyBorder="1" applyAlignment="1">
      <alignment vertical="top" wrapText="1"/>
    </xf>
    <xf numFmtId="41" fontId="19" fillId="14" borderId="9" xfId="9820" applyNumberFormat="1" applyFont="1" applyFill="1" applyBorder="1" applyAlignment="1">
      <alignment horizontal="right" vertical="top"/>
    </xf>
    <xf numFmtId="41" fontId="19" fillId="15" borderId="9" xfId="9820" applyNumberFormat="1" applyFont="1" applyFill="1" applyBorder="1" applyAlignment="1">
      <alignment horizontal="right" vertical="top"/>
    </xf>
    <xf numFmtId="41" fontId="19" fillId="14" borderId="9" xfId="9820" applyNumberFormat="1" applyFont="1" applyFill="1" applyBorder="1" applyAlignment="1">
      <alignment horizontal="center" vertical="top"/>
    </xf>
    <xf numFmtId="0" fontId="19" fillId="15" borderId="9" xfId="9820" applyFont="1" applyFill="1" applyBorder="1" applyAlignment="1">
      <alignment vertical="top"/>
    </xf>
    <xf numFmtId="41" fontId="19" fillId="15" borderId="9" xfId="9820" applyNumberFormat="1" applyFont="1" applyFill="1" applyBorder="1" applyAlignment="1">
      <alignment horizontal="center" vertical="top"/>
    </xf>
    <xf numFmtId="0" fontId="19" fillId="0" borderId="9" xfId="9820" applyFont="1" applyBorder="1" applyAlignment="1">
      <alignment vertical="top"/>
    </xf>
    <xf numFmtId="175" fontId="19" fillId="0" borderId="9" xfId="9820" applyNumberFormat="1" applyFont="1" applyBorder="1" applyAlignment="1">
      <alignment vertical="top"/>
    </xf>
    <xf numFmtId="175" fontId="19" fillId="0" borderId="9" xfId="9820" applyNumberFormat="1" applyFont="1" applyFill="1" applyBorder="1" applyAlignment="1">
      <alignment vertical="top"/>
    </xf>
    <xf numFmtId="41" fontId="19" fillId="0" borderId="9" xfId="9820" applyNumberFormat="1" applyFont="1" applyFill="1" applyBorder="1" applyAlignment="1">
      <alignment horizontal="right" vertical="top"/>
    </xf>
    <xf numFmtId="0" fontId="44" fillId="0" borderId="9" xfId="9820" applyFont="1" applyFill="1" applyBorder="1" applyAlignment="1">
      <alignment vertical="top"/>
    </xf>
    <xf numFmtId="41" fontId="19" fillId="0" borderId="9" xfId="9820" applyNumberFormat="1" applyFont="1" applyBorder="1" applyAlignment="1">
      <alignment vertical="top"/>
    </xf>
    <xf numFmtId="37" fontId="19" fillId="0" borderId="9" xfId="9820" applyNumberFormat="1" applyFont="1" applyFill="1" applyBorder="1" applyAlignment="1">
      <alignment vertical="top"/>
    </xf>
    <xf numFmtId="277" fontId="171" fillId="0" borderId="9" xfId="9820" applyNumberFormat="1" applyFont="1" applyFill="1" applyBorder="1" applyAlignment="1">
      <alignment vertical="top"/>
    </xf>
    <xf numFmtId="0" fontId="19" fillId="0" borderId="22" xfId="9820" applyFont="1" applyBorder="1" applyAlignment="1">
      <alignment vertical="top"/>
    </xf>
    <xf numFmtId="37" fontId="19" fillId="0" borderId="16" xfId="9820" applyNumberFormat="1" applyFont="1" applyFill="1" applyBorder="1" applyAlignment="1">
      <alignment vertical="top"/>
    </xf>
    <xf numFmtId="37" fontId="19" fillId="0" borderId="4" xfId="9820" applyNumberFormat="1" applyFont="1" applyFill="1" applyBorder="1" applyAlignment="1">
      <alignment vertical="top"/>
    </xf>
    <xf numFmtId="0" fontId="44" fillId="0" borderId="0" xfId="9820" applyFont="1" applyFill="1" applyBorder="1" applyAlignment="1">
      <alignment vertical="top"/>
    </xf>
    <xf numFmtId="0" fontId="19" fillId="0" borderId="0" xfId="9820" applyFont="1" applyBorder="1" applyAlignment="1">
      <alignment vertical="top"/>
    </xf>
    <xf numFmtId="37" fontId="19" fillId="0" borderId="0" xfId="9820" applyNumberFormat="1" applyFont="1" applyFill="1" applyBorder="1" applyAlignment="1">
      <alignment vertical="top"/>
    </xf>
    <xf numFmtId="0" fontId="21" fillId="0" borderId="0" xfId="187" applyFont="1" applyAlignment="1">
      <alignment horizontal="center"/>
    </xf>
    <xf numFmtId="0" fontId="49" fillId="0" borderId="0" xfId="9820" applyFont="1" applyFill="1"/>
    <xf numFmtId="0" fontId="26" fillId="0" borderId="0" xfId="187" applyFont="1" applyFill="1" applyAlignment="1"/>
    <xf numFmtId="0" fontId="178" fillId="0" borderId="0" xfId="9820" applyFont="1" applyFill="1" applyAlignment="1">
      <alignment horizontal="center"/>
    </xf>
    <xf numFmtId="41" fontId="19" fillId="15" borderId="9" xfId="9820" applyNumberFormat="1" applyFont="1" applyFill="1" applyBorder="1" applyAlignment="1">
      <alignment vertical="top"/>
    </xf>
    <xf numFmtId="177" fontId="19" fillId="14" borderId="9" xfId="9820" applyNumberFormat="1" applyFont="1" applyFill="1" applyBorder="1" applyAlignment="1">
      <alignment horizontal="center" vertical="top"/>
    </xf>
    <xf numFmtId="0" fontId="19" fillId="14" borderId="9" xfId="187" applyNumberFormat="1" applyFont="1" applyFill="1" applyBorder="1" applyAlignment="1">
      <alignment vertical="top" wrapText="1"/>
    </xf>
    <xf numFmtId="0" fontId="181" fillId="14" borderId="9" xfId="9819" applyNumberFormat="1" applyFont="1" applyFill="1" applyBorder="1" applyAlignment="1">
      <alignment vertical="top" wrapText="1"/>
    </xf>
    <xf numFmtId="0" fontId="19" fillId="15" borderId="9" xfId="187" applyNumberFormat="1" applyFont="1" applyFill="1" applyBorder="1" applyAlignment="1">
      <alignment vertical="top" wrapText="1"/>
    </xf>
    <xf numFmtId="41" fontId="19" fillId="0" borderId="9" xfId="9820" applyNumberFormat="1" applyFont="1" applyFill="1" applyBorder="1" applyAlignment="1">
      <alignment vertical="top"/>
    </xf>
    <xf numFmtId="37" fontId="19" fillId="0" borderId="9" xfId="9820" applyNumberFormat="1" applyFont="1" applyBorder="1" applyAlignment="1">
      <alignment vertical="top"/>
    </xf>
    <xf numFmtId="37" fontId="19" fillId="0" borderId="0" xfId="9820" applyNumberFormat="1" applyFont="1" applyFill="1" applyBorder="1" applyAlignment="1">
      <alignment horizontal="center" vertical="top"/>
    </xf>
    <xf numFmtId="0" fontId="18" fillId="0" borderId="0" xfId="187" applyFont="1" applyFill="1"/>
    <xf numFmtId="0" fontId="59" fillId="0" borderId="0" xfId="9820" applyFont="1" applyFill="1"/>
    <xf numFmtId="37" fontId="44" fillId="0" borderId="0" xfId="9820" applyNumberFormat="1" applyFont="1" applyFill="1" applyBorder="1" applyAlignment="1">
      <alignment vertical="top"/>
    </xf>
    <xf numFmtId="37" fontId="44" fillId="0" borderId="0" xfId="9820" applyNumberFormat="1" applyFont="1" applyFill="1" applyBorder="1" applyAlignment="1">
      <alignment horizontal="center" vertical="top"/>
    </xf>
    <xf numFmtId="0" fontId="44" fillId="0" borderId="0" xfId="9820" applyFont="1" applyFill="1" applyBorder="1" applyAlignment="1">
      <alignment horizontal="center"/>
    </xf>
    <xf numFmtId="37" fontId="44" fillId="0" borderId="0" xfId="9820" applyNumberFormat="1" applyFont="1" applyFill="1" applyAlignment="1">
      <alignment horizontal="center"/>
    </xf>
    <xf numFmtId="41" fontId="182" fillId="0" borderId="0" xfId="9820" quotePrefix="1" applyNumberFormat="1" applyFont="1" applyFill="1" applyBorder="1" applyAlignment="1">
      <alignment horizontal="center"/>
    </xf>
    <xf numFmtId="0" fontId="182" fillId="0" borderId="0" xfId="9820" applyFont="1" applyFill="1" applyBorder="1" applyAlignment="1">
      <alignment horizontal="center"/>
    </xf>
    <xf numFmtId="37" fontId="182" fillId="0" borderId="0" xfId="9820" applyNumberFormat="1" applyFont="1" applyFill="1" applyBorder="1" applyAlignment="1">
      <alignment horizontal="center"/>
    </xf>
    <xf numFmtId="0" fontId="44" fillId="15" borderId="9" xfId="9820" applyFont="1" applyFill="1" applyBorder="1"/>
    <xf numFmtId="37" fontId="19" fillId="15" borderId="9" xfId="9820" applyNumberFormat="1" applyFont="1" applyFill="1" applyBorder="1"/>
    <xf numFmtId="41" fontId="19" fillId="0" borderId="0" xfId="9820" applyNumberFormat="1" applyFont="1" applyFill="1" applyBorder="1"/>
    <xf numFmtId="41" fontId="59" fillId="0" borderId="0" xfId="9825" applyFont="1" applyFill="1" applyBorder="1"/>
    <xf numFmtId="41" fontId="44" fillId="0" borderId="0" xfId="9820" applyNumberFormat="1" applyFont="1" applyFill="1"/>
    <xf numFmtId="175" fontId="44" fillId="0" borderId="0" xfId="9820" applyNumberFormat="1" applyFont="1" applyFill="1"/>
    <xf numFmtId="41" fontId="44" fillId="0" borderId="14" xfId="9820" applyNumberFormat="1" applyFont="1" applyFill="1" applyBorder="1"/>
    <xf numFmtId="37" fontId="44" fillId="0" borderId="0" xfId="9820" applyNumberFormat="1" applyFont="1" applyFill="1" applyBorder="1" applyAlignment="1">
      <alignment horizontal="right" vertical="top"/>
    </xf>
    <xf numFmtId="0" fontId="21" fillId="0" borderId="0" xfId="9820" applyFont="1" applyFill="1" applyBorder="1"/>
    <xf numFmtId="0" fontId="66" fillId="0" borderId="0" xfId="9820" applyFont="1" applyFill="1"/>
    <xf numFmtId="37" fontId="44" fillId="0" borderId="0" xfId="9820" applyNumberFormat="1" applyFont="1" applyFill="1" applyAlignment="1">
      <alignment horizontal="right"/>
    </xf>
    <xf numFmtId="0" fontId="66" fillId="0" borderId="0" xfId="9820" applyFont="1" applyAlignment="1">
      <alignment horizontal="center"/>
    </xf>
    <xf numFmtId="0" fontId="66" fillId="0" borderId="0" xfId="9820" applyFont="1"/>
    <xf numFmtId="3" fontId="183" fillId="0" borderId="0" xfId="210" applyNumberFormat="1" applyFont="1" applyFill="1" applyAlignment="1"/>
    <xf numFmtId="183" fontId="183" fillId="0" borderId="0" xfId="59" applyNumberFormat="1" applyFont="1" applyAlignment="1">
      <alignment horizontal="right"/>
    </xf>
    <xf numFmtId="183" fontId="183" fillId="0" borderId="0" xfId="59" applyNumberFormat="1" applyFont="1" applyAlignment="1"/>
    <xf numFmtId="0" fontId="172" fillId="0" borderId="0" xfId="187" applyFont="1" applyAlignment="1">
      <alignment horizontal="center"/>
    </xf>
    <xf numFmtId="0" fontId="19" fillId="0" borderId="0" xfId="9820" applyFont="1" applyFill="1" applyBorder="1" applyAlignment="1">
      <alignment horizontal="left"/>
    </xf>
    <xf numFmtId="0" fontId="106" fillId="0" borderId="0" xfId="9826" applyFont="1"/>
    <xf numFmtId="0" fontId="26" fillId="0" borderId="0" xfId="9826" applyFont="1" applyBorder="1" applyAlignment="1">
      <alignment horizontal="center"/>
    </xf>
    <xf numFmtId="0" fontId="149" fillId="0" borderId="0" xfId="9826" applyFont="1" applyAlignment="1">
      <alignment horizontal="center"/>
    </xf>
    <xf numFmtId="0" fontId="18" fillId="0" borderId="0" xfId="9826" applyFont="1" applyBorder="1"/>
    <xf numFmtId="0" fontId="149" fillId="0" borderId="0" xfId="9826" applyFont="1" applyBorder="1"/>
    <xf numFmtId="0" fontId="149" fillId="0" borderId="0" xfId="9826" applyFont="1" applyFill="1" applyBorder="1"/>
    <xf numFmtId="0" fontId="179" fillId="0" borderId="0" xfId="9826" applyFont="1"/>
    <xf numFmtId="0" fontId="19" fillId="0" borderId="0" xfId="9826" applyFont="1" applyAlignment="1">
      <alignment horizontal="center"/>
    </xf>
    <xf numFmtId="0" fontId="19" fillId="0" borderId="0" xfId="9826" applyFont="1" applyBorder="1"/>
    <xf numFmtId="0" fontId="19" fillId="0" borderId="0" xfId="9826" applyFont="1" applyBorder="1" applyAlignment="1">
      <alignment horizontal="center"/>
    </xf>
    <xf numFmtId="0" fontId="19" fillId="0" borderId="1" xfId="9826" applyFont="1" applyBorder="1" applyAlignment="1">
      <alignment horizontal="center"/>
    </xf>
    <xf numFmtId="0" fontId="174" fillId="0" borderId="0" xfId="9826" applyFont="1" applyBorder="1"/>
    <xf numFmtId="0" fontId="19" fillId="0" borderId="0" xfId="9826" quotePrefix="1" applyFont="1" applyBorder="1" applyAlignment="1">
      <alignment horizontal="center"/>
    </xf>
    <xf numFmtId="0" fontId="19" fillId="15" borderId="0" xfId="9826" applyFont="1" applyFill="1" applyBorder="1" applyAlignment="1">
      <alignment wrapText="1"/>
    </xf>
    <xf numFmtId="41" fontId="19" fillId="0" borderId="0" xfId="9826" applyNumberFormat="1" applyFont="1" applyBorder="1"/>
    <xf numFmtId="0" fontId="19" fillId="0" borderId="0" xfId="9826" applyFont="1" applyFill="1" applyBorder="1"/>
    <xf numFmtId="0" fontId="19" fillId="0" borderId="0" xfId="9826" applyFont="1" applyBorder="1" applyAlignment="1">
      <alignment horizontal="right"/>
    </xf>
    <xf numFmtId="41" fontId="19" fillId="0" borderId="14" xfId="9826" applyNumberFormat="1" applyFont="1" applyBorder="1"/>
    <xf numFmtId="41" fontId="19" fillId="0" borderId="0" xfId="9827" applyFont="1" applyBorder="1"/>
    <xf numFmtId="0" fontId="44" fillId="0" borderId="0" xfId="9826" applyFont="1" applyBorder="1" applyAlignment="1">
      <alignment horizontal="center"/>
    </xf>
    <xf numFmtId="0" fontId="19" fillId="15" borderId="0" xfId="9826" applyFont="1" applyFill="1" applyBorder="1"/>
    <xf numFmtId="0" fontId="106" fillId="0" borderId="0" xfId="9826" applyFont="1" applyFill="1"/>
    <xf numFmtId="0" fontId="106" fillId="0" borderId="0" xfId="9826" applyFont="1" applyBorder="1"/>
    <xf numFmtId="41" fontId="19" fillId="15" borderId="0" xfId="9826" applyNumberFormat="1" applyFont="1" applyFill="1" applyBorder="1"/>
    <xf numFmtId="0" fontId="19" fillId="15" borderId="0" xfId="9826" applyFont="1" applyFill="1"/>
    <xf numFmtId="0" fontId="19" fillId="0" borderId="0" xfId="9826" applyFont="1"/>
    <xf numFmtId="0" fontId="19" fillId="0" borderId="0" xfId="9826" applyFont="1" applyAlignment="1">
      <alignment horizontal="right"/>
    </xf>
    <xf numFmtId="0" fontId="174" fillId="0" borderId="0" xfId="9826" applyFont="1"/>
    <xf numFmtId="0" fontId="19" fillId="15" borderId="0" xfId="9826" applyFont="1" applyFill="1" applyBorder="1" applyAlignment="1"/>
    <xf numFmtId="0" fontId="44" fillId="15" borderId="0" xfId="9826" applyFont="1" applyFill="1"/>
    <xf numFmtId="41" fontId="19" fillId="0" borderId="0" xfId="9826" applyNumberFormat="1" applyFont="1"/>
    <xf numFmtId="0" fontId="106" fillId="0" borderId="0" xfId="9826" applyFont="1" applyAlignment="1">
      <alignment horizontal="center"/>
    </xf>
    <xf numFmtId="0" fontId="21" fillId="0" borderId="0" xfId="9826" applyFont="1" applyFill="1"/>
    <xf numFmtId="0" fontId="26" fillId="0" borderId="0" xfId="9826" applyFont="1"/>
    <xf numFmtId="0" fontId="44" fillId="0" borderId="0" xfId="9826" applyFont="1" applyBorder="1" applyAlignment="1">
      <alignment vertical="center"/>
    </xf>
    <xf numFmtId="0" fontId="44" fillId="0" borderId="0" xfId="9826" applyFont="1" applyBorder="1" applyAlignment="1">
      <alignment horizontal="center" vertical="center" wrapText="1"/>
    </xf>
    <xf numFmtId="0" fontId="44" fillId="0" borderId="22" xfId="9826" applyFont="1" applyBorder="1" applyAlignment="1">
      <alignment horizontal="center" vertical="center"/>
    </xf>
    <xf numFmtId="0" fontId="19" fillId="0" borderId="15" xfId="9826" applyFont="1" applyBorder="1" applyAlignment="1">
      <alignment horizontal="center" vertical="center" wrapText="1"/>
    </xf>
    <xf numFmtId="0" fontId="19" fillId="0" borderId="0" xfId="9826" applyFont="1" applyBorder="1" applyAlignment="1">
      <alignment horizontal="center" vertical="center" wrapText="1"/>
    </xf>
    <xf numFmtId="0" fontId="19" fillId="0" borderId="0" xfId="9826" applyFont="1" applyBorder="1" applyAlignment="1">
      <alignment horizontal="left" vertical="center"/>
    </xf>
    <xf numFmtId="15" fontId="19" fillId="0" borderId="0" xfId="9826" applyNumberFormat="1" applyFont="1" applyBorder="1" applyAlignment="1">
      <alignment vertical="center" wrapText="1"/>
    </xf>
    <xf numFmtId="0" fontId="19" fillId="0" borderId="3" xfId="9826" applyFont="1" applyFill="1" applyBorder="1" applyAlignment="1">
      <alignment vertical="center" wrapText="1"/>
    </xf>
    <xf numFmtId="175" fontId="19" fillId="0" borderId="3" xfId="9826" applyNumberFormat="1" applyFont="1" applyBorder="1" applyAlignment="1">
      <alignment vertical="center" wrapText="1"/>
    </xf>
    <xf numFmtId="0" fontId="19" fillId="0" borderId="3" xfId="9826" applyFont="1" applyBorder="1" applyAlignment="1">
      <alignment horizontal="right" vertical="center" wrapText="1"/>
    </xf>
    <xf numFmtId="0" fontId="19" fillId="0" borderId="0" xfId="9826" applyFont="1" applyBorder="1" applyAlignment="1">
      <alignment vertical="center" wrapText="1"/>
    </xf>
    <xf numFmtId="175" fontId="19" fillId="0" borderId="0" xfId="9826" applyNumberFormat="1" applyFont="1" applyFill="1" applyBorder="1" applyAlignment="1">
      <alignment vertical="center" wrapText="1"/>
    </xf>
    <xf numFmtId="175" fontId="19" fillId="0" borderId="0" xfId="9826" applyNumberFormat="1" applyFont="1" applyBorder="1" applyAlignment="1">
      <alignment vertical="center" wrapText="1"/>
    </xf>
    <xf numFmtId="0" fontId="19" fillId="0" borderId="0" xfId="9826" applyFont="1" applyBorder="1" applyAlignment="1">
      <alignment horizontal="right" vertical="center" wrapText="1"/>
    </xf>
    <xf numFmtId="0" fontId="180" fillId="0" borderId="0" xfId="9826" applyFont="1"/>
    <xf numFmtId="0" fontId="19" fillId="0" borderId="0" xfId="9826" applyFont="1" applyBorder="1" applyAlignment="1">
      <alignment horizontal="justify" vertical="center" wrapText="1"/>
    </xf>
    <xf numFmtId="0" fontId="19" fillId="0" borderId="0" xfId="9826" applyFont="1" applyFill="1"/>
    <xf numFmtId="175" fontId="19" fillId="15" borderId="1" xfId="9826" applyNumberFormat="1" applyFont="1" applyFill="1" applyBorder="1"/>
    <xf numFmtId="175" fontId="44" fillId="0" borderId="14" xfId="9826" applyNumberFormat="1" applyFont="1" applyFill="1" applyBorder="1"/>
    <xf numFmtId="175" fontId="19" fillId="0" borderId="0" xfId="9826" applyNumberFormat="1" applyFont="1" applyFill="1"/>
    <xf numFmtId="0" fontId="26" fillId="0" borderId="0" xfId="9826" applyFont="1" applyAlignment="1">
      <alignment horizontal="center"/>
    </xf>
    <xf numFmtId="0" fontId="21" fillId="0" borderId="0" xfId="9826" applyFont="1"/>
    <xf numFmtId="0" fontId="44" fillId="0" borderId="0" xfId="9826" applyFont="1"/>
    <xf numFmtId="0" fontId="19" fillId="0" borderId="0" xfId="9826" applyFont="1" applyFill="1" applyBorder="1" applyAlignment="1">
      <alignment horizontal="right" vertical="center" wrapText="1"/>
    </xf>
    <xf numFmtId="0" fontId="26" fillId="0" borderId="0" xfId="9826" applyFont="1" applyFill="1"/>
    <xf numFmtId="0" fontId="19" fillId="0" borderId="0" xfId="9826" applyFont="1" applyFill="1" applyBorder="1" applyAlignment="1">
      <alignment horizontal="justify" vertical="center" wrapText="1"/>
    </xf>
    <xf numFmtId="0" fontId="19" fillId="0" borderId="0" xfId="9826" applyFont="1" applyFill="1" applyBorder="1" applyAlignment="1">
      <alignment vertical="center" wrapText="1"/>
    </xf>
    <xf numFmtId="175" fontId="19" fillId="0" borderId="0" xfId="9826" applyNumberFormat="1" applyFont="1" applyBorder="1"/>
    <xf numFmtId="41" fontId="44" fillId="0" borderId="0" xfId="9820" quotePrefix="1" applyNumberFormat="1" applyFont="1" applyFill="1" applyBorder="1" applyAlignment="1">
      <alignment horizontal="center"/>
    </xf>
    <xf numFmtId="0" fontId="19" fillId="15" borderId="16" xfId="9820" applyFont="1" applyFill="1" applyBorder="1"/>
    <xf numFmtId="0" fontId="19" fillId="15" borderId="7" xfId="9820" applyFont="1" applyFill="1" applyBorder="1"/>
    <xf numFmtId="0" fontId="19" fillId="15" borderId="44" xfId="9820" applyFont="1" applyFill="1" applyBorder="1"/>
    <xf numFmtId="0" fontId="59" fillId="15" borderId="16" xfId="9820" applyFont="1" applyFill="1" applyBorder="1"/>
    <xf numFmtId="0" fontId="59" fillId="15" borderId="7" xfId="9820" applyFont="1" applyFill="1" applyBorder="1"/>
    <xf numFmtId="0" fontId="59" fillId="15" borderId="44" xfId="9820" applyFont="1" applyFill="1" applyBorder="1"/>
    <xf numFmtId="0" fontId="172" fillId="0" borderId="0" xfId="187" applyFont="1" applyAlignment="1"/>
    <xf numFmtId="0" fontId="19" fillId="15" borderId="0" xfId="9820" applyFont="1" applyFill="1"/>
    <xf numFmtId="0" fontId="44" fillId="0" borderId="0" xfId="210" applyNumberFormat="1" applyFont="1" applyAlignment="1"/>
    <xf numFmtId="0" fontId="19" fillId="0" borderId="0" xfId="210" applyNumberFormat="1" applyFont="1" applyAlignment="1"/>
    <xf numFmtId="3" fontId="19" fillId="0" borderId="0" xfId="210" applyNumberFormat="1" applyFont="1" applyAlignment="1"/>
    <xf numFmtId="175" fontId="19" fillId="15" borderId="0" xfId="59" applyNumberFormat="1" applyFont="1" applyFill="1" applyAlignment="1">
      <alignment horizontal="right"/>
    </xf>
    <xf numFmtId="175" fontId="19" fillId="0" borderId="0" xfId="59" applyNumberFormat="1" applyFont="1" applyFill="1" applyAlignment="1">
      <alignment horizontal="right"/>
    </xf>
    <xf numFmtId="0" fontId="19" fillId="14" borderId="0" xfId="9820" applyFont="1" applyFill="1" applyBorder="1" applyAlignment="1">
      <alignment vertical="top"/>
    </xf>
    <xf numFmtId="41" fontId="19" fillId="14" borderId="0" xfId="9820" applyNumberFormat="1" applyFont="1" applyFill="1" applyBorder="1" applyAlignment="1">
      <alignment vertical="top"/>
    </xf>
    <xf numFmtId="175" fontId="19" fillId="15" borderId="34" xfId="59" applyNumberFormat="1" applyFont="1" applyFill="1" applyBorder="1" applyAlignment="1">
      <alignment horizontal="right"/>
    </xf>
    <xf numFmtId="41" fontId="19" fillId="0" borderId="0" xfId="9820" applyNumberFormat="1" applyFont="1" applyFill="1" applyBorder="1" applyAlignment="1">
      <alignment vertical="top"/>
    </xf>
    <xf numFmtId="175" fontId="19" fillId="0" borderId="0" xfId="9820" applyNumberFormat="1" applyFont="1"/>
    <xf numFmtId="0" fontId="19" fillId="0" borderId="0" xfId="210" applyNumberFormat="1" applyFont="1" applyAlignment="1">
      <alignment horizontal="left"/>
    </xf>
    <xf numFmtId="3" fontId="19" fillId="0" borderId="0" xfId="210" applyNumberFormat="1" applyFont="1" applyFill="1" applyAlignment="1"/>
    <xf numFmtId="175" fontId="19" fillId="0" borderId="0" xfId="9820" applyNumberFormat="1" applyFont="1" applyFill="1"/>
    <xf numFmtId="175" fontId="19" fillId="0" borderId="14" xfId="9820" applyNumberFormat="1" applyFont="1" applyBorder="1"/>
    <xf numFmtId="37" fontId="174" fillId="0" borderId="0" xfId="9820" applyNumberFormat="1" applyFont="1" applyFill="1" applyBorder="1" applyAlignment="1">
      <alignment vertical="top"/>
    </xf>
    <xf numFmtId="0" fontId="19" fillId="0" borderId="0" xfId="9820" applyFont="1" applyFill="1" applyBorder="1" applyAlignment="1"/>
    <xf numFmtId="0" fontId="49" fillId="15" borderId="0" xfId="0" quotePrefix="1" applyNumberFormat="1" applyFont="1" applyFill="1" applyAlignment="1">
      <alignment horizontal="center"/>
    </xf>
    <xf numFmtId="175" fontId="49" fillId="15" borderId="0" xfId="59" applyNumberFormat="1" applyFont="1" applyFill="1" applyAlignment="1">
      <alignment horizontal="left"/>
    </xf>
    <xf numFmtId="37" fontId="59" fillId="0" borderId="0" xfId="0" applyNumberFormat="1" applyFont="1" applyAlignment="1"/>
    <xf numFmtId="37" fontId="59" fillId="0" borderId="0" xfId="0" applyNumberFormat="1" applyFont="1" applyBorder="1" applyAlignment="1"/>
    <xf numFmtId="37" fontId="19" fillId="0" borderId="0" xfId="9826" applyNumberFormat="1" applyFont="1"/>
    <xf numFmtId="37" fontId="19" fillId="0" borderId="0" xfId="9820" applyNumberFormat="1" applyFont="1"/>
    <xf numFmtId="0" fontId="19" fillId="15" borderId="0" xfId="9821" applyFont="1" applyFill="1" applyAlignment="1">
      <alignment wrapText="1"/>
    </xf>
    <xf numFmtId="0" fontId="19" fillId="15" borderId="0" xfId="9821" applyFont="1" applyFill="1"/>
    <xf numFmtId="0" fontId="19" fillId="14" borderId="0" xfId="9821" applyFont="1" applyFill="1"/>
    <xf numFmtId="37" fontId="19" fillId="0" borderId="14" xfId="9826" applyNumberFormat="1" applyFont="1" applyBorder="1"/>
    <xf numFmtId="37" fontId="19" fillId="0" borderId="0" xfId="9826" applyNumberFormat="1" applyFont="1" applyBorder="1"/>
    <xf numFmtId="37" fontId="19" fillId="15" borderId="0" xfId="9820" applyNumberFormat="1" applyFont="1" applyFill="1" applyBorder="1"/>
    <xf numFmtId="37" fontId="19" fillId="15" borderId="0" xfId="9821" applyNumberFormat="1" applyFont="1" applyFill="1" applyBorder="1"/>
    <xf numFmtId="37" fontId="19" fillId="0" borderId="14" xfId="59" applyNumberFormat="1" applyFont="1" applyBorder="1"/>
    <xf numFmtId="37" fontId="19" fillId="15" borderId="0" xfId="9826" applyNumberFormat="1" applyFont="1" applyFill="1" applyBorder="1"/>
    <xf numFmtId="37" fontId="19" fillId="0" borderId="0" xfId="9826" applyNumberFormat="1" applyFont="1" applyAlignment="1">
      <alignment horizontal="right"/>
    </xf>
    <xf numFmtId="0" fontId="19" fillId="14" borderId="9" xfId="9819" applyFill="1" applyBorder="1" applyAlignment="1">
      <alignment vertical="top" wrapText="1"/>
    </xf>
    <xf numFmtId="41" fontId="19" fillId="15" borderId="9" xfId="9820" applyNumberFormat="1" applyFill="1" applyBorder="1" applyAlignment="1">
      <alignment horizontal="center" vertical="top"/>
    </xf>
    <xf numFmtId="37" fontId="19" fillId="15" borderId="9" xfId="9820" applyNumberFormat="1" applyFont="1" applyFill="1" applyBorder="1" applyAlignment="1">
      <alignment vertical="top"/>
    </xf>
    <xf numFmtId="37" fontId="19" fillId="15" borderId="0" xfId="59" applyNumberFormat="1" applyFont="1" applyFill="1" applyAlignment="1">
      <alignment horizontal="right"/>
    </xf>
    <xf numFmtId="37" fontId="19" fillId="14" borderId="0" xfId="9820" applyNumberFormat="1" applyFont="1" applyFill="1" applyBorder="1" applyAlignment="1">
      <alignment vertical="top"/>
    </xf>
    <xf numFmtId="10" fontId="19" fillId="15" borderId="0" xfId="265" applyNumberFormat="1" applyFont="1" applyFill="1" applyAlignment="1">
      <alignment horizontal="right"/>
    </xf>
    <xf numFmtId="0" fontId="19" fillId="14" borderId="0" xfId="9820" applyFill="1" applyAlignment="1">
      <alignment vertical="top"/>
    </xf>
    <xf numFmtId="41" fontId="19" fillId="14" borderId="0" xfId="9820" applyNumberFormat="1" applyFill="1" applyAlignment="1">
      <alignment vertical="top"/>
    </xf>
    <xf numFmtId="37" fontId="19" fillId="15" borderId="34" xfId="59" applyNumberFormat="1" applyFont="1" applyFill="1" applyBorder="1" applyAlignment="1">
      <alignment horizontal="right"/>
    </xf>
    <xf numFmtId="37" fontId="19" fillId="0" borderId="0" xfId="59" applyNumberFormat="1" applyFont="1" applyFill="1" applyAlignment="1">
      <alignment horizontal="right"/>
    </xf>
    <xf numFmtId="37" fontId="19" fillId="0" borderId="14" xfId="9820" applyNumberFormat="1" applyFont="1" applyBorder="1"/>
    <xf numFmtId="175" fontId="19" fillId="0" borderId="0" xfId="59" applyNumberFormat="1" applyFont="1" applyFill="1"/>
    <xf numFmtId="37" fontId="175" fillId="14" borderId="9" xfId="9820" applyNumberFormat="1" applyFont="1" applyFill="1" applyBorder="1" applyAlignment="1"/>
    <xf numFmtId="37" fontId="175" fillId="14" borderId="9" xfId="9820" applyNumberFormat="1" applyFont="1" applyFill="1" applyBorder="1"/>
    <xf numFmtId="37" fontId="19" fillId="0" borderId="9" xfId="59" applyNumberFormat="1" applyFont="1" applyFill="1" applyBorder="1" applyAlignment="1">
      <alignment horizontal="right"/>
    </xf>
    <xf numFmtId="37" fontId="59" fillId="15" borderId="0" xfId="59" applyNumberFormat="1" applyFont="1" applyFill="1" applyAlignment="1"/>
    <xf numFmtId="37" fontId="59" fillId="0" borderId="0" xfId="59" applyNumberFormat="1" applyFont="1" applyFill="1" applyAlignment="1"/>
    <xf numFmtId="37" fontId="59" fillId="0" borderId="0" xfId="59" applyNumberFormat="1" applyFont="1" applyAlignment="1"/>
    <xf numFmtId="37" fontId="59" fillId="14" borderId="0" xfId="59" applyNumberFormat="1" applyFont="1" applyFill="1" applyAlignment="1"/>
    <xf numFmtId="37" fontId="59" fillId="0" borderId="0" xfId="59" applyNumberFormat="1" applyFont="1" applyFill="1" applyBorder="1" applyAlignment="1"/>
    <xf numFmtId="37" fontId="59" fillId="0" borderId="8" xfId="59" applyNumberFormat="1" applyFont="1" applyFill="1" applyBorder="1" applyAlignment="1"/>
    <xf numFmtId="37" fontId="59" fillId="0" borderId="0" xfId="59" applyNumberFormat="1" applyFont="1" applyBorder="1" applyAlignment="1"/>
    <xf numFmtId="37" fontId="59" fillId="0" borderId="8" xfId="59" applyNumberFormat="1" applyFont="1" applyBorder="1" applyAlignment="1"/>
    <xf numFmtId="37" fontId="59" fillId="14" borderId="0" xfId="59" applyNumberFormat="1" applyFont="1" applyFill="1" applyBorder="1" applyAlignment="1"/>
    <xf numFmtId="37" fontId="59" fillId="15" borderId="8" xfId="59" applyNumberFormat="1" applyFont="1" applyFill="1" applyBorder="1" applyAlignment="1"/>
    <xf numFmtId="37" fontId="59" fillId="0" borderId="23" xfId="59" applyNumberFormat="1" applyFont="1" applyBorder="1" applyAlignment="1"/>
    <xf numFmtId="37" fontId="59" fillId="0" borderId="0" xfId="59" applyNumberFormat="1" applyFont="1" applyAlignment="1">
      <alignment horizontal="right"/>
    </xf>
    <xf numFmtId="37" fontId="59" fillId="0" borderId="8" xfId="59" applyNumberFormat="1" applyFont="1" applyBorder="1" applyAlignment="1">
      <alignment horizontal="right"/>
    </xf>
    <xf numFmtId="37" fontId="59" fillId="14" borderId="8" xfId="59" applyNumberFormat="1" applyFont="1" applyFill="1" applyBorder="1" applyAlignment="1"/>
    <xf numFmtId="37" fontId="59" fillId="0" borderId="11" xfId="59" applyNumberFormat="1" applyFont="1" applyFill="1" applyBorder="1" applyAlignment="1"/>
    <xf numFmtId="37" fontId="59" fillId="14" borderId="0" xfId="93" applyNumberFormat="1" applyFont="1" applyFill="1" applyBorder="1" applyAlignment="1"/>
    <xf numFmtId="37" fontId="59" fillId="0" borderId="3" xfId="59" applyNumberFormat="1" applyFont="1" applyFill="1" applyBorder="1" applyAlignment="1"/>
    <xf numFmtId="37" fontId="59" fillId="0" borderId="1" xfId="201" applyNumberFormat="1" applyFont="1" applyFill="1" applyBorder="1" applyAlignment="1"/>
    <xf numFmtId="37" fontId="59" fillId="0" borderId="7" xfId="59" applyNumberFormat="1" applyFont="1" applyFill="1" applyBorder="1" applyAlignment="1">
      <alignment horizontal="center"/>
    </xf>
    <xf numFmtId="37" fontId="59" fillId="0" borderId="22" xfId="59" applyNumberFormat="1" applyFont="1" applyFill="1" applyBorder="1" applyAlignment="1"/>
    <xf numFmtId="37" fontId="59" fillId="0" borderId="3" xfId="93" applyNumberFormat="1" applyFont="1" applyFill="1" applyBorder="1" applyAlignment="1"/>
    <xf numFmtId="37" fontId="59" fillId="14" borderId="10" xfId="59" applyNumberFormat="1" applyFont="1" applyFill="1" applyBorder="1" applyAlignment="1"/>
    <xf numFmtId="37" fontId="59" fillId="0" borderId="19" xfId="59" applyNumberFormat="1" applyFont="1" applyFill="1" applyBorder="1" applyAlignment="1"/>
    <xf numFmtId="37" fontId="88" fillId="0" borderId="1" xfId="201" applyNumberFormat="1" applyFont="1" applyFill="1" applyBorder="1" applyAlignment="1"/>
    <xf numFmtId="37" fontId="59" fillId="0" borderId="9" xfId="59" applyNumberFormat="1" applyFont="1" applyFill="1" applyBorder="1" applyAlignment="1">
      <alignment horizontal="center"/>
    </xf>
    <xf numFmtId="37" fontId="59" fillId="0" borderId="9" xfId="59" applyNumberFormat="1" applyFont="1" applyFill="1" applyBorder="1" applyAlignment="1"/>
    <xf numFmtId="37" fontId="59" fillId="0" borderId="15" xfId="59" applyNumberFormat="1" applyFont="1" applyFill="1" applyBorder="1" applyAlignment="1"/>
    <xf numFmtId="37" fontId="49" fillId="0" borderId="0" xfId="59" applyNumberFormat="1" applyFont="1" applyFill="1" applyAlignment="1"/>
    <xf numFmtId="37" fontId="49" fillId="0" borderId="0" xfId="59" applyNumberFormat="1" applyFont="1" applyFill="1" applyAlignment="1">
      <alignment horizontal="right"/>
    </xf>
    <xf numFmtId="37" fontId="49" fillId="0" borderId="0" xfId="59" applyNumberFormat="1" applyFont="1" applyAlignment="1">
      <alignment horizontal="right"/>
    </xf>
    <xf numFmtId="37" fontId="49" fillId="0" borderId="1" xfId="59" applyNumberFormat="1" applyFont="1" applyBorder="1" applyAlignment="1">
      <alignment horizontal="right"/>
    </xf>
    <xf numFmtId="37" fontId="49" fillId="0" borderId="0" xfId="59" applyNumberFormat="1" applyFont="1" applyBorder="1" applyAlignment="1"/>
    <xf numFmtId="37" fontId="59" fillId="15" borderId="19" xfId="59" applyNumberFormat="1" applyFont="1" applyFill="1" applyBorder="1"/>
    <xf numFmtId="37" fontId="59" fillId="0" borderId="10" xfId="59" applyNumberFormat="1" applyFont="1" applyFill="1" applyBorder="1"/>
    <xf numFmtId="37" fontId="59" fillId="15" borderId="10" xfId="59" applyNumberFormat="1" applyFont="1" applyFill="1" applyBorder="1"/>
    <xf numFmtId="37" fontId="59" fillId="0" borderId="19" xfId="59" applyNumberFormat="1" applyFont="1" applyFill="1" applyBorder="1"/>
    <xf numFmtId="37" fontId="59" fillId="0" borderId="12" xfId="59" applyNumberFormat="1" applyFont="1" applyBorder="1"/>
    <xf numFmtId="37" fontId="59" fillId="0" borderId="12" xfId="59" applyNumberFormat="1" applyFont="1" applyFill="1" applyBorder="1"/>
    <xf numFmtId="37" fontId="59" fillId="0" borderId="22" xfId="59" applyNumberFormat="1" applyFont="1" applyFill="1" applyBorder="1"/>
    <xf numFmtId="37" fontId="59" fillId="0" borderId="11" xfId="59" applyNumberFormat="1" applyFont="1" applyFill="1" applyBorder="1"/>
    <xf numFmtId="37" fontId="59" fillId="15" borderId="20" xfId="59" applyNumberFormat="1" applyFont="1" applyFill="1" applyBorder="1"/>
    <xf numFmtId="37" fontId="59" fillId="15" borderId="12" xfId="59" applyNumberFormat="1" applyFont="1" applyFill="1" applyBorder="1"/>
    <xf numFmtId="37" fontId="59" fillId="0" borderId="3" xfId="59" applyNumberFormat="1" applyFont="1" applyFill="1" applyBorder="1"/>
    <xf numFmtId="37" fontId="59" fillId="0" borderId="11" xfId="59" applyNumberFormat="1" applyFont="1" applyBorder="1" applyAlignment="1">
      <alignment horizontal="center"/>
    </xf>
    <xf numFmtId="37" fontId="59" fillId="0" borderId="11" xfId="59" applyNumberFormat="1" applyFont="1" applyFill="1" applyBorder="1" applyAlignment="1">
      <alignment horizontal="center"/>
    </xf>
    <xf numFmtId="37" fontId="59" fillId="0" borderId="11" xfId="59" applyNumberFormat="1" applyFont="1" applyBorder="1"/>
    <xf numFmtId="37" fontId="59" fillId="0" borderId="11" xfId="59" applyNumberFormat="1" applyFont="1" applyBorder="1" applyAlignment="1"/>
    <xf numFmtId="37" fontId="59" fillId="15" borderId="11" xfId="59" applyNumberFormat="1" applyFont="1" applyFill="1" applyBorder="1"/>
    <xf numFmtId="37" fontId="59" fillId="15" borderId="22" xfId="59" applyNumberFormat="1" applyFont="1" applyFill="1" applyBorder="1" applyAlignment="1"/>
    <xf numFmtId="37" fontId="59" fillId="0" borderId="22" xfId="59" applyNumberFormat="1" applyFont="1" applyBorder="1" applyAlignment="1"/>
    <xf numFmtId="37" fontId="59" fillId="14" borderId="0" xfId="211" applyNumberFormat="1" applyFont="1" applyFill="1"/>
    <xf numFmtId="37" fontId="59" fillId="0" borderId="14" xfId="59" applyNumberFormat="1" applyFont="1" applyBorder="1"/>
    <xf numFmtId="37" fontId="59" fillId="15" borderId="0" xfId="211" applyNumberFormat="1" applyFont="1" applyFill="1"/>
    <xf numFmtId="37" fontId="59" fillId="0" borderId="0" xfId="59" applyNumberFormat="1" applyFont="1" applyFill="1" applyAlignment="1" applyProtection="1">
      <protection locked="0"/>
    </xf>
    <xf numFmtId="37" fontId="59" fillId="15" borderId="0" xfId="59" applyNumberFormat="1" applyFont="1" applyFill="1" applyBorder="1"/>
    <xf numFmtId="37" fontId="59" fillId="15" borderId="1" xfId="59" applyNumberFormat="1" applyFont="1" applyFill="1" applyBorder="1"/>
    <xf numFmtId="37" fontId="59" fillId="0" borderId="0" xfId="59" applyNumberFormat="1" applyFont="1" applyFill="1" applyBorder="1"/>
    <xf numFmtId="37" fontId="59" fillId="0" borderId="1" xfId="59" applyNumberFormat="1" applyFont="1" applyFill="1" applyBorder="1"/>
    <xf numFmtId="37" fontId="0" fillId="0" borderId="0" xfId="59" applyNumberFormat="1" applyFont="1" applyAlignment="1"/>
    <xf numFmtId="37" fontId="127" fillId="15" borderId="0" xfId="59" applyNumberFormat="1" applyFont="1" applyFill="1" applyAlignment="1"/>
    <xf numFmtId="37" fontId="59" fillId="14" borderId="0" xfId="79" applyNumberFormat="1" applyFont="1" applyFill="1" applyAlignment="1"/>
    <xf numFmtId="37" fontId="59" fillId="0" borderId="0" xfId="187" applyNumberFormat="1" applyFont="1"/>
    <xf numFmtId="37" fontId="59" fillId="15" borderId="0" xfId="79" applyNumberFormat="1" applyFont="1" applyFill="1" applyAlignment="1"/>
    <xf numFmtId="37" fontId="59" fillId="0" borderId="3" xfId="79" applyNumberFormat="1" applyFont="1" applyFill="1" applyBorder="1" applyAlignment="1"/>
    <xf numFmtId="37" fontId="59" fillId="0" borderId="3" xfId="187" applyNumberFormat="1" applyFont="1" applyBorder="1"/>
    <xf numFmtId="37" fontId="59" fillId="0" borderId="0" xfId="79" applyNumberFormat="1" applyFont="1" applyFill="1" applyBorder="1" applyAlignment="1"/>
    <xf numFmtId="37" fontId="59" fillId="0" borderId="0" xfId="187" applyNumberFormat="1" applyFont="1" applyFill="1"/>
    <xf numFmtId="174" fontId="0" fillId="0" borderId="0" xfId="0" applyFill="1" applyAlignment="1"/>
    <xf numFmtId="37" fontId="59" fillId="0" borderId="3" xfId="59" applyNumberFormat="1" applyFont="1" applyFill="1" applyBorder="1" applyAlignment="1">
      <alignment horizontal="center"/>
    </xf>
    <xf numFmtId="37" fontId="89" fillId="0" borderId="3" xfId="0" applyNumberFormat="1" applyFont="1" applyBorder="1" applyAlignment="1"/>
    <xf numFmtId="37" fontId="59" fillId="15" borderId="0" xfId="59" applyNumberFormat="1" applyFont="1" applyFill="1" applyBorder="1" applyAlignment="1"/>
    <xf numFmtId="37" fontId="59" fillId="0" borderId="0" xfId="59" applyNumberFormat="1" applyFont="1" applyFill="1" applyBorder="1" applyAlignment="1">
      <alignment wrapText="1"/>
    </xf>
    <xf numFmtId="37" fontId="59" fillId="0" borderId="3" xfId="59" applyNumberFormat="1" applyFont="1" applyFill="1" applyBorder="1" applyAlignment="1">
      <alignment wrapText="1"/>
    </xf>
    <xf numFmtId="37" fontId="19" fillId="15" borderId="9" xfId="9820" applyNumberFormat="1" applyFont="1" applyFill="1" applyBorder="1" applyAlignment="1">
      <alignment horizontal="right" vertical="top"/>
    </xf>
    <xf numFmtId="37" fontId="59" fillId="0" borderId="0" xfId="187" applyNumberFormat="1" applyFont="1" applyFill="1" applyBorder="1"/>
    <xf numFmtId="37" fontId="49" fillId="15" borderId="0" xfId="59" applyNumberFormat="1" applyFont="1" applyFill="1" applyAlignment="1"/>
    <xf numFmtId="37" fontId="49" fillId="0" borderId="0" xfId="59" applyNumberFormat="1" applyFont="1" applyAlignment="1"/>
    <xf numFmtId="37" fontId="49" fillId="0" borderId="3" xfId="59" applyNumberFormat="1" applyFont="1" applyBorder="1" applyAlignment="1"/>
    <xf numFmtId="37" fontId="49" fillId="0" borderId="0" xfId="0" applyNumberFormat="1" applyFont="1" applyAlignment="1"/>
    <xf numFmtId="37" fontId="19" fillId="0" borderId="0" xfId="9826" applyNumberFormat="1" applyFont="1" applyFill="1"/>
    <xf numFmtId="37" fontId="19" fillId="0" borderId="14" xfId="9826" applyNumberFormat="1" applyFont="1" applyFill="1" applyBorder="1"/>
    <xf numFmtId="0" fontId="19" fillId="15" borderId="45" xfId="184" applyFill="1" applyBorder="1" applyAlignment="1">
      <alignment wrapText="1"/>
    </xf>
    <xf numFmtId="0" fontId="51" fillId="15" borderId="9" xfId="9820" applyFont="1" applyFill="1" applyBorder="1"/>
    <xf numFmtId="3" fontId="59" fillId="0" borderId="0" xfId="210" applyNumberFormat="1" applyFont="1" applyFill="1"/>
    <xf numFmtId="3" fontId="59" fillId="0" borderId="0" xfId="206" applyNumberFormat="1" applyFont="1" applyFill="1"/>
    <xf numFmtId="3" fontId="89" fillId="0" borderId="0" xfId="210" applyNumberFormat="1" applyFont="1" applyFill="1" applyAlignment="1"/>
    <xf numFmtId="0" fontId="19" fillId="15" borderId="9" xfId="9820" applyFill="1" applyBorder="1"/>
    <xf numFmtId="0" fontId="19" fillId="15" borderId="9" xfId="9820" applyFill="1" applyBorder="1" applyAlignment="1">
      <alignment wrapText="1"/>
    </xf>
    <xf numFmtId="0" fontId="19" fillId="14" borderId="9" xfId="9820" applyFill="1" applyBorder="1" applyAlignment="1">
      <alignment wrapText="1"/>
    </xf>
    <xf numFmtId="0" fontId="19" fillId="14" borderId="9" xfId="9820" applyFill="1" applyBorder="1"/>
    <xf numFmtId="0" fontId="19" fillId="15" borderId="9" xfId="184" applyFill="1" applyBorder="1" applyAlignment="1">
      <alignment wrapText="1"/>
    </xf>
    <xf numFmtId="37" fontId="19" fillId="14" borderId="9" xfId="9820" applyNumberFormat="1" applyFont="1" applyFill="1" applyBorder="1"/>
    <xf numFmtId="37" fontId="19" fillId="14" borderId="9" xfId="9820" applyNumberFormat="1" applyFont="1" applyFill="1" applyBorder="1" applyAlignment="1">
      <alignment horizontal="center" vertical="top"/>
    </xf>
    <xf numFmtId="37" fontId="19" fillId="14" borderId="9" xfId="9820" applyNumberFormat="1" applyFont="1" applyFill="1" applyBorder="1" applyAlignment="1">
      <alignment horizontal="center"/>
    </xf>
    <xf numFmtId="37" fontId="19" fillId="14" borderId="9" xfId="9820" applyNumberFormat="1" applyFont="1" applyFill="1" applyBorder="1" applyAlignment="1">
      <alignment vertical="top"/>
    </xf>
    <xf numFmtId="37" fontId="19" fillId="0" borderId="0" xfId="537" applyNumberFormat="1" applyFont="1" applyBorder="1" applyAlignment="1">
      <alignment vertical="center" wrapText="1"/>
    </xf>
    <xf numFmtId="37" fontId="19" fillId="15" borderId="0" xfId="537" applyNumberFormat="1" applyFont="1" applyFill="1" applyBorder="1" applyAlignment="1">
      <alignment vertical="center" wrapText="1"/>
    </xf>
    <xf numFmtId="37" fontId="19" fillId="0" borderId="0" xfId="537" applyNumberFormat="1" applyFont="1" applyFill="1" applyBorder="1" applyAlignment="1">
      <alignment vertical="center" wrapText="1"/>
    </xf>
    <xf numFmtId="37" fontId="19" fillId="0" borderId="3" xfId="537" applyNumberFormat="1" applyFont="1" applyBorder="1" applyAlignment="1">
      <alignment vertical="center" wrapText="1"/>
    </xf>
    <xf numFmtId="37" fontId="19" fillId="0" borderId="3" xfId="9826" applyNumberFormat="1" applyFont="1" applyBorder="1" applyAlignment="1">
      <alignment horizontal="right" vertical="center" wrapText="1"/>
    </xf>
    <xf numFmtId="37" fontId="19" fillId="0" borderId="0" xfId="9826" applyNumberFormat="1" applyFont="1" applyFill="1" applyBorder="1" applyAlignment="1">
      <alignment horizontal="right" vertical="center" wrapText="1"/>
    </xf>
    <xf numFmtId="37" fontId="19" fillId="0" borderId="0" xfId="9826" applyNumberFormat="1" applyFont="1" applyFill="1" applyBorder="1"/>
    <xf numFmtId="37" fontId="19" fillId="0" borderId="0" xfId="9826" applyNumberFormat="1" applyFont="1" applyFill="1" applyBorder="1" applyAlignment="1">
      <alignment horizontal="justify" vertical="center" wrapText="1"/>
    </xf>
    <xf numFmtId="37" fontId="19" fillId="15" borderId="1" xfId="9826" applyNumberFormat="1" applyFont="1" applyFill="1" applyBorder="1"/>
    <xf numFmtId="37" fontId="19" fillId="0" borderId="9" xfId="537" applyNumberFormat="1" applyFont="1" applyFill="1" applyBorder="1" applyAlignment="1">
      <alignment horizontal="right" vertical="top"/>
    </xf>
    <xf numFmtId="37" fontId="59" fillId="15" borderId="0" xfId="86" applyNumberFormat="1" applyFont="1" applyFill="1" applyBorder="1" applyAlignment="1">
      <alignment horizontal="right"/>
    </xf>
    <xf numFmtId="37" fontId="59" fillId="0" borderId="3" xfId="59" applyNumberFormat="1" applyFont="1" applyBorder="1" applyAlignment="1"/>
    <xf numFmtId="37" fontId="59" fillId="0" borderId="0" xfId="59" applyNumberFormat="1" applyFont="1" applyFill="1"/>
    <xf numFmtId="37" fontId="59" fillId="0" borderId="0" xfId="59" applyNumberFormat="1" applyFont="1" applyFill="1" applyAlignment="1">
      <alignment horizontal="right"/>
    </xf>
    <xf numFmtId="280" fontId="59" fillId="0" borderId="0" xfId="59" applyNumberFormat="1" applyFont="1" applyAlignment="1"/>
    <xf numFmtId="37" fontId="59" fillId="0" borderId="0" xfId="210" applyNumberFormat="1" applyFont="1" applyFill="1" applyBorder="1" applyProtection="1"/>
    <xf numFmtId="37" fontId="59" fillId="15" borderId="9" xfId="9825" applyNumberFormat="1" applyFont="1" applyFill="1" applyBorder="1"/>
    <xf numFmtId="174" fontId="59" fillId="14" borderId="0" xfId="209" applyFont="1" applyFill="1"/>
    <xf numFmtId="0" fontId="59" fillId="15" borderId="0" xfId="59" applyNumberFormat="1" applyFont="1" applyFill="1" applyBorder="1" applyAlignment="1"/>
    <xf numFmtId="41" fontId="175" fillId="15" borderId="9" xfId="9820" applyNumberFormat="1" applyFont="1" applyFill="1" applyBorder="1" applyAlignment="1"/>
    <xf numFmtId="41" fontId="175" fillId="15" borderId="9" xfId="9820" applyNumberFormat="1" applyFont="1" applyFill="1" applyBorder="1" applyAlignment="1">
      <alignment vertical="top"/>
    </xf>
    <xf numFmtId="41" fontId="175" fillId="15" borderId="9" xfId="9820" applyNumberFormat="1" applyFont="1" applyFill="1" applyBorder="1"/>
    <xf numFmtId="0" fontId="19" fillId="15" borderId="9" xfId="9819" applyFont="1" applyFill="1" applyBorder="1"/>
    <xf numFmtId="37" fontId="175" fillId="15" borderId="9" xfId="9820" applyNumberFormat="1" applyFont="1" applyFill="1" applyBorder="1"/>
    <xf numFmtId="176" fontId="59" fillId="15" borderId="0" xfId="93" applyNumberFormat="1" applyFont="1" applyFill="1" applyBorder="1" applyAlignment="1"/>
    <xf numFmtId="174" fontId="59" fillId="0" borderId="0" xfId="0" applyFont="1" applyFill="1" applyAlignment="1">
      <alignment horizontal="left" vertical="top" wrapText="1"/>
    </xf>
    <xf numFmtId="174" fontId="59" fillId="0" borderId="0" xfId="210" applyFont="1" applyAlignment="1">
      <alignment horizontal="center"/>
    </xf>
    <xf numFmtId="49" fontId="59" fillId="0" borderId="0" xfId="210" applyNumberFormat="1" applyFont="1" applyAlignment="1" applyProtection="1">
      <alignment horizontal="center"/>
      <protection locked="0"/>
    </xf>
    <xf numFmtId="0" fontId="59" fillId="0" borderId="0" xfId="210" applyNumberFormat="1" applyFont="1" applyFill="1" applyAlignment="1" applyProtection="1">
      <alignment vertical="top" wrapText="1"/>
      <protection locked="0"/>
    </xf>
    <xf numFmtId="0" fontId="97" fillId="0" borderId="0" xfId="210" applyNumberFormat="1" applyFont="1" applyFill="1" applyAlignment="1" applyProtection="1">
      <alignment vertical="top" wrapText="1"/>
      <protection locked="0"/>
    </xf>
    <xf numFmtId="0" fontId="59" fillId="0" borderId="0" xfId="210" quotePrefix="1" applyNumberFormat="1" applyFont="1" applyFill="1" applyAlignment="1">
      <alignment vertical="top" wrapText="1"/>
    </xf>
    <xf numFmtId="0" fontId="59" fillId="0" borderId="0" xfId="210" applyNumberFormat="1" applyFont="1" applyFill="1" applyAlignment="1">
      <alignment vertical="top" wrapText="1"/>
    </xf>
    <xf numFmtId="0" fontId="59" fillId="0" borderId="0" xfId="206" applyFont="1" applyFill="1" applyAlignment="1">
      <alignment vertical="top" wrapText="1"/>
    </xf>
    <xf numFmtId="0" fontId="59" fillId="0" borderId="0" xfId="210" applyNumberFormat="1" applyFont="1" applyFill="1" applyAlignment="1" applyProtection="1">
      <alignment horizontal="center" vertical="top" wrapText="1"/>
      <protection locked="0"/>
    </xf>
    <xf numFmtId="174" fontId="59" fillId="0" borderId="0" xfId="0" applyFont="1" applyFill="1" applyAlignment="1">
      <alignment vertical="top" wrapText="1"/>
    </xf>
    <xf numFmtId="0" fontId="59" fillId="0" borderId="0" xfId="0" applyNumberFormat="1" applyFont="1" applyFill="1" applyBorder="1" applyAlignment="1">
      <alignment horizontal="left" vertical="top" wrapText="1"/>
    </xf>
    <xf numFmtId="174" fontId="59" fillId="0" borderId="0" xfId="0" applyFont="1" applyAlignment="1">
      <alignment horizontal="left" vertical="top" wrapText="1"/>
    </xf>
    <xf numFmtId="174" fontId="59" fillId="0" borderId="0" xfId="201" applyFont="1" applyFill="1" applyBorder="1" applyAlignment="1">
      <alignment horizontal="left" vertical="top" wrapText="1"/>
    </xf>
    <xf numFmtId="49" fontId="59" fillId="0" borderId="0" xfId="201" applyNumberFormat="1" applyFont="1" applyFill="1" applyBorder="1" applyAlignment="1">
      <alignment horizontal="left" vertical="top" wrapText="1"/>
    </xf>
    <xf numFmtId="174" fontId="59" fillId="0" borderId="0" xfId="0" applyFont="1" applyFill="1" applyAlignment="1">
      <alignment horizontal="left" wrapText="1"/>
    </xf>
    <xf numFmtId="0" fontId="59" fillId="0" borderId="0" xfId="187" applyFont="1" applyFill="1" applyBorder="1" applyAlignment="1">
      <alignment horizontal="left" wrapText="1"/>
    </xf>
    <xf numFmtId="0" fontId="49" fillId="0" borderId="0" xfId="210" applyNumberFormat="1" applyFont="1" applyFill="1" applyAlignment="1">
      <alignment horizontal="center"/>
    </xf>
    <xf numFmtId="174" fontId="59" fillId="0" borderId="0" xfId="0" applyNumberFormat="1" applyFont="1" applyFill="1" applyBorder="1" applyAlignment="1" applyProtection="1">
      <alignment horizontal="left" vertical="top" wrapText="1"/>
    </xf>
    <xf numFmtId="174" fontId="59" fillId="0" borderId="22" xfId="0" applyFont="1" applyBorder="1" applyAlignment="1">
      <alignment horizontal="center" wrapText="1"/>
    </xf>
    <xf numFmtId="174" fontId="59" fillId="0" borderId="15" xfId="0" applyFont="1" applyBorder="1" applyAlignment="1">
      <alignment horizontal="center" wrapText="1"/>
    </xf>
    <xf numFmtId="174" fontId="59" fillId="0" borderId="17" xfId="0" applyFont="1" applyBorder="1" applyAlignment="1">
      <alignment horizontal="center"/>
    </xf>
    <xf numFmtId="174" fontId="59" fillId="0" borderId="1" xfId="0" applyFont="1" applyBorder="1" applyAlignment="1">
      <alignment horizontal="center"/>
    </xf>
    <xf numFmtId="174" fontId="59" fillId="0" borderId="21" xfId="0" applyFont="1" applyBorder="1" applyAlignment="1">
      <alignment horizontal="center"/>
    </xf>
    <xf numFmtId="174" fontId="59" fillId="0" borderId="19" xfId="0" applyFont="1" applyFill="1" applyBorder="1" applyAlignment="1">
      <alignment horizontal="center"/>
    </xf>
    <xf numFmtId="174" fontId="59" fillId="0" borderId="20" xfId="0" applyFont="1" applyFill="1" applyBorder="1" applyAlignment="1">
      <alignment horizontal="center"/>
    </xf>
    <xf numFmtId="0" fontId="66" fillId="0" borderId="0" xfId="211" applyFont="1" applyAlignment="1">
      <alignment horizontal="center" wrapText="1"/>
    </xf>
    <xf numFmtId="0" fontId="59" fillId="0" borderId="0" xfId="201" applyNumberFormat="1" applyFont="1" applyFill="1" applyBorder="1" applyAlignment="1" applyProtection="1">
      <alignment horizontal="center"/>
      <protection locked="0"/>
    </xf>
    <xf numFmtId="0" fontId="59" fillId="0" borderId="0" xfId="211" applyFont="1" applyAlignment="1">
      <alignment horizontal="center"/>
    </xf>
    <xf numFmtId="0" fontId="59" fillId="0" borderId="0" xfId="210" applyNumberFormat="1" applyFont="1" applyFill="1" applyAlignment="1">
      <alignment horizontal="center"/>
    </xf>
    <xf numFmtId="0" fontId="59" fillId="0" borderId="0" xfId="188" applyNumberFormat="1" applyFont="1" applyFill="1" applyAlignment="1">
      <alignment horizontal="left" vertical="top" wrapText="1"/>
    </xf>
    <xf numFmtId="174" fontId="66" fillId="0" borderId="0" xfId="0" applyFont="1" applyAlignment="1">
      <alignment horizontal="center"/>
    </xf>
    <xf numFmtId="0" fontId="66" fillId="0" borderId="0" xfId="211" applyFont="1" applyAlignment="1">
      <alignment horizontal="center"/>
    </xf>
    <xf numFmtId="0" fontId="172" fillId="0" borderId="0" xfId="9819" applyFont="1" applyAlignment="1">
      <alignment horizontal="center"/>
    </xf>
    <xf numFmtId="0" fontId="44" fillId="0" borderId="1" xfId="9826" applyFont="1" applyBorder="1" applyAlignment="1">
      <alignment horizontal="center"/>
    </xf>
    <xf numFmtId="0" fontId="44" fillId="0" borderId="1" xfId="9826" applyFont="1" applyBorder="1" applyAlignment="1"/>
    <xf numFmtId="0" fontId="172" fillId="0" borderId="0" xfId="187" applyFont="1" applyAlignment="1">
      <alignment horizontal="center"/>
    </xf>
    <xf numFmtId="0" fontId="44" fillId="0" borderId="0" xfId="9826" applyFont="1" applyBorder="1" applyAlignment="1">
      <alignment horizontal="center"/>
    </xf>
    <xf numFmtId="0" fontId="44" fillId="15" borderId="1" xfId="9826" applyFont="1" applyFill="1" applyBorder="1" applyAlignment="1">
      <alignment horizontal="center"/>
    </xf>
    <xf numFmtId="0" fontId="44" fillId="15" borderId="1" xfId="9826" applyFont="1" applyFill="1" applyBorder="1" applyAlignment="1"/>
    <xf numFmtId="0" fontId="44" fillId="0" borderId="19" xfId="9826" applyFont="1" applyBorder="1" applyAlignment="1">
      <alignment horizontal="center" vertical="center"/>
    </xf>
    <xf numFmtId="0" fontId="44" fillId="0" borderId="3" xfId="9826" applyFont="1" applyBorder="1" applyAlignment="1">
      <alignment horizontal="center" vertical="center"/>
    </xf>
    <xf numFmtId="0" fontId="44" fillId="0" borderId="20" xfId="9826" applyFont="1" applyBorder="1" applyAlignment="1">
      <alignment horizontal="center" vertical="center"/>
    </xf>
    <xf numFmtId="0" fontId="44" fillId="0" borderId="16" xfId="9826" applyFont="1" applyBorder="1" applyAlignment="1">
      <alignment horizontal="center" vertical="center"/>
    </xf>
    <xf numFmtId="0" fontId="44" fillId="0" borderId="7" xfId="9826" applyFont="1" applyBorder="1" applyAlignment="1">
      <alignment horizontal="center" vertical="center"/>
    </xf>
    <xf numFmtId="0" fontId="44" fillId="0" borderId="44" xfId="9826" applyFont="1" applyBorder="1" applyAlignment="1">
      <alignment horizontal="center" vertical="center"/>
    </xf>
    <xf numFmtId="0" fontId="19" fillId="15" borderId="16" xfId="9820" applyFill="1" applyBorder="1" applyAlignment="1">
      <alignment horizontal="left"/>
    </xf>
    <xf numFmtId="0" fontId="19" fillId="15" borderId="7" xfId="9820" applyFill="1" applyBorder="1" applyAlignment="1">
      <alignment horizontal="left"/>
    </xf>
    <xf numFmtId="0" fontId="19" fillId="15" borderId="44" xfId="9820" applyFill="1" applyBorder="1" applyAlignment="1">
      <alignment horizontal="left"/>
    </xf>
    <xf numFmtId="0" fontId="19" fillId="15" borderId="16" xfId="9820" applyFont="1" applyFill="1" applyBorder="1" applyAlignment="1">
      <alignment horizontal="left"/>
    </xf>
    <xf numFmtId="0" fontId="19" fillId="15" borderId="7" xfId="9820" applyFont="1" applyFill="1" applyBorder="1" applyAlignment="1">
      <alignment horizontal="left"/>
    </xf>
    <xf numFmtId="37" fontId="174" fillId="0" borderId="1" xfId="9820" applyNumberFormat="1" applyFont="1" applyFill="1" applyBorder="1" applyAlignment="1">
      <alignment horizontal="center" vertical="top"/>
    </xf>
    <xf numFmtId="37" fontId="44" fillId="0" borderId="0" xfId="9820" applyNumberFormat="1" applyFont="1" applyFill="1" applyBorder="1" applyAlignment="1">
      <alignment horizontal="center" vertical="top"/>
    </xf>
    <xf numFmtId="174" fontId="59" fillId="0" borderId="0" xfId="0" applyFont="1" applyAlignment="1">
      <alignment horizontal="center"/>
    </xf>
    <xf numFmtId="174" fontId="59" fillId="0" borderId="0" xfId="201" quotePrefix="1" applyFont="1" applyBorder="1" applyAlignment="1">
      <alignment horizontal="left" wrapText="1"/>
    </xf>
    <xf numFmtId="174" fontId="59" fillId="0" borderId="0" xfId="201" applyFont="1" applyFill="1" applyAlignment="1">
      <alignment horizontal="left" wrapText="1"/>
    </xf>
    <xf numFmtId="174" fontId="59" fillId="0" borderId="0" xfId="201" applyFont="1" applyAlignment="1">
      <alignment horizontal="center"/>
    </xf>
    <xf numFmtId="0" fontId="59" fillId="0" borderId="0" xfId="187" applyFont="1" applyFill="1" applyAlignment="1">
      <alignment horizontal="left" vertical="top" wrapText="1"/>
    </xf>
    <xf numFmtId="0" fontId="59" fillId="0" borderId="0" xfId="187" applyFont="1" applyFill="1" applyAlignment="1">
      <alignment horizontal="center"/>
    </xf>
    <xf numFmtId="0" fontId="59" fillId="0" borderId="0" xfId="187" applyFont="1" applyFill="1" applyAlignment="1">
      <alignment horizontal="left" wrapText="1"/>
    </xf>
    <xf numFmtId="0" fontId="59" fillId="0" borderId="0" xfId="187" applyFont="1" applyFill="1" applyBorder="1" applyAlignment="1">
      <alignment horizontal="left"/>
    </xf>
    <xf numFmtId="2" fontId="59" fillId="0" borderId="0" xfId="0" applyNumberFormat="1" applyFont="1" applyAlignment="1">
      <alignment horizontal="left" vertical="top" wrapText="1"/>
    </xf>
    <xf numFmtId="0" fontId="66" fillId="0" borderId="0" xfId="365" applyFont="1" applyAlignment="1">
      <alignment horizontal="center"/>
    </xf>
    <xf numFmtId="0" fontId="59" fillId="0" borderId="0" xfId="0" applyNumberFormat="1" applyFont="1" applyAlignment="1">
      <alignment horizontal="center"/>
    </xf>
    <xf numFmtId="10" fontId="59" fillId="0" borderId="0" xfId="265" applyNumberFormat="1" applyFont="1" applyFill="1" applyAlignment="1">
      <alignment horizontal="center"/>
    </xf>
    <xf numFmtId="174" fontId="49" fillId="0" borderId="0" xfId="0" applyFont="1" applyAlignment="1">
      <alignment horizontal="left" vertical="top" wrapText="1"/>
    </xf>
  </cellXfs>
  <cellStyles count="9828">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1 2 2" xfId="1062" xr:uid="{00000000-0005-0000-0000-000008000000}"/>
    <cellStyle name="20% - Accent1 3" xfId="1063" xr:uid="{00000000-0005-0000-0000-000009000000}"/>
    <cellStyle name="20% - Accent1 4" xfId="1064" xr:uid="{00000000-0005-0000-0000-00000A000000}"/>
    <cellStyle name="20% - Accent1 5" xfId="1065" xr:uid="{00000000-0005-0000-0000-00000B000000}"/>
    <cellStyle name="20% - Accent1 5 2" xfId="1066" xr:uid="{00000000-0005-0000-0000-00000C000000}"/>
    <cellStyle name="20% - Accent1 5 2 2" xfId="1067" xr:uid="{00000000-0005-0000-0000-00000D000000}"/>
    <cellStyle name="20% - Accent1 5 2 3" xfId="1068" xr:uid="{00000000-0005-0000-0000-00000E000000}"/>
    <cellStyle name="20% - Accent1 5 3" xfId="1069" xr:uid="{00000000-0005-0000-0000-00000F000000}"/>
    <cellStyle name="20% - Accent1 5 4" xfId="1070" xr:uid="{00000000-0005-0000-0000-000010000000}"/>
    <cellStyle name="20% - Accent1 5 5" xfId="1071" xr:uid="{00000000-0005-0000-0000-000011000000}"/>
    <cellStyle name="20% - Accent1 6" xfId="1072" xr:uid="{00000000-0005-0000-0000-000012000000}"/>
    <cellStyle name="20% - Accent1 7" xfId="1073" xr:uid="{00000000-0005-0000-0000-000013000000}"/>
    <cellStyle name="20% - Accent1 8" xfId="1074" xr:uid="{00000000-0005-0000-0000-000014000000}"/>
    <cellStyle name="20% - Accent1 9" xfId="1075" xr:uid="{00000000-0005-0000-0000-000015000000}"/>
    <cellStyle name="20% - Accent2 2" xfId="558" xr:uid="{00000000-0005-0000-0000-000016000000}"/>
    <cellStyle name="20% - Accent2 2 2" xfId="1076" xr:uid="{00000000-0005-0000-0000-000017000000}"/>
    <cellStyle name="20% - Accent2 3" xfId="1077" xr:uid="{00000000-0005-0000-0000-000018000000}"/>
    <cellStyle name="20% - Accent2 4" xfId="1078" xr:uid="{00000000-0005-0000-0000-000019000000}"/>
    <cellStyle name="20% - Accent2 5" xfId="1079" xr:uid="{00000000-0005-0000-0000-00001A000000}"/>
    <cellStyle name="20% - Accent2 5 2" xfId="1080" xr:uid="{00000000-0005-0000-0000-00001B000000}"/>
    <cellStyle name="20% - Accent2 5 2 2" xfId="1081" xr:uid="{00000000-0005-0000-0000-00001C000000}"/>
    <cellStyle name="20% - Accent2 5 2 3" xfId="1082" xr:uid="{00000000-0005-0000-0000-00001D000000}"/>
    <cellStyle name="20% - Accent2 5 3" xfId="1083" xr:uid="{00000000-0005-0000-0000-00001E000000}"/>
    <cellStyle name="20% - Accent2 5 4" xfId="1084" xr:uid="{00000000-0005-0000-0000-00001F000000}"/>
    <cellStyle name="20% - Accent2 5 5" xfId="1085" xr:uid="{00000000-0005-0000-0000-000020000000}"/>
    <cellStyle name="20% - Accent2 6" xfId="1086" xr:uid="{00000000-0005-0000-0000-000021000000}"/>
    <cellStyle name="20% - Accent2 7" xfId="1087" xr:uid="{00000000-0005-0000-0000-000022000000}"/>
    <cellStyle name="20% - Accent2 8" xfId="1088" xr:uid="{00000000-0005-0000-0000-000023000000}"/>
    <cellStyle name="20% - Accent2 9" xfId="1089" xr:uid="{00000000-0005-0000-0000-000024000000}"/>
    <cellStyle name="20% - Accent3 2" xfId="559" xr:uid="{00000000-0005-0000-0000-000025000000}"/>
    <cellStyle name="20% - Accent3 2 2" xfId="1090" xr:uid="{00000000-0005-0000-0000-000026000000}"/>
    <cellStyle name="20% - Accent3 3" xfId="1091" xr:uid="{00000000-0005-0000-0000-000027000000}"/>
    <cellStyle name="20% - Accent3 4" xfId="1092" xr:uid="{00000000-0005-0000-0000-000028000000}"/>
    <cellStyle name="20% - Accent3 5" xfId="1093" xr:uid="{00000000-0005-0000-0000-000029000000}"/>
    <cellStyle name="20% - Accent3 5 2" xfId="1094" xr:uid="{00000000-0005-0000-0000-00002A000000}"/>
    <cellStyle name="20% - Accent3 5 2 2" xfId="1095" xr:uid="{00000000-0005-0000-0000-00002B000000}"/>
    <cellStyle name="20% - Accent3 5 2 3" xfId="1096" xr:uid="{00000000-0005-0000-0000-00002C000000}"/>
    <cellStyle name="20% - Accent3 5 3" xfId="1097" xr:uid="{00000000-0005-0000-0000-00002D000000}"/>
    <cellStyle name="20% - Accent3 5 4" xfId="1098" xr:uid="{00000000-0005-0000-0000-00002E000000}"/>
    <cellStyle name="20% - Accent3 5 5" xfId="1099" xr:uid="{00000000-0005-0000-0000-00002F000000}"/>
    <cellStyle name="20% - Accent3 6" xfId="1100" xr:uid="{00000000-0005-0000-0000-000030000000}"/>
    <cellStyle name="20% - Accent3 7" xfId="1101" xr:uid="{00000000-0005-0000-0000-000031000000}"/>
    <cellStyle name="20% - Accent3 8" xfId="1102" xr:uid="{00000000-0005-0000-0000-000032000000}"/>
    <cellStyle name="20% - Accent3 9" xfId="1103" xr:uid="{00000000-0005-0000-0000-000033000000}"/>
    <cellStyle name="20% - Accent4 2" xfId="560" xr:uid="{00000000-0005-0000-0000-000034000000}"/>
    <cellStyle name="20% - Accent4 2 2" xfId="1104" xr:uid="{00000000-0005-0000-0000-000035000000}"/>
    <cellStyle name="20% - Accent4 3" xfId="1105" xr:uid="{00000000-0005-0000-0000-000036000000}"/>
    <cellStyle name="20% - Accent4 4" xfId="1106" xr:uid="{00000000-0005-0000-0000-000037000000}"/>
    <cellStyle name="20% - Accent4 5" xfId="1107" xr:uid="{00000000-0005-0000-0000-000038000000}"/>
    <cellStyle name="20% - Accent4 5 2" xfId="1108" xr:uid="{00000000-0005-0000-0000-000039000000}"/>
    <cellStyle name="20% - Accent4 5 2 2" xfId="1109" xr:uid="{00000000-0005-0000-0000-00003A000000}"/>
    <cellStyle name="20% - Accent4 5 2 3" xfId="1110" xr:uid="{00000000-0005-0000-0000-00003B000000}"/>
    <cellStyle name="20% - Accent4 5 3" xfId="1111" xr:uid="{00000000-0005-0000-0000-00003C000000}"/>
    <cellStyle name="20% - Accent4 5 4" xfId="1112" xr:uid="{00000000-0005-0000-0000-00003D000000}"/>
    <cellStyle name="20% - Accent4 5 5" xfId="1113" xr:uid="{00000000-0005-0000-0000-00003E000000}"/>
    <cellStyle name="20% - Accent4 6" xfId="1114" xr:uid="{00000000-0005-0000-0000-00003F000000}"/>
    <cellStyle name="20% - Accent4 7" xfId="1115" xr:uid="{00000000-0005-0000-0000-000040000000}"/>
    <cellStyle name="20% - Accent4 8" xfId="1116" xr:uid="{00000000-0005-0000-0000-000041000000}"/>
    <cellStyle name="20% - Accent4 9" xfId="1117" xr:uid="{00000000-0005-0000-0000-000042000000}"/>
    <cellStyle name="20% - Accent5 2" xfId="561" xr:uid="{00000000-0005-0000-0000-000043000000}"/>
    <cellStyle name="20% - Accent5 2 2" xfId="1118" xr:uid="{00000000-0005-0000-0000-000044000000}"/>
    <cellStyle name="20% - Accent5 3" xfId="1119" xr:uid="{00000000-0005-0000-0000-000045000000}"/>
    <cellStyle name="20% - Accent5 4" xfId="1120" xr:uid="{00000000-0005-0000-0000-000046000000}"/>
    <cellStyle name="20% - Accent5 5" xfId="1121" xr:uid="{00000000-0005-0000-0000-000047000000}"/>
    <cellStyle name="20% - Accent5 5 2" xfId="1122" xr:uid="{00000000-0005-0000-0000-000048000000}"/>
    <cellStyle name="20% - Accent5 5 2 2" xfId="1123" xr:uid="{00000000-0005-0000-0000-000049000000}"/>
    <cellStyle name="20% - Accent5 5 2 3" xfId="1124" xr:uid="{00000000-0005-0000-0000-00004A000000}"/>
    <cellStyle name="20% - Accent5 5 3" xfId="1125" xr:uid="{00000000-0005-0000-0000-00004B000000}"/>
    <cellStyle name="20% - Accent5 5 4" xfId="1126" xr:uid="{00000000-0005-0000-0000-00004C000000}"/>
    <cellStyle name="20% - Accent5 5 5" xfId="1127" xr:uid="{00000000-0005-0000-0000-00004D000000}"/>
    <cellStyle name="20% - Accent5 6" xfId="1128" xr:uid="{00000000-0005-0000-0000-00004E000000}"/>
    <cellStyle name="20% - Accent5 7" xfId="1129" xr:uid="{00000000-0005-0000-0000-00004F000000}"/>
    <cellStyle name="20% - Accent5 8" xfId="1130" xr:uid="{00000000-0005-0000-0000-000050000000}"/>
    <cellStyle name="20% - Accent5 9" xfId="1131" xr:uid="{00000000-0005-0000-0000-000051000000}"/>
    <cellStyle name="20% - Accent6 2" xfId="562" xr:uid="{00000000-0005-0000-0000-000052000000}"/>
    <cellStyle name="20% - Accent6 2 2" xfId="1132" xr:uid="{00000000-0005-0000-0000-000053000000}"/>
    <cellStyle name="20% - Accent6 3" xfId="1133" xr:uid="{00000000-0005-0000-0000-000054000000}"/>
    <cellStyle name="20% - Accent6 4" xfId="1134" xr:uid="{00000000-0005-0000-0000-000055000000}"/>
    <cellStyle name="20% - Accent6 5" xfId="1135" xr:uid="{00000000-0005-0000-0000-000056000000}"/>
    <cellStyle name="20% - Accent6 5 2" xfId="1136" xr:uid="{00000000-0005-0000-0000-000057000000}"/>
    <cellStyle name="20% - Accent6 5 2 2" xfId="1137" xr:uid="{00000000-0005-0000-0000-000058000000}"/>
    <cellStyle name="20% - Accent6 5 2 3" xfId="1138" xr:uid="{00000000-0005-0000-0000-000059000000}"/>
    <cellStyle name="20% - Accent6 5 3" xfId="1139" xr:uid="{00000000-0005-0000-0000-00005A000000}"/>
    <cellStyle name="20% - Accent6 5 4" xfId="1140" xr:uid="{00000000-0005-0000-0000-00005B000000}"/>
    <cellStyle name="20% - Accent6 5 5" xfId="1141" xr:uid="{00000000-0005-0000-0000-00005C000000}"/>
    <cellStyle name="20% - Accent6 6" xfId="1142" xr:uid="{00000000-0005-0000-0000-00005D000000}"/>
    <cellStyle name="20% - Accent6 7" xfId="1143" xr:uid="{00000000-0005-0000-0000-00005E000000}"/>
    <cellStyle name="20% - Accent6 8" xfId="1144" xr:uid="{00000000-0005-0000-0000-00005F000000}"/>
    <cellStyle name="20% - Accent6 9" xfId="1145" xr:uid="{00000000-0005-0000-0000-000060000000}"/>
    <cellStyle name="40% - Accent1 2" xfId="563" xr:uid="{00000000-0005-0000-0000-000061000000}"/>
    <cellStyle name="40% - Accent1 2 2" xfId="1146" xr:uid="{00000000-0005-0000-0000-000062000000}"/>
    <cellStyle name="40% - Accent1 3" xfId="1147" xr:uid="{00000000-0005-0000-0000-000063000000}"/>
    <cellStyle name="40% - Accent1 4" xfId="1148" xr:uid="{00000000-0005-0000-0000-000064000000}"/>
    <cellStyle name="40% - Accent1 5" xfId="1149" xr:uid="{00000000-0005-0000-0000-000065000000}"/>
    <cellStyle name="40% - Accent1 5 2" xfId="1150" xr:uid="{00000000-0005-0000-0000-000066000000}"/>
    <cellStyle name="40% - Accent1 5 2 2" xfId="1151" xr:uid="{00000000-0005-0000-0000-000067000000}"/>
    <cellStyle name="40% - Accent1 5 2 3" xfId="1152" xr:uid="{00000000-0005-0000-0000-000068000000}"/>
    <cellStyle name="40% - Accent1 5 3" xfId="1153" xr:uid="{00000000-0005-0000-0000-000069000000}"/>
    <cellStyle name="40% - Accent1 5 4" xfId="1154" xr:uid="{00000000-0005-0000-0000-00006A000000}"/>
    <cellStyle name="40% - Accent1 5 5" xfId="1155" xr:uid="{00000000-0005-0000-0000-00006B000000}"/>
    <cellStyle name="40% - Accent1 6" xfId="1156" xr:uid="{00000000-0005-0000-0000-00006C000000}"/>
    <cellStyle name="40% - Accent1 7" xfId="1157" xr:uid="{00000000-0005-0000-0000-00006D000000}"/>
    <cellStyle name="40% - Accent1 8" xfId="1158" xr:uid="{00000000-0005-0000-0000-00006E000000}"/>
    <cellStyle name="40% - Accent1 9" xfId="1159" xr:uid="{00000000-0005-0000-0000-00006F000000}"/>
    <cellStyle name="40% - Accent2 2" xfId="564" xr:uid="{00000000-0005-0000-0000-000070000000}"/>
    <cellStyle name="40% - Accent2 2 2" xfId="1160" xr:uid="{00000000-0005-0000-0000-000071000000}"/>
    <cellStyle name="40% - Accent2 3" xfId="1161" xr:uid="{00000000-0005-0000-0000-000072000000}"/>
    <cellStyle name="40% - Accent2 4" xfId="1162" xr:uid="{00000000-0005-0000-0000-000073000000}"/>
    <cellStyle name="40% - Accent2 5" xfId="1163" xr:uid="{00000000-0005-0000-0000-000074000000}"/>
    <cellStyle name="40% - Accent2 5 2" xfId="1164" xr:uid="{00000000-0005-0000-0000-000075000000}"/>
    <cellStyle name="40% - Accent2 5 2 2" xfId="1165" xr:uid="{00000000-0005-0000-0000-000076000000}"/>
    <cellStyle name="40% - Accent2 5 2 3" xfId="1166" xr:uid="{00000000-0005-0000-0000-000077000000}"/>
    <cellStyle name="40% - Accent2 5 3" xfId="1167" xr:uid="{00000000-0005-0000-0000-000078000000}"/>
    <cellStyle name="40% - Accent2 5 4" xfId="1168" xr:uid="{00000000-0005-0000-0000-000079000000}"/>
    <cellStyle name="40% - Accent2 5 5" xfId="1169" xr:uid="{00000000-0005-0000-0000-00007A000000}"/>
    <cellStyle name="40% - Accent2 6" xfId="1170" xr:uid="{00000000-0005-0000-0000-00007B000000}"/>
    <cellStyle name="40% - Accent2 7" xfId="1171" xr:uid="{00000000-0005-0000-0000-00007C000000}"/>
    <cellStyle name="40% - Accent2 8" xfId="1172" xr:uid="{00000000-0005-0000-0000-00007D000000}"/>
    <cellStyle name="40% - Accent2 9" xfId="1173" xr:uid="{00000000-0005-0000-0000-00007E000000}"/>
    <cellStyle name="40% - Accent3 2" xfId="565" xr:uid="{00000000-0005-0000-0000-00007F000000}"/>
    <cellStyle name="40% - Accent3 2 2" xfId="1174" xr:uid="{00000000-0005-0000-0000-000080000000}"/>
    <cellStyle name="40% - Accent3 3" xfId="1175" xr:uid="{00000000-0005-0000-0000-000081000000}"/>
    <cellStyle name="40% - Accent3 4" xfId="1176" xr:uid="{00000000-0005-0000-0000-000082000000}"/>
    <cellStyle name="40% - Accent3 5" xfId="1177" xr:uid="{00000000-0005-0000-0000-000083000000}"/>
    <cellStyle name="40% - Accent3 5 2" xfId="1178" xr:uid="{00000000-0005-0000-0000-000084000000}"/>
    <cellStyle name="40% - Accent3 5 2 2" xfId="1179" xr:uid="{00000000-0005-0000-0000-000085000000}"/>
    <cellStyle name="40% - Accent3 5 2 3" xfId="1180" xr:uid="{00000000-0005-0000-0000-000086000000}"/>
    <cellStyle name="40% - Accent3 5 3" xfId="1181" xr:uid="{00000000-0005-0000-0000-000087000000}"/>
    <cellStyle name="40% - Accent3 5 4" xfId="1182" xr:uid="{00000000-0005-0000-0000-000088000000}"/>
    <cellStyle name="40% - Accent3 5 5" xfId="1183" xr:uid="{00000000-0005-0000-0000-000089000000}"/>
    <cellStyle name="40% - Accent3 6" xfId="1184" xr:uid="{00000000-0005-0000-0000-00008A000000}"/>
    <cellStyle name="40% - Accent3 7" xfId="1185" xr:uid="{00000000-0005-0000-0000-00008B000000}"/>
    <cellStyle name="40% - Accent3 8" xfId="1186" xr:uid="{00000000-0005-0000-0000-00008C000000}"/>
    <cellStyle name="40% - Accent3 9" xfId="1187" xr:uid="{00000000-0005-0000-0000-00008D000000}"/>
    <cellStyle name="40% - Accent4 2" xfId="566" xr:uid="{00000000-0005-0000-0000-00008E000000}"/>
    <cellStyle name="40% - Accent4 2 2" xfId="1188" xr:uid="{00000000-0005-0000-0000-00008F000000}"/>
    <cellStyle name="40% - Accent4 3" xfId="1189" xr:uid="{00000000-0005-0000-0000-000090000000}"/>
    <cellStyle name="40% - Accent4 4" xfId="1190" xr:uid="{00000000-0005-0000-0000-000091000000}"/>
    <cellStyle name="40% - Accent4 5" xfId="1191" xr:uid="{00000000-0005-0000-0000-000092000000}"/>
    <cellStyle name="40% - Accent4 5 2" xfId="1192" xr:uid="{00000000-0005-0000-0000-000093000000}"/>
    <cellStyle name="40% - Accent4 5 2 2" xfId="1193" xr:uid="{00000000-0005-0000-0000-000094000000}"/>
    <cellStyle name="40% - Accent4 5 2 3" xfId="1194" xr:uid="{00000000-0005-0000-0000-000095000000}"/>
    <cellStyle name="40% - Accent4 5 3" xfId="1195" xr:uid="{00000000-0005-0000-0000-000096000000}"/>
    <cellStyle name="40% - Accent4 5 4" xfId="1196" xr:uid="{00000000-0005-0000-0000-000097000000}"/>
    <cellStyle name="40% - Accent4 5 5" xfId="1197" xr:uid="{00000000-0005-0000-0000-000098000000}"/>
    <cellStyle name="40% - Accent4 6" xfId="1198" xr:uid="{00000000-0005-0000-0000-000099000000}"/>
    <cellStyle name="40% - Accent4 7" xfId="1199" xr:uid="{00000000-0005-0000-0000-00009A000000}"/>
    <cellStyle name="40% - Accent4 8" xfId="1200" xr:uid="{00000000-0005-0000-0000-00009B000000}"/>
    <cellStyle name="40% - Accent4 9" xfId="1201" xr:uid="{00000000-0005-0000-0000-00009C000000}"/>
    <cellStyle name="40% - Accent5 2" xfId="567" xr:uid="{00000000-0005-0000-0000-00009D000000}"/>
    <cellStyle name="40% - Accent5 2 2" xfId="1202" xr:uid="{00000000-0005-0000-0000-00009E000000}"/>
    <cellStyle name="40% - Accent5 3" xfId="1203" xr:uid="{00000000-0005-0000-0000-00009F000000}"/>
    <cellStyle name="40% - Accent5 4" xfId="1204" xr:uid="{00000000-0005-0000-0000-0000A0000000}"/>
    <cellStyle name="40% - Accent5 5" xfId="1205" xr:uid="{00000000-0005-0000-0000-0000A1000000}"/>
    <cellStyle name="40% - Accent5 5 2" xfId="1206" xr:uid="{00000000-0005-0000-0000-0000A2000000}"/>
    <cellStyle name="40% - Accent5 5 2 2" xfId="1207" xr:uid="{00000000-0005-0000-0000-0000A3000000}"/>
    <cellStyle name="40% - Accent5 5 2 3" xfId="1208" xr:uid="{00000000-0005-0000-0000-0000A4000000}"/>
    <cellStyle name="40% - Accent5 5 3" xfId="1209" xr:uid="{00000000-0005-0000-0000-0000A5000000}"/>
    <cellStyle name="40% - Accent5 5 4" xfId="1210" xr:uid="{00000000-0005-0000-0000-0000A6000000}"/>
    <cellStyle name="40% - Accent5 5 5" xfId="1211" xr:uid="{00000000-0005-0000-0000-0000A7000000}"/>
    <cellStyle name="40% - Accent5 6" xfId="1212" xr:uid="{00000000-0005-0000-0000-0000A8000000}"/>
    <cellStyle name="40% - Accent5 7" xfId="1213" xr:uid="{00000000-0005-0000-0000-0000A9000000}"/>
    <cellStyle name="40% - Accent5 8" xfId="1214" xr:uid="{00000000-0005-0000-0000-0000AA000000}"/>
    <cellStyle name="40% - Accent5 9" xfId="1215" xr:uid="{00000000-0005-0000-0000-0000AB000000}"/>
    <cellStyle name="40% - Accent6 2" xfId="568" xr:uid="{00000000-0005-0000-0000-0000AC000000}"/>
    <cellStyle name="40% - Accent6 2 2" xfId="1216" xr:uid="{00000000-0005-0000-0000-0000AD000000}"/>
    <cellStyle name="40% - Accent6 3" xfId="1217" xr:uid="{00000000-0005-0000-0000-0000AE000000}"/>
    <cellStyle name="40% - Accent6 4" xfId="1218" xr:uid="{00000000-0005-0000-0000-0000AF000000}"/>
    <cellStyle name="40% - Accent6 5" xfId="1219" xr:uid="{00000000-0005-0000-0000-0000B0000000}"/>
    <cellStyle name="40% - Accent6 5 2" xfId="1220" xr:uid="{00000000-0005-0000-0000-0000B1000000}"/>
    <cellStyle name="40% - Accent6 5 2 2" xfId="1221" xr:uid="{00000000-0005-0000-0000-0000B2000000}"/>
    <cellStyle name="40% - Accent6 5 2 3" xfId="1222" xr:uid="{00000000-0005-0000-0000-0000B3000000}"/>
    <cellStyle name="40% - Accent6 5 3" xfId="1223" xr:uid="{00000000-0005-0000-0000-0000B4000000}"/>
    <cellStyle name="40% - Accent6 5 4" xfId="1224" xr:uid="{00000000-0005-0000-0000-0000B5000000}"/>
    <cellStyle name="40% - Accent6 5 5" xfId="1225" xr:uid="{00000000-0005-0000-0000-0000B6000000}"/>
    <cellStyle name="40% - Accent6 6" xfId="1226" xr:uid="{00000000-0005-0000-0000-0000B7000000}"/>
    <cellStyle name="40% - Accent6 7" xfId="1227" xr:uid="{00000000-0005-0000-0000-0000B8000000}"/>
    <cellStyle name="40% - Accent6 8" xfId="1228" xr:uid="{00000000-0005-0000-0000-0000B9000000}"/>
    <cellStyle name="40% - Accent6 9" xfId="1229" xr:uid="{00000000-0005-0000-0000-0000BA000000}"/>
    <cellStyle name="60% - Accent1 2" xfId="569" xr:uid="{00000000-0005-0000-0000-0000BB000000}"/>
    <cellStyle name="60% - Accent1 2 2" xfId="1230" xr:uid="{00000000-0005-0000-0000-0000BC000000}"/>
    <cellStyle name="60% - Accent1 3" xfId="1231" xr:uid="{00000000-0005-0000-0000-0000BD000000}"/>
    <cellStyle name="60% - Accent1 4" xfId="1232" xr:uid="{00000000-0005-0000-0000-0000BE000000}"/>
    <cellStyle name="60% - Accent1 5" xfId="1233" xr:uid="{00000000-0005-0000-0000-0000BF000000}"/>
    <cellStyle name="60% - Accent1 6" xfId="1234" xr:uid="{00000000-0005-0000-0000-0000C0000000}"/>
    <cellStyle name="60% - Accent1 7" xfId="1235" xr:uid="{00000000-0005-0000-0000-0000C1000000}"/>
    <cellStyle name="60% - Accent1 8" xfId="1236" xr:uid="{00000000-0005-0000-0000-0000C2000000}"/>
    <cellStyle name="60% - Accent1 9" xfId="1237" xr:uid="{00000000-0005-0000-0000-0000C3000000}"/>
    <cellStyle name="60% - Accent2 2" xfId="570" xr:uid="{00000000-0005-0000-0000-0000C4000000}"/>
    <cellStyle name="60% - Accent2 2 2" xfId="1238" xr:uid="{00000000-0005-0000-0000-0000C5000000}"/>
    <cellStyle name="60% - Accent2 3" xfId="1239" xr:uid="{00000000-0005-0000-0000-0000C6000000}"/>
    <cellStyle name="60% - Accent2 4" xfId="1240" xr:uid="{00000000-0005-0000-0000-0000C7000000}"/>
    <cellStyle name="60% - Accent2 5" xfId="1241" xr:uid="{00000000-0005-0000-0000-0000C8000000}"/>
    <cellStyle name="60% - Accent2 6" xfId="1242" xr:uid="{00000000-0005-0000-0000-0000C9000000}"/>
    <cellStyle name="60% - Accent2 7" xfId="1243" xr:uid="{00000000-0005-0000-0000-0000CA000000}"/>
    <cellStyle name="60% - Accent2 8" xfId="1244" xr:uid="{00000000-0005-0000-0000-0000CB000000}"/>
    <cellStyle name="60% - Accent2 9" xfId="1245" xr:uid="{00000000-0005-0000-0000-0000CC000000}"/>
    <cellStyle name="60% - Accent3 2" xfId="571" xr:uid="{00000000-0005-0000-0000-0000CD000000}"/>
    <cellStyle name="60% - Accent3 2 2" xfId="1246" xr:uid="{00000000-0005-0000-0000-0000CE000000}"/>
    <cellStyle name="60% - Accent3 3" xfId="1247" xr:uid="{00000000-0005-0000-0000-0000CF000000}"/>
    <cellStyle name="60% - Accent3 4" xfId="1248" xr:uid="{00000000-0005-0000-0000-0000D0000000}"/>
    <cellStyle name="60% - Accent3 5" xfId="1249" xr:uid="{00000000-0005-0000-0000-0000D1000000}"/>
    <cellStyle name="60% - Accent3 6" xfId="1250" xr:uid="{00000000-0005-0000-0000-0000D2000000}"/>
    <cellStyle name="60% - Accent3 7" xfId="1251" xr:uid="{00000000-0005-0000-0000-0000D3000000}"/>
    <cellStyle name="60% - Accent3 8" xfId="1252" xr:uid="{00000000-0005-0000-0000-0000D4000000}"/>
    <cellStyle name="60% - Accent3 9" xfId="1253" xr:uid="{00000000-0005-0000-0000-0000D5000000}"/>
    <cellStyle name="60% - Accent4 2" xfId="572" xr:uid="{00000000-0005-0000-0000-0000D6000000}"/>
    <cellStyle name="60% - Accent4 2 2" xfId="1254" xr:uid="{00000000-0005-0000-0000-0000D7000000}"/>
    <cellStyle name="60% - Accent4 3" xfId="1255" xr:uid="{00000000-0005-0000-0000-0000D8000000}"/>
    <cellStyle name="60% - Accent4 4" xfId="1256" xr:uid="{00000000-0005-0000-0000-0000D9000000}"/>
    <cellStyle name="60% - Accent4 5" xfId="1257" xr:uid="{00000000-0005-0000-0000-0000DA000000}"/>
    <cellStyle name="60% - Accent4 6" xfId="1258" xr:uid="{00000000-0005-0000-0000-0000DB000000}"/>
    <cellStyle name="60% - Accent4 7" xfId="1259" xr:uid="{00000000-0005-0000-0000-0000DC000000}"/>
    <cellStyle name="60% - Accent4 8" xfId="1260" xr:uid="{00000000-0005-0000-0000-0000DD000000}"/>
    <cellStyle name="60% - Accent4 9" xfId="1261" xr:uid="{00000000-0005-0000-0000-0000DE000000}"/>
    <cellStyle name="60% - Accent5 2" xfId="573" xr:uid="{00000000-0005-0000-0000-0000DF000000}"/>
    <cellStyle name="60% - Accent5 2 2" xfId="1262" xr:uid="{00000000-0005-0000-0000-0000E0000000}"/>
    <cellStyle name="60% - Accent5 3" xfId="1263" xr:uid="{00000000-0005-0000-0000-0000E1000000}"/>
    <cellStyle name="60% - Accent5 4" xfId="1264" xr:uid="{00000000-0005-0000-0000-0000E2000000}"/>
    <cellStyle name="60% - Accent5 5" xfId="1265" xr:uid="{00000000-0005-0000-0000-0000E3000000}"/>
    <cellStyle name="60% - Accent5 6" xfId="1266" xr:uid="{00000000-0005-0000-0000-0000E4000000}"/>
    <cellStyle name="60% - Accent5 7" xfId="1267" xr:uid="{00000000-0005-0000-0000-0000E5000000}"/>
    <cellStyle name="60% - Accent5 8" xfId="1268" xr:uid="{00000000-0005-0000-0000-0000E6000000}"/>
    <cellStyle name="60% - Accent5 9" xfId="1269" xr:uid="{00000000-0005-0000-0000-0000E7000000}"/>
    <cellStyle name="60% - Accent6 2" xfId="574" xr:uid="{00000000-0005-0000-0000-0000E8000000}"/>
    <cellStyle name="60% - Accent6 2 2" xfId="1270" xr:uid="{00000000-0005-0000-0000-0000E9000000}"/>
    <cellStyle name="60% - Accent6 3" xfId="1271" xr:uid="{00000000-0005-0000-0000-0000EA000000}"/>
    <cellStyle name="60% - Accent6 4" xfId="1272" xr:uid="{00000000-0005-0000-0000-0000EB000000}"/>
    <cellStyle name="60% - Accent6 5" xfId="1273" xr:uid="{00000000-0005-0000-0000-0000EC000000}"/>
    <cellStyle name="60% - Accent6 6" xfId="1274" xr:uid="{00000000-0005-0000-0000-0000ED000000}"/>
    <cellStyle name="60% - Accent6 7" xfId="1275" xr:uid="{00000000-0005-0000-0000-0000EE000000}"/>
    <cellStyle name="60% - Accent6 8" xfId="1276" xr:uid="{00000000-0005-0000-0000-0000EF000000}"/>
    <cellStyle name="60% - Accent6 9" xfId="1277" xr:uid="{00000000-0005-0000-0000-0000F0000000}"/>
    <cellStyle name="Accent1 2" xfId="575" xr:uid="{00000000-0005-0000-0000-0000F1000000}"/>
    <cellStyle name="Accent1 2 2" xfId="1278" xr:uid="{00000000-0005-0000-0000-0000F2000000}"/>
    <cellStyle name="Accent1 3" xfId="1279" xr:uid="{00000000-0005-0000-0000-0000F3000000}"/>
    <cellStyle name="Accent1 4" xfId="1280" xr:uid="{00000000-0005-0000-0000-0000F4000000}"/>
    <cellStyle name="Accent1 5" xfId="1281" xr:uid="{00000000-0005-0000-0000-0000F5000000}"/>
    <cellStyle name="Accent1 6" xfId="1282" xr:uid="{00000000-0005-0000-0000-0000F6000000}"/>
    <cellStyle name="Accent1 7" xfId="1283" xr:uid="{00000000-0005-0000-0000-0000F7000000}"/>
    <cellStyle name="Accent1 8" xfId="1284" xr:uid="{00000000-0005-0000-0000-0000F8000000}"/>
    <cellStyle name="Accent1 9" xfId="1285" xr:uid="{00000000-0005-0000-0000-0000F9000000}"/>
    <cellStyle name="Accent2 2" xfId="576" xr:uid="{00000000-0005-0000-0000-0000FA000000}"/>
    <cellStyle name="Accent2 2 2" xfId="1286" xr:uid="{00000000-0005-0000-0000-0000FB000000}"/>
    <cellStyle name="Accent2 3" xfId="1287" xr:uid="{00000000-0005-0000-0000-0000FC000000}"/>
    <cellStyle name="Accent2 4" xfId="1288" xr:uid="{00000000-0005-0000-0000-0000FD000000}"/>
    <cellStyle name="Accent2 5" xfId="1289" xr:uid="{00000000-0005-0000-0000-0000FE000000}"/>
    <cellStyle name="Accent2 6" xfId="1290" xr:uid="{00000000-0005-0000-0000-0000FF000000}"/>
    <cellStyle name="Accent2 7" xfId="1291" xr:uid="{00000000-0005-0000-0000-000000010000}"/>
    <cellStyle name="Accent2 8" xfId="1292" xr:uid="{00000000-0005-0000-0000-000001010000}"/>
    <cellStyle name="Accent2 9" xfId="1293" xr:uid="{00000000-0005-0000-0000-000002010000}"/>
    <cellStyle name="Accent3 2" xfId="577" xr:uid="{00000000-0005-0000-0000-000003010000}"/>
    <cellStyle name="Accent3 2 2" xfId="1294" xr:uid="{00000000-0005-0000-0000-000004010000}"/>
    <cellStyle name="Accent3 3" xfId="1295" xr:uid="{00000000-0005-0000-0000-000005010000}"/>
    <cellStyle name="Accent3 4" xfId="1296" xr:uid="{00000000-0005-0000-0000-000006010000}"/>
    <cellStyle name="Accent3 5" xfId="1297" xr:uid="{00000000-0005-0000-0000-000007010000}"/>
    <cellStyle name="Accent3 6" xfId="1298" xr:uid="{00000000-0005-0000-0000-000008010000}"/>
    <cellStyle name="Accent3 7" xfId="1299" xr:uid="{00000000-0005-0000-0000-000009010000}"/>
    <cellStyle name="Accent3 8" xfId="1300" xr:uid="{00000000-0005-0000-0000-00000A010000}"/>
    <cellStyle name="Accent3 9" xfId="1301" xr:uid="{00000000-0005-0000-0000-00000B010000}"/>
    <cellStyle name="Accent4 2" xfId="578" xr:uid="{00000000-0005-0000-0000-00000C010000}"/>
    <cellStyle name="Accent4 2 2" xfId="1302" xr:uid="{00000000-0005-0000-0000-00000D010000}"/>
    <cellStyle name="Accent4 3" xfId="1303" xr:uid="{00000000-0005-0000-0000-00000E010000}"/>
    <cellStyle name="Accent4 4" xfId="1304" xr:uid="{00000000-0005-0000-0000-00000F010000}"/>
    <cellStyle name="Accent4 5" xfId="1305" xr:uid="{00000000-0005-0000-0000-000010010000}"/>
    <cellStyle name="Accent4 6" xfId="1306" xr:uid="{00000000-0005-0000-0000-000011010000}"/>
    <cellStyle name="Accent4 7" xfId="1307" xr:uid="{00000000-0005-0000-0000-000012010000}"/>
    <cellStyle name="Accent4 8" xfId="1308" xr:uid="{00000000-0005-0000-0000-000013010000}"/>
    <cellStyle name="Accent4 9" xfId="1309" xr:uid="{00000000-0005-0000-0000-000014010000}"/>
    <cellStyle name="Accent5 2" xfId="579" xr:uid="{00000000-0005-0000-0000-000015010000}"/>
    <cellStyle name="Accent5 2 2" xfId="1310" xr:uid="{00000000-0005-0000-0000-000016010000}"/>
    <cellStyle name="Accent5 3" xfId="1311" xr:uid="{00000000-0005-0000-0000-000017010000}"/>
    <cellStyle name="Accent5 4" xfId="1312" xr:uid="{00000000-0005-0000-0000-000018010000}"/>
    <cellStyle name="Accent5 5" xfId="1313" xr:uid="{00000000-0005-0000-0000-000019010000}"/>
    <cellStyle name="Accent5 6" xfId="1314" xr:uid="{00000000-0005-0000-0000-00001A010000}"/>
    <cellStyle name="Accent5 7" xfId="1315" xr:uid="{00000000-0005-0000-0000-00001B010000}"/>
    <cellStyle name="Accent5 8" xfId="1316" xr:uid="{00000000-0005-0000-0000-00001C010000}"/>
    <cellStyle name="Accent5 9" xfId="1317" xr:uid="{00000000-0005-0000-0000-00001D010000}"/>
    <cellStyle name="Accent6 2" xfId="580" xr:uid="{00000000-0005-0000-0000-00001E010000}"/>
    <cellStyle name="Accent6 2 2" xfId="1318" xr:uid="{00000000-0005-0000-0000-00001F010000}"/>
    <cellStyle name="Accent6 3" xfId="1319" xr:uid="{00000000-0005-0000-0000-000020010000}"/>
    <cellStyle name="Accent6 4" xfId="1320" xr:uid="{00000000-0005-0000-0000-000021010000}"/>
    <cellStyle name="Accent6 5" xfId="1321" xr:uid="{00000000-0005-0000-0000-000022010000}"/>
    <cellStyle name="Accent6 6" xfId="1322" xr:uid="{00000000-0005-0000-0000-000023010000}"/>
    <cellStyle name="Accent6 7" xfId="1323" xr:uid="{00000000-0005-0000-0000-000024010000}"/>
    <cellStyle name="Accent6 8" xfId="1324" xr:uid="{00000000-0005-0000-0000-000025010000}"/>
    <cellStyle name="Accent6 9" xfId="1325" xr:uid="{00000000-0005-0000-0000-000026010000}"/>
    <cellStyle name="Bad 2" xfId="581" xr:uid="{00000000-0005-0000-0000-000027010000}"/>
    <cellStyle name="Bad 2 2" xfId="1326" xr:uid="{00000000-0005-0000-0000-000028010000}"/>
    <cellStyle name="Bad 3" xfId="1327" xr:uid="{00000000-0005-0000-0000-000029010000}"/>
    <cellStyle name="Bad 4" xfId="1328" xr:uid="{00000000-0005-0000-0000-00002A010000}"/>
    <cellStyle name="Bad 5" xfId="1329" xr:uid="{00000000-0005-0000-0000-00002B010000}"/>
    <cellStyle name="Bad 6" xfId="1330" xr:uid="{00000000-0005-0000-0000-00002C010000}"/>
    <cellStyle name="Bad 7" xfId="1331" xr:uid="{00000000-0005-0000-0000-00002D010000}"/>
    <cellStyle name="Bad 8" xfId="1332" xr:uid="{00000000-0005-0000-0000-00002E010000}"/>
    <cellStyle name="Bad 9" xfId="1333" xr:uid="{00000000-0005-0000-0000-00002F010000}"/>
    <cellStyle name="Basic" xfId="8" xr:uid="{00000000-0005-0000-0000-000030010000}"/>
    <cellStyle name="black" xfId="9" xr:uid="{00000000-0005-0000-0000-000031010000}"/>
    <cellStyle name="blu" xfId="10" xr:uid="{00000000-0005-0000-0000-000032010000}"/>
    <cellStyle name="bot" xfId="11" xr:uid="{00000000-0005-0000-0000-000033010000}"/>
    <cellStyle name="Bullet" xfId="12" xr:uid="{00000000-0005-0000-0000-000034010000}"/>
    <cellStyle name="Bullet [0]" xfId="13" xr:uid="{00000000-0005-0000-0000-000035010000}"/>
    <cellStyle name="Bullet [2]" xfId="14" xr:uid="{00000000-0005-0000-0000-000036010000}"/>
    <cellStyle name="Bullet [4]" xfId="15" xr:uid="{00000000-0005-0000-0000-000037010000}"/>
    <cellStyle name="c" xfId="16" xr:uid="{00000000-0005-0000-0000-000038010000}"/>
    <cellStyle name="c," xfId="17" xr:uid="{00000000-0005-0000-0000-000039010000}"/>
    <cellStyle name="c_HardInc " xfId="18" xr:uid="{00000000-0005-0000-0000-00003A010000}"/>
    <cellStyle name="c_HardInc _ITC Great Plains Formula 1-12-09a" xfId="19" xr:uid="{00000000-0005-0000-0000-00003B010000}"/>
    <cellStyle name="C00A" xfId="20" xr:uid="{00000000-0005-0000-0000-00003C010000}"/>
    <cellStyle name="C00B" xfId="21" xr:uid="{00000000-0005-0000-0000-00003D010000}"/>
    <cellStyle name="C00L" xfId="22" xr:uid="{00000000-0005-0000-0000-00003E010000}"/>
    <cellStyle name="C01A" xfId="23" xr:uid="{00000000-0005-0000-0000-00003F010000}"/>
    <cellStyle name="C01B" xfId="24" xr:uid="{00000000-0005-0000-0000-000040010000}"/>
    <cellStyle name="C01H" xfId="25" xr:uid="{00000000-0005-0000-0000-000041010000}"/>
    <cellStyle name="C01L" xfId="26" xr:uid="{00000000-0005-0000-0000-000042010000}"/>
    <cellStyle name="C02A" xfId="27" xr:uid="{00000000-0005-0000-0000-000043010000}"/>
    <cellStyle name="C02B" xfId="28" xr:uid="{00000000-0005-0000-0000-000044010000}"/>
    <cellStyle name="C02H" xfId="29" xr:uid="{00000000-0005-0000-0000-000045010000}"/>
    <cellStyle name="C02L" xfId="30" xr:uid="{00000000-0005-0000-0000-000046010000}"/>
    <cellStyle name="C03A" xfId="31" xr:uid="{00000000-0005-0000-0000-000047010000}"/>
    <cellStyle name="C03B" xfId="32" xr:uid="{00000000-0005-0000-0000-000048010000}"/>
    <cellStyle name="C03H" xfId="33" xr:uid="{00000000-0005-0000-0000-000049010000}"/>
    <cellStyle name="C03L" xfId="34" xr:uid="{00000000-0005-0000-0000-00004A010000}"/>
    <cellStyle name="C04A" xfId="35" xr:uid="{00000000-0005-0000-0000-00004B010000}"/>
    <cellStyle name="C04B" xfId="36" xr:uid="{00000000-0005-0000-0000-00004C010000}"/>
    <cellStyle name="C04H" xfId="37" xr:uid="{00000000-0005-0000-0000-00004D010000}"/>
    <cellStyle name="C04L" xfId="38" xr:uid="{00000000-0005-0000-0000-00004E010000}"/>
    <cellStyle name="C05A" xfId="39" xr:uid="{00000000-0005-0000-0000-00004F010000}"/>
    <cellStyle name="C05B" xfId="40" xr:uid="{00000000-0005-0000-0000-000050010000}"/>
    <cellStyle name="C05H" xfId="41" xr:uid="{00000000-0005-0000-0000-000051010000}"/>
    <cellStyle name="C05L" xfId="42" xr:uid="{00000000-0005-0000-0000-000052010000}"/>
    <cellStyle name="C05L 2" xfId="43" xr:uid="{00000000-0005-0000-0000-000053010000}"/>
    <cellStyle name="C06A" xfId="44" xr:uid="{00000000-0005-0000-0000-000054010000}"/>
    <cellStyle name="C06B" xfId="45" xr:uid="{00000000-0005-0000-0000-000055010000}"/>
    <cellStyle name="C06H" xfId="46" xr:uid="{00000000-0005-0000-0000-000056010000}"/>
    <cellStyle name="C06L" xfId="47" xr:uid="{00000000-0005-0000-0000-000057010000}"/>
    <cellStyle name="C07A" xfId="48" xr:uid="{00000000-0005-0000-0000-000058010000}"/>
    <cellStyle name="C07B" xfId="49" xr:uid="{00000000-0005-0000-0000-000059010000}"/>
    <cellStyle name="C07H" xfId="50" xr:uid="{00000000-0005-0000-0000-00005A010000}"/>
    <cellStyle name="C07L" xfId="51" xr:uid="{00000000-0005-0000-0000-00005B010000}"/>
    <cellStyle name="c1" xfId="52" xr:uid="{00000000-0005-0000-0000-00005C010000}"/>
    <cellStyle name="c1," xfId="53" xr:uid="{00000000-0005-0000-0000-00005D010000}"/>
    <cellStyle name="c2" xfId="54" xr:uid="{00000000-0005-0000-0000-00005E010000}"/>
    <cellStyle name="c2," xfId="55" xr:uid="{00000000-0005-0000-0000-00005F010000}"/>
    <cellStyle name="c3" xfId="56" xr:uid="{00000000-0005-0000-0000-000060010000}"/>
    <cellStyle name="Calculation 2" xfId="582" xr:uid="{00000000-0005-0000-0000-000061010000}"/>
    <cellStyle name="Calculation 2 2" xfId="1334" xr:uid="{00000000-0005-0000-0000-000062010000}"/>
    <cellStyle name="Calculation 3" xfId="1335" xr:uid="{00000000-0005-0000-0000-000063010000}"/>
    <cellStyle name="Calculation 4" xfId="1336" xr:uid="{00000000-0005-0000-0000-000064010000}"/>
    <cellStyle name="Calculation 5" xfId="1337" xr:uid="{00000000-0005-0000-0000-000065010000}"/>
    <cellStyle name="Calculation 6" xfId="1338" xr:uid="{00000000-0005-0000-0000-000066010000}"/>
    <cellStyle name="Calculation 7" xfId="1339" xr:uid="{00000000-0005-0000-0000-000067010000}"/>
    <cellStyle name="Calculation 8" xfId="1340" xr:uid="{00000000-0005-0000-0000-000068010000}"/>
    <cellStyle name="Calculation 9" xfId="1341" xr:uid="{00000000-0005-0000-0000-000069010000}"/>
    <cellStyle name="cas" xfId="57" xr:uid="{00000000-0005-0000-0000-00006A010000}"/>
    <cellStyle name="Centered Heading" xfId="58" xr:uid="{00000000-0005-0000-0000-00006B010000}"/>
    <cellStyle name="Check Cell 2" xfId="583" xr:uid="{00000000-0005-0000-0000-00006C010000}"/>
    <cellStyle name="Check Cell 2 2" xfId="1342" xr:uid="{00000000-0005-0000-0000-00006D010000}"/>
    <cellStyle name="Check Cell 3" xfId="1343" xr:uid="{00000000-0005-0000-0000-00006E010000}"/>
    <cellStyle name="Check Cell 4" xfId="1344" xr:uid="{00000000-0005-0000-0000-00006F010000}"/>
    <cellStyle name="Check Cell 5" xfId="1345" xr:uid="{00000000-0005-0000-0000-000070010000}"/>
    <cellStyle name="Check Cell 6" xfId="1346" xr:uid="{00000000-0005-0000-0000-000071010000}"/>
    <cellStyle name="Check Cell 7" xfId="1347" xr:uid="{00000000-0005-0000-0000-000072010000}"/>
    <cellStyle name="Check Cell 8" xfId="1348" xr:uid="{00000000-0005-0000-0000-000073010000}"/>
    <cellStyle name="Check Cell 9" xfId="1349" xr:uid="{00000000-0005-0000-0000-000074010000}"/>
    <cellStyle name="Comma" xfId="59" builtinId="3"/>
    <cellStyle name="Comma  - Style1" xfId="60" xr:uid="{00000000-0005-0000-0000-000076010000}"/>
    <cellStyle name="Comma  - Style2" xfId="61" xr:uid="{00000000-0005-0000-0000-000077010000}"/>
    <cellStyle name="Comma  - Style3" xfId="62" xr:uid="{00000000-0005-0000-0000-000078010000}"/>
    <cellStyle name="Comma  - Style4" xfId="63" xr:uid="{00000000-0005-0000-0000-000079010000}"/>
    <cellStyle name="Comma  - Style5" xfId="64" xr:uid="{00000000-0005-0000-0000-00007A010000}"/>
    <cellStyle name="Comma  - Style6" xfId="65" xr:uid="{00000000-0005-0000-0000-00007B010000}"/>
    <cellStyle name="Comma  - Style7" xfId="66" xr:uid="{00000000-0005-0000-0000-00007C010000}"/>
    <cellStyle name="Comma  - Style8" xfId="67" xr:uid="{00000000-0005-0000-0000-00007D010000}"/>
    <cellStyle name="Comma [0] 2" xfId="68" xr:uid="{00000000-0005-0000-0000-00007E010000}"/>
    <cellStyle name="Comma [0] 2 2" xfId="9822" xr:uid="{00000000-0005-0000-0000-00007F010000}"/>
    <cellStyle name="Comma [0] 2 2 2" xfId="9827" xr:uid="{00000000-0005-0000-0000-000080010000}"/>
    <cellStyle name="Comma [0] 3" xfId="9825" xr:uid="{00000000-0005-0000-0000-000081010000}"/>
    <cellStyle name="Comma [1]" xfId="69" xr:uid="{00000000-0005-0000-0000-000082010000}"/>
    <cellStyle name="Comma [2]" xfId="70" xr:uid="{00000000-0005-0000-0000-000083010000}"/>
    <cellStyle name="Comma [3]" xfId="71" xr:uid="{00000000-0005-0000-0000-000084010000}"/>
    <cellStyle name="Comma 0.0" xfId="72" xr:uid="{00000000-0005-0000-0000-000085010000}"/>
    <cellStyle name="Comma 0.00" xfId="73" xr:uid="{00000000-0005-0000-0000-000086010000}"/>
    <cellStyle name="Comma 0.000" xfId="74" xr:uid="{00000000-0005-0000-0000-000087010000}"/>
    <cellStyle name="Comma 0.0000" xfId="75" xr:uid="{00000000-0005-0000-0000-000088010000}"/>
    <cellStyle name="Comma 10" xfId="76" xr:uid="{00000000-0005-0000-0000-000089010000}"/>
    <cellStyle name="Comma 10 2" xfId="587" xr:uid="{00000000-0005-0000-0000-00008A010000}"/>
    <cellStyle name="Comma 10 2 2" xfId="1350" xr:uid="{00000000-0005-0000-0000-00008B010000}"/>
    <cellStyle name="Comma 10 3" xfId="1351" xr:uid="{00000000-0005-0000-0000-00008C010000}"/>
    <cellStyle name="Comma 11" xfId="77" xr:uid="{00000000-0005-0000-0000-00008D010000}"/>
    <cellStyle name="Comma 11 2" xfId="588" xr:uid="{00000000-0005-0000-0000-00008E010000}"/>
    <cellStyle name="Comma 12" xfId="553" xr:uid="{00000000-0005-0000-0000-00008F010000}"/>
    <cellStyle name="Comma 12 2" xfId="1061" xr:uid="{00000000-0005-0000-0000-000090010000}"/>
    <cellStyle name="Comma 12 2 2" xfId="9818" xr:uid="{00000000-0005-0000-0000-000091010000}"/>
    <cellStyle name="Comma 13" xfId="552" xr:uid="{00000000-0005-0000-0000-000092010000}"/>
    <cellStyle name="Comma 13 2" xfId="1352" xr:uid="{00000000-0005-0000-0000-000093010000}"/>
    <cellStyle name="Comma 13 2 2" xfId="1353" xr:uid="{00000000-0005-0000-0000-000094010000}"/>
    <cellStyle name="Comma 13 2 3" xfId="1354" xr:uid="{00000000-0005-0000-0000-000095010000}"/>
    <cellStyle name="Comma 13 3" xfId="1355" xr:uid="{00000000-0005-0000-0000-000096010000}"/>
    <cellStyle name="Comma 13 4" xfId="1356" xr:uid="{00000000-0005-0000-0000-000097010000}"/>
    <cellStyle name="Comma 13 5" xfId="1357" xr:uid="{00000000-0005-0000-0000-000098010000}"/>
    <cellStyle name="Comma 14" xfId="551" xr:uid="{00000000-0005-0000-0000-000099010000}"/>
    <cellStyle name="Comma 15" xfId="550" xr:uid="{00000000-0005-0000-0000-00009A010000}"/>
    <cellStyle name="Comma 16" xfId="549" xr:uid="{00000000-0005-0000-0000-00009B010000}"/>
    <cellStyle name="Comma 17" xfId="548" xr:uid="{00000000-0005-0000-0000-00009C010000}"/>
    <cellStyle name="Comma 18" xfId="547" xr:uid="{00000000-0005-0000-0000-00009D010000}"/>
    <cellStyle name="Comma 19" xfId="546" xr:uid="{00000000-0005-0000-0000-00009E010000}"/>
    <cellStyle name="Comma 2" xfId="78" xr:uid="{00000000-0005-0000-0000-00009F010000}"/>
    <cellStyle name="Comma 2 2" xfId="79" xr:uid="{00000000-0005-0000-0000-0000A0010000}"/>
    <cellStyle name="Comma 2 3" xfId="545" xr:uid="{00000000-0005-0000-0000-0000A1010000}"/>
    <cellStyle name="Comma 2 4" xfId="593" xr:uid="{00000000-0005-0000-0000-0000A2010000}"/>
    <cellStyle name="Comma 20" xfId="544" xr:uid="{00000000-0005-0000-0000-0000A3010000}"/>
    <cellStyle name="Comma 21" xfId="543" xr:uid="{00000000-0005-0000-0000-0000A4010000}"/>
    <cellStyle name="Comma 22" xfId="542" xr:uid="{00000000-0005-0000-0000-0000A5010000}"/>
    <cellStyle name="Comma 23" xfId="541" xr:uid="{00000000-0005-0000-0000-0000A6010000}"/>
    <cellStyle name="Comma 24" xfId="540" xr:uid="{00000000-0005-0000-0000-0000A7010000}"/>
    <cellStyle name="Comma 25" xfId="539" xr:uid="{00000000-0005-0000-0000-0000A8010000}"/>
    <cellStyle name="Comma 26" xfId="538" xr:uid="{00000000-0005-0000-0000-0000A9010000}"/>
    <cellStyle name="Comma 27" xfId="537" xr:uid="{00000000-0005-0000-0000-0000AA010000}"/>
    <cellStyle name="Comma 28" xfId="536" xr:uid="{00000000-0005-0000-0000-0000AB010000}"/>
    <cellStyle name="Comma 29" xfId="535" xr:uid="{00000000-0005-0000-0000-0000AC010000}"/>
    <cellStyle name="Comma 3" xfId="80" xr:uid="{00000000-0005-0000-0000-0000AD010000}"/>
    <cellStyle name="Comma 3 2" xfId="81" xr:uid="{00000000-0005-0000-0000-0000AE010000}"/>
    <cellStyle name="Comma 3 2 2" xfId="534" xr:uid="{00000000-0005-0000-0000-0000AF010000}"/>
    <cellStyle name="Comma 3 2 2 2" xfId="599" xr:uid="{00000000-0005-0000-0000-0000B0010000}"/>
    <cellStyle name="Comma 3 2 2 2 2" xfId="729" xr:uid="{00000000-0005-0000-0000-0000B1010000}"/>
    <cellStyle name="Comma 3 2 2 2 2 2" xfId="957" xr:uid="{00000000-0005-0000-0000-0000B2010000}"/>
    <cellStyle name="Comma 3 2 2 2 2 2 2" xfId="9714" xr:uid="{00000000-0005-0000-0000-0000B3010000}"/>
    <cellStyle name="Comma 3 2 2 2 2 3" xfId="9498" xr:uid="{00000000-0005-0000-0000-0000B4010000}"/>
    <cellStyle name="Comma 3 2 2 2 3" xfId="813" xr:uid="{00000000-0005-0000-0000-0000B5010000}"/>
    <cellStyle name="Comma 3 2 2 2 3 2" xfId="1029" xr:uid="{00000000-0005-0000-0000-0000B6010000}"/>
    <cellStyle name="Comma 3 2 2 2 3 2 2" xfId="9786" xr:uid="{00000000-0005-0000-0000-0000B7010000}"/>
    <cellStyle name="Comma 3 2 2 2 3 3" xfId="9570" xr:uid="{00000000-0005-0000-0000-0000B8010000}"/>
    <cellStyle name="Comma 3 2 2 2 4" xfId="885" xr:uid="{00000000-0005-0000-0000-0000B9010000}"/>
    <cellStyle name="Comma 3 2 2 2 4 2" xfId="9642" xr:uid="{00000000-0005-0000-0000-0000BA010000}"/>
    <cellStyle name="Comma 3 2 2 2 5" xfId="9426" xr:uid="{00000000-0005-0000-0000-0000BB010000}"/>
    <cellStyle name="Comma 3 2 2 3" xfId="626" xr:uid="{00000000-0005-0000-0000-0000BC010000}"/>
    <cellStyle name="Comma 3 2 2 3 2" xfId="735" xr:uid="{00000000-0005-0000-0000-0000BD010000}"/>
    <cellStyle name="Comma 3 2 2 3 2 2" xfId="963" xr:uid="{00000000-0005-0000-0000-0000BE010000}"/>
    <cellStyle name="Comma 3 2 2 3 2 2 2" xfId="9720" xr:uid="{00000000-0005-0000-0000-0000BF010000}"/>
    <cellStyle name="Comma 3 2 2 3 2 3" xfId="9504" xr:uid="{00000000-0005-0000-0000-0000C0010000}"/>
    <cellStyle name="Comma 3 2 2 3 3" xfId="819" xr:uid="{00000000-0005-0000-0000-0000C1010000}"/>
    <cellStyle name="Comma 3 2 2 3 3 2" xfId="1035" xr:uid="{00000000-0005-0000-0000-0000C2010000}"/>
    <cellStyle name="Comma 3 2 2 3 3 2 2" xfId="9792" xr:uid="{00000000-0005-0000-0000-0000C3010000}"/>
    <cellStyle name="Comma 3 2 2 3 3 3" xfId="9576" xr:uid="{00000000-0005-0000-0000-0000C4010000}"/>
    <cellStyle name="Comma 3 2 2 3 4" xfId="891" xr:uid="{00000000-0005-0000-0000-0000C5010000}"/>
    <cellStyle name="Comma 3 2 2 3 4 2" xfId="9648" xr:uid="{00000000-0005-0000-0000-0000C6010000}"/>
    <cellStyle name="Comma 3 2 2 3 5" xfId="9432" xr:uid="{00000000-0005-0000-0000-0000C7010000}"/>
    <cellStyle name="Comma 3 2 2 4" xfId="664" xr:uid="{00000000-0005-0000-0000-0000C8010000}"/>
    <cellStyle name="Comma 3 2 2 4 2" xfId="766" xr:uid="{00000000-0005-0000-0000-0000C9010000}"/>
    <cellStyle name="Comma 3 2 2 4 2 2" xfId="982" xr:uid="{00000000-0005-0000-0000-0000CA010000}"/>
    <cellStyle name="Comma 3 2 2 4 2 2 2" xfId="9739" xr:uid="{00000000-0005-0000-0000-0000CB010000}"/>
    <cellStyle name="Comma 3 2 2 4 2 3" xfId="9523" xr:uid="{00000000-0005-0000-0000-0000CC010000}"/>
    <cellStyle name="Comma 3 2 2 4 3" xfId="838" xr:uid="{00000000-0005-0000-0000-0000CD010000}"/>
    <cellStyle name="Comma 3 2 2 4 3 2" xfId="1054" xr:uid="{00000000-0005-0000-0000-0000CE010000}"/>
    <cellStyle name="Comma 3 2 2 4 3 2 2" xfId="9811" xr:uid="{00000000-0005-0000-0000-0000CF010000}"/>
    <cellStyle name="Comma 3 2 2 4 3 3" xfId="9595" xr:uid="{00000000-0005-0000-0000-0000D0010000}"/>
    <cellStyle name="Comma 3 2 2 4 4" xfId="910" xr:uid="{00000000-0005-0000-0000-0000D1010000}"/>
    <cellStyle name="Comma 3 2 2 4 4 2" xfId="9667" xr:uid="{00000000-0005-0000-0000-0000D2010000}"/>
    <cellStyle name="Comma 3 2 2 4 5" xfId="9451" xr:uid="{00000000-0005-0000-0000-0000D3010000}"/>
    <cellStyle name="Comma 3 2 2 5" xfId="728" xr:uid="{00000000-0005-0000-0000-0000D4010000}"/>
    <cellStyle name="Comma 3 2 2 5 2" xfId="956" xr:uid="{00000000-0005-0000-0000-0000D5010000}"/>
    <cellStyle name="Comma 3 2 2 5 2 2" xfId="9713" xr:uid="{00000000-0005-0000-0000-0000D6010000}"/>
    <cellStyle name="Comma 3 2 2 5 3" xfId="9497" xr:uid="{00000000-0005-0000-0000-0000D7010000}"/>
    <cellStyle name="Comma 3 2 2 6" xfId="812" xr:uid="{00000000-0005-0000-0000-0000D8010000}"/>
    <cellStyle name="Comma 3 2 2 6 2" xfId="1028" xr:uid="{00000000-0005-0000-0000-0000D9010000}"/>
    <cellStyle name="Comma 3 2 2 6 2 2" xfId="9785" xr:uid="{00000000-0005-0000-0000-0000DA010000}"/>
    <cellStyle name="Comma 3 2 2 6 3" xfId="9569" xr:uid="{00000000-0005-0000-0000-0000DB010000}"/>
    <cellStyle name="Comma 3 2 2 7" xfId="884" xr:uid="{00000000-0005-0000-0000-0000DC010000}"/>
    <cellStyle name="Comma 3 2 2 7 2" xfId="9641" xr:uid="{00000000-0005-0000-0000-0000DD010000}"/>
    <cellStyle name="Comma 3 2 2 8" xfId="9425" xr:uid="{00000000-0005-0000-0000-0000DE010000}"/>
    <cellStyle name="Comma 3 3" xfId="585" xr:uid="{00000000-0005-0000-0000-0000DF010000}"/>
    <cellStyle name="Comma 3 4" xfId="586" xr:uid="{00000000-0005-0000-0000-0000E0010000}"/>
    <cellStyle name="Comma 3 5" xfId="638" xr:uid="{00000000-0005-0000-0000-0000E1010000}"/>
    <cellStyle name="Comma 3 5 2" xfId="744" xr:uid="{00000000-0005-0000-0000-0000E2010000}"/>
    <cellStyle name="Comma 30" xfId="533" xr:uid="{00000000-0005-0000-0000-0000E3010000}"/>
    <cellStyle name="Comma 31" xfId="532" xr:uid="{00000000-0005-0000-0000-0000E4010000}"/>
    <cellStyle name="Comma 32" xfId="531" xr:uid="{00000000-0005-0000-0000-0000E5010000}"/>
    <cellStyle name="Comma 33" xfId="530" xr:uid="{00000000-0005-0000-0000-0000E6010000}"/>
    <cellStyle name="Comma 34" xfId="529" xr:uid="{00000000-0005-0000-0000-0000E7010000}"/>
    <cellStyle name="Comma 35" xfId="528" xr:uid="{00000000-0005-0000-0000-0000E8010000}"/>
    <cellStyle name="Comma 36" xfId="527" xr:uid="{00000000-0005-0000-0000-0000E9010000}"/>
    <cellStyle name="Comma 37" xfId="526" xr:uid="{00000000-0005-0000-0000-0000EA010000}"/>
    <cellStyle name="Comma 38" xfId="525" xr:uid="{00000000-0005-0000-0000-0000EB010000}"/>
    <cellStyle name="Comma 39" xfId="524" xr:uid="{00000000-0005-0000-0000-0000EC010000}"/>
    <cellStyle name="Comma 4" xfId="82" xr:uid="{00000000-0005-0000-0000-0000ED010000}"/>
    <cellStyle name="Comma 4 2" xfId="523" xr:uid="{00000000-0005-0000-0000-0000EE010000}"/>
    <cellStyle name="Comma 4 3" xfId="522" xr:uid="{00000000-0005-0000-0000-0000EF010000}"/>
    <cellStyle name="Comma 4 3 2" xfId="603" xr:uid="{00000000-0005-0000-0000-0000F0010000}"/>
    <cellStyle name="Comma 4 3 2 2" xfId="730" xr:uid="{00000000-0005-0000-0000-0000F1010000}"/>
    <cellStyle name="Comma 4 3 2 2 2" xfId="958" xr:uid="{00000000-0005-0000-0000-0000F2010000}"/>
    <cellStyle name="Comma 4 3 2 2 2 2" xfId="9715" xr:uid="{00000000-0005-0000-0000-0000F3010000}"/>
    <cellStyle name="Comma 4 3 2 2 3" xfId="9499" xr:uid="{00000000-0005-0000-0000-0000F4010000}"/>
    <cellStyle name="Comma 4 3 2 3" xfId="814" xr:uid="{00000000-0005-0000-0000-0000F5010000}"/>
    <cellStyle name="Comma 4 3 2 3 2" xfId="1030" xr:uid="{00000000-0005-0000-0000-0000F6010000}"/>
    <cellStyle name="Comma 4 3 2 3 2 2" xfId="9787" xr:uid="{00000000-0005-0000-0000-0000F7010000}"/>
    <cellStyle name="Comma 4 3 2 3 3" xfId="9571" xr:uid="{00000000-0005-0000-0000-0000F8010000}"/>
    <cellStyle name="Comma 4 3 2 4" xfId="886" xr:uid="{00000000-0005-0000-0000-0000F9010000}"/>
    <cellStyle name="Comma 4 3 2 4 2" xfId="9643" xr:uid="{00000000-0005-0000-0000-0000FA010000}"/>
    <cellStyle name="Comma 4 3 2 5" xfId="9427" xr:uid="{00000000-0005-0000-0000-0000FB010000}"/>
    <cellStyle name="Comma 4 3 3" xfId="627" xr:uid="{00000000-0005-0000-0000-0000FC010000}"/>
    <cellStyle name="Comma 4 3 3 2" xfId="736" xr:uid="{00000000-0005-0000-0000-0000FD010000}"/>
    <cellStyle name="Comma 4 3 3 2 2" xfId="964" xr:uid="{00000000-0005-0000-0000-0000FE010000}"/>
    <cellStyle name="Comma 4 3 3 2 2 2" xfId="9721" xr:uid="{00000000-0005-0000-0000-0000FF010000}"/>
    <cellStyle name="Comma 4 3 3 2 3" xfId="9505" xr:uid="{00000000-0005-0000-0000-000000020000}"/>
    <cellStyle name="Comma 4 3 3 3" xfId="820" xr:uid="{00000000-0005-0000-0000-000001020000}"/>
    <cellStyle name="Comma 4 3 3 3 2" xfId="1036" xr:uid="{00000000-0005-0000-0000-000002020000}"/>
    <cellStyle name="Comma 4 3 3 3 2 2" xfId="9793" xr:uid="{00000000-0005-0000-0000-000003020000}"/>
    <cellStyle name="Comma 4 3 3 3 3" xfId="9577" xr:uid="{00000000-0005-0000-0000-000004020000}"/>
    <cellStyle name="Comma 4 3 3 4" xfId="892" xr:uid="{00000000-0005-0000-0000-000005020000}"/>
    <cellStyle name="Comma 4 3 3 4 2" xfId="9649" xr:uid="{00000000-0005-0000-0000-000006020000}"/>
    <cellStyle name="Comma 4 3 3 5" xfId="9433" xr:uid="{00000000-0005-0000-0000-000007020000}"/>
    <cellStyle name="Comma 4 3 4" xfId="667" xr:uid="{00000000-0005-0000-0000-000008020000}"/>
    <cellStyle name="Comma 4 3 4 2" xfId="767" xr:uid="{00000000-0005-0000-0000-000009020000}"/>
    <cellStyle name="Comma 4 3 4 2 2" xfId="983" xr:uid="{00000000-0005-0000-0000-00000A020000}"/>
    <cellStyle name="Comma 4 3 4 2 2 2" xfId="9740" xr:uid="{00000000-0005-0000-0000-00000B020000}"/>
    <cellStyle name="Comma 4 3 4 2 3" xfId="9524" xr:uid="{00000000-0005-0000-0000-00000C020000}"/>
    <cellStyle name="Comma 4 3 4 3" xfId="839" xr:uid="{00000000-0005-0000-0000-00000D020000}"/>
    <cellStyle name="Comma 4 3 4 3 2" xfId="1055" xr:uid="{00000000-0005-0000-0000-00000E020000}"/>
    <cellStyle name="Comma 4 3 4 3 2 2" xfId="9812" xr:uid="{00000000-0005-0000-0000-00000F020000}"/>
    <cellStyle name="Comma 4 3 4 3 3" xfId="9596" xr:uid="{00000000-0005-0000-0000-000010020000}"/>
    <cellStyle name="Comma 4 3 4 4" xfId="911" xr:uid="{00000000-0005-0000-0000-000011020000}"/>
    <cellStyle name="Comma 4 3 4 4 2" xfId="9668" xr:uid="{00000000-0005-0000-0000-000012020000}"/>
    <cellStyle name="Comma 4 3 4 5" xfId="9452" xr:uid="{00000000-0005-0000-0000-000013020000}"/>
    <cellStyle name="Comma 4 3 5" xfId="727" xr:uid="{00000000-0005-0000-0000-000014020000}"/>
    <cellStyle name="Comma 4 3 5 2" xfId="955" xr:uid="{00000000-0005-0000-0000-000015020000}"/>
    <cellStyle name="Comma 4 3 5 2 2" xfId="9712" xr:uid="{00000000-0005-0000-0000-000016020000}"/>
    <cellStyle name="Comma 4 3 5 3" xfId="9496" xr:uid="{00000000-0005-0000-0000-000017020000}"/>
    <cellStyle name="Comma 4 3 6" xfId="811" xr:uid="{00000000-0005-0000-0000-000018020000}"/>
    <cellStyle name="Comma 4 3 6 2" xfId="1027" xr:uid="{00000000-0005-0000-0000-000019020000}"/>
    <cellStyle name="Comma 4 3 6 2 2" xfId="9784" xr:uid="{00000000-0005-0000-0000-00001A020000}"/>
    <cellStyle name="Comma 4 3 6 3" xfId="9568" xr:uid="{00000000-0005-0000-0000-00001B020000}"/>
    <cellStyle name="Comma 4 3 7" xfId="883" xr:uid="{00000000-0005-0000-0000-00001C020000}"/>
    <cellStyle name="Comma 4 3 7 2" xfId="9640" xr:uid="{00000000-0005-0000-0000-00001D020000}"/>
    <cellStyle name="Comma 4 3 8" xfId="9424" xr:uid="{00000000-0005-0000-0000-00001E020000}"/>
    <cellStyle name="Comma 4 4" xfId="1358" xr:uid="{00000000-0005-0000-0000-00001F020000}"/>
    <cellStyle name="Comma 40" xfId="521" xr:uid="{00000000-0005-0000-0000-000020020000}"/>
    <cellStyle name="Comma 41" xfId="520" xr:uid="{00000000-0005-0000-0000-000021020000}"/>
    <cellStyle name="Comma 42" xfId="519" xr:uid="{00000000-0005-0000-0000-000022020000}"/>
    <cellStyle name="Comma 43" xfId="518" xr:uid="{00000000-0005-0000-0000-000023020000}"/>
    <cellStyle name="Comma 44" xfId="517" xr:uid="{00000000-0005-0000-0000-000024020000}"/>
    <cellStyle name="Comma 45" xfId="516" xr:uid="{00000000-0005-0000-0000-000025020000}"/>
    <cellStyle name="Comma 46" xfId="515" xr:uid="{00000000-0005-0000-0000-000026020000}"/>
    <cellStyle name="Comma 47" xfId="514" xr:uid="{00000000-0005-0000-0000-000027020000}"/>
    <cellStyle name="Comma 48" xfId="513" xr:uid="{00000000-0005-0000-0000-000028020000}"/>
    <cellStyle name="Comma 49" xfId="512" xr:uid="{00000000-0005-0000-0000-000029020000}"/>
    <cellStyle name="Comma 5" xfId="83" xr:uid="{00000000-0005-0000-0000-00002A020000}"/>
    <cellStyle name="Comma 5 2" xfId="1359" xr:uid="{00000000-0005-0000-0000-00002B020000}"/>
    <cellStyle name="Comma 5 3" xfId="1360" xr:uid="{00000000-0005-0000-0000-00002C020000}"/>
    <cellStyle name="Comma 5 4" xfId="1361" xr:uid="{00000000-0005-0000-0000-00002D020000}"/>
    <cellStyle name="Comma 50" xfId="511" xr:uid="{00000000-0005-0000-0000-00002E020000}"/>
    <cellStyle name="Comma 51" xfId="510" xr:uid="{00000000-0005-0000-0000-00002F020000}"/>
    <cellStyle name="Comma 52" xfId="509" xr:uid="{00000000-0005-0000-0000-000030020000}"/>
    <cellStyle name="Comma 53" xfId="508" xr:uid="{00000000-0005-0000-0000-000031020000}"/>
    <cellStyle name="Comma 54" xfId="507" xr:uid="{00000000-0005-0000-0000-000032020000}"/>
    <cellStyle name="Comma 55" xfId="506" xr:uid="{00000000-0005-0000-0000-000033020000}"/>
    <cellStyle name="Comma 56" xfId="505" xr:uid="{00000000-0005-0000-0000-000034020000}"/>
    <cellStyle name="Comma 57" xfId="504" xr:uid="{00000000-0005-0000-0000-000035020000}"/>
    <cellStyle name="Comma 58" xfId="503" xr:uid="{00000000-0005-0000-0000-000036020000}"/>
    <cellStyle name="Comma 59" xfId="502" xr:uid="{00000000-0005-0000-0000-000037020000}"/>
    <cellStyle name="Comma 6" xfId="84" xr:uid="{00000000-0005-0000-0000-000038020000}"/>
    <cellStyle name="Comma 6 2" xfId="501" xr:uid="{00000000-0005-0000-0000-000039020000}"/>
    <cellStyle name="Comma 6 3" xfId="609" xr:uid="{00000000-0005-0000-0000-00003A020000}"/>
    <cellStyle name="Comma 60" xfId="500" xr:uid="{00000000-0005-0000-0000-00003B020000}"/>
    <cellStyle name="Comma 61" xfId="499" xr:uid="{00000000-0005-0000-0000-00003C020000}"/>
    <cellStyle name="Comma 62" xfId="498" xr:uid="{00000000-0005-0000-0000-00003D020000}"/>
    <cellStyle name="Comma 63" xfId="497" xr:uid="{00000000-0005-0000-0000-00003E020000}"/>
    <cellStyle name="Comma 64" xfId="496" xr:uid="{00000000-0005-0000-0000-00003F020000}"/>
    <cellStyle name="Comma 65" xfId="495" xr:uid="{00000000-0005-0000-0000-000040020000}"/>
    <cellStyle name="Comma 66" xfId="494" xr:uid="{00000000-0005-0000-0000-000041020000}"/>
    <cellStyle name="Comma 67" xfId="493" xr:uid="{00000000-0005-0000-0000-000042020000}"/>
    <cellStyle name="Comma 68" xfId="492" xr:uid="{00000000-0005-0000-0000-000043020000}"/>
    <cellStyle name="Comma 69" xfId="491" xr:uid="{00000000-0005-0000-0000-000044020000}"/>
    <cellStyle name="Comma 7" xfId="85" xr:uid="{00000000-0005-0000-0000-000045020000}"/>
    <cellStyle name="Comma 7 2" xfId="1362" xr:uid="{00000000-0005-0000-0000-000046020000}"/>
    <cellStyle name="Comma 70" xfId="490" xr:uid="{00000000-0005-0000-0000-000047020000}"/>
    <cellStyle name="Comma 71" xfId="489" xr:uid="{00000000-0005-0000-0000-000048020000}"/>
    <cellStyle name="Comma 72" xfId="488" xr:uid="{00000000-0005-0000-0000-000049020000}"/>
    <cellStyle name="Comma 73" xfId="487" xr:uid="{00000000-0005-0000-0000-00004A020000}"/>
    <cellStyle name="Comma 74" xfId="486" xr:uid="{00000000-0005-0000-0000-00004B020000}"/>
    <cellStyle name="Comma 75" xfId="485" xr:uid="{00000000-0005-0000-0000-00004C020000}"/>
    <cellStyle name="Comma 76" xfId="484" xr:uid="{00000000-0005-0000-0000-00004D020000}"/>
    <cellStyle name="Comma 77" xfId="483" xr:uid="{00000000-0005-0000-0000-00004E020000}"/>
    <cellStyle name="Comma 78" xfId="482" xr:uid="{00000000-0005-0000-0000-00004F020000}"/>
    <cellStyle name="Comma 79" xfId="481" xr:uid="{00000000-0005-0000-0000-000050020000}"/>
    <cellStyle name="Comma 8" xfId="86" xr:uid="{00000000-0005-0000-0000-000051020000}"/>
    <cellStyle name="Comma 8 2" xfId="87" xr:uid="{00000000-0005-0000-0000-000052020000}"/>
    <cellStyle name="Comma 8 2 2" xfId="364" xr:uid="{00000000-0005-0000-0000-000053020000}"/>
    <cellStyle name="Comma 8 3" xfId="610" xr:uid="{00000000-0005-0000-0000-000054020000}"/>
    <cellStyle name="Comma 80" xfId="480" xr:uid="{00000000-0005-0000-0000-000055020000}"/>
    <cellStyle name="Comma 81" xfId="479" xr:uid="{00000000-0005-0000-0000-000056020000}"/>
    <cellStyle name="Comma 82" xfId="478" xr:uid="{00000000-0005-0000-0000-000057020000}"/>
    <cellStyle name="Comma 83" xfId="477" xr:uid="{00000000-0005-0000-0000-000058020000}"/>
    <cellStyle name="Comma 84" xfId="637" xr:uid="{00000000-0005-0000-0000-000059020000}"/>
    <cellStyle name="Comma 84 2" xfId="743" xr:uid="{00000000-0005-0000-0000-00005A020000}"/>
    <cellStyle name="Comma 85" xfId="642" xr:uid="{00000000-0005-0000-0000-00005B020000}"/>
    <cellStyle name="Comma 85 2" xfId="748" xr:uid="{00000000-0005-0000-0000-00005C020000}"/>
    <cellStyle name="Comma 9" xfId="88" xr:uid="{00000000-0005-0000-0000-00005D020000}"/>
    <cellStyle name="Comma 9 2" xfId="366" xr:uid="{00000000-0005-0000-0000-00005E020000}"/>
    <cellStyle name="Comma 9 3" xfId="611" xr:uid="{00000000-0005-0000-0000-00005F020000}"/>
    <cellStyle name="Comma Input" xfId="89" xr:uid="{00000000-0005-0000-0000-000060020000}"/>
    <cellStyle name="Comma0" xfId="90" xr:uid="{00000000-0005-0000-0000-000061020000}"/>
    <cellStyle name="Comma0 2" xfId="1363" xr:uid="{00000000-0005-0000-0000-000062020000}"/>
    <cellStyle name="Company Name" xfId="91" xr:uid="{00000000-0005-0000-0000-000063020000}"/>
    <cellStyle name="Config Data" xfId="92" xr:uid="{00000000-0005-0000-0000-000064020000}"/>
    <cellStyle name="Currency" xfId="93" builtinId="4"/>
    <cellStyle name="Currency [1]" xfId="94" xr:uid="{00000000-0005-0000-0000-000066020000}"/>
    <cellStyle name="Currency [2]" xfId="95" xr:uid="{00000000-0005-0000-0000-000067020000}"/>
    <cellStyle name="Currency [3]" xfId="96" xr:uid="{00000000-0005-0000-0000-000068020000}"/>
    <cellStyle name="Currency 0.0" xfId="97" xr:uid="{00000000-0005-0000-0000-000069020000}"/>
    <cellStyle name="Currency 0.00" xfId="98" xr:uid="{00000000-0005-0000-0000-00006A020000}"/>
    <cellStyle name="Currency 0.000" xfId="99" xr:uid="{00000000-0005-0000-0000-00006B020000}"/>
    <cellStyle name="Currency 0.0000" xfId="100" xr:uid="{00000000-0005-0000-0000-00006C020000}"/>
    <cellStyle name="Currency 10" xfId="476" xr:uid="{00000000-0005-0000-0000-00006D020000}"/>
    <cellStyle name="Currency 100" xfId="1364" xr:uid="{00000000-0005-0000-0000-00006E020000}"/>
    <cellStyle name="Currency 100 2" xfId="1365" xr:uid="{00000000-0005-0000-0000-00006F020000}"/>
    <cellStyle name="Currency 11" xfId="475" xr:uid="{00000000-0005-0000-0000-000070020000}"/>
    <cellStyle name="Currency 12" xfId="474" xr:uid="{00000000-0005-0000-0000-000071020000}"/>
    <cellStyle name="Currency 13" xfId="612" xr:uid="{00000000-0005-0000-0000-000072020000}"/>
    <cellStyle name="Currency 14" xfId="623" xr:uid="{00000000-0005-0000-0000-000073020000}"/>
    <cellStyle name="Currency 15" xfId="628" xr:uid="{00000000-0005-0000-0000-000074020000}"/>
    <cellStyle name="Currency 16" xfId="640" xr:uid="{00000000-0005-0000-0000-000075020000}"/>
    <cellStyle name="Currency 16 2" xfId="746" xr:uid="{00000000-0005-0000-0000-000076020000}"/>
    <cellStyle name="Currency 17" xfId="639" xr:uid="{00000000-0005-0000-0000-000077020000}"/>
    <cellStyle name="Currency 17 2" xfId="745" xr:uid="{00000000-0005-0000-0000-000078020000}"/>
    <cellStyle name="Currency 18" xfId="668" xr:uid="{00000000-0005-0000-0000-000079020000}"/>
    <cellStyle name="Currency 19" xfId="676" xr:uid="{00000000-0005-0000-0000-00007A020000}"/>
    <cellStyle name="Currency 2" xfId="101" xr:uid="{00000000-0005-0000-0000-00007B020000}"/>
    <cellStyle name="Currency 2 2" xfId="102" xr:uid="{00000000-0005-0000-0000-00007C020000}"/>
    <cellStyle name="Currency 2 3" xfId="473" xr:uid="{00000000-0005-0000-0000-00007D020000}"/>
    <cellStyle name="Currency 20" xfId="669" xr:uid="{00000000-0005-0000-0000-00007E020000}"/>
    <cellStyle name="Currency 21" xfId="681" xr:uid="{00000000-0005-0000-0000-00007F020000}"/>
    <cellStyle name="Currency 22" xfId="670" xr:uid="{00000000-0005-0000-0000-000080020000}"/>
    <cellStyle name="Currency 23" xfId="680" xr:uid="{00000000-0005-0000-0000-000081020000}"/>
    <cellStyle name="Currency 24" xfId="671" xr:uid="{00000000-0005-0000-0000-000082020000}"/>
    <cellStyle name="Currency 25" xfId="679" xr:uid="{00000000-0005-0000-0000-000083020000}"/>
    <cellStyle name="Currency 26" xfId="672" xr:uid="{00000000-0005-0000-0000-000084020000}"/>
    <cellStyle name="Currency 27" xfId="678" xr:uid="{00000000-0005-0000-0000-000085020000}"/>
    <cellStyle name="Currency 3" xfId="103" xr:uid="{00000000-0005-0000-0000-000086020000}"/>
    <cellStyle name="Currency 3 2" xfId="104" xr:uid="{00000000-0005-0000-0000-000087020000}"/>
    <cellStyle name="Currency 3 3" xfId="589" xr:uid="{00000000-0005-0000-0000-000088020000}"/>
    <cellStyle name="Currency 3 4" xfId="590" xr:uid="{00000000-0005-0000-0000-000089020000}"/>
    <cellStyle name="Currency 3 5" xfId="641" xr:uid="{00000000-0005-0000-0000-00008A020000}"/>
    <cellStyle name="Currency 3 5 2" xfId="747" xr:uid="{00000000-0005-0000-0000-00008B020000}"/>
    <cellStyle name="Currency 4" xfId="105" xr:uid="{00000000-0005-0000-0000-00008C020000}"/>
    <cellStyle name="Currency 4 10" xfId="1366" xr:uid="{00000000-0005-0000-0000-00008D020000}"/>
    <cellStyle name="Currency 4 10 2" xfId="1367" xr:uid="{00000000-0005-0000-0000-00008E020000}"/>
    <cellStyle name="Currency 4 10 2 2" xfId="1368" xr:uid="{00000000-0005-0000-0000-00008F020000}"/>
    <cellStyle name="Currency 4 10 2 3" xfId="1369" xr:uid="{00000000-0005-0000-0000-000090020000}"/>
    <cellStyle name="Currency 4 10 3" xfId="1370" xr:uid="{00000000-0005-0000-0000-000091020000}"/>
    <cellStyle name="Currency 4 10 4" xfId="1371" xr:uid="{00000000-0005-0000-0000-000092020000}"/>
    <cellStyle name="Currency 4 10 5" xfId="1372" xr:uid="{00000000-0005-0000-0000-000093020000}"/>
    <cellStyle name="Currency 4 11" xfId="1373" xr:uid="{00000000-0005-0000-0000-000094020000}"/>
    <cellStyle name="Currency 4 2" xfId="1374" xr:uid="{00000000-0005-0000-0000-000095020000}"/>
    <cellStyle name="Currency 4 2 10" xfId="1375" xr:uid="{00000000-0005-0000-0000-000096020000}"/>
    <cellStyle name="Currency 4 2 10 2" xfId="1376" xr:uid="{00000000-0005-0000-0000-000097020000}"/>
    <cellStyle name="Currency 4 2 10 3" xfId="1377" xr:uid="{00000000-0005-0000-0000-000098020000}"/>
    <cellStyle name="Currency 4 2 11" xfId="1378" xr:uid="{00000000-0005-0000-0000-000099020000}"/>
    <cellStyle name="Currency 4 2 12" xfId="1379" xr:uid="{00000000-0005-0000-0000-00009A020000}"/>
    <cellStyle name="Currency 4 2 13" xfId="1380" xr:uid="{00000000-0005-0000-0000-00009B020000}"/>
    <cellStyle name="Currency 4 2 2" xfId="1381" xr:uid="{00000000-0005-0000-0000-00009C020000}"/>
    <cellStyle name="Currency 4 2 2 2" xfId="1382" xr:uid="{00000000-0005-0000-0000-00009D020000}"/>
    <cellStyle name="Currency 4 2 2 2 2" xfId="1383" xr:uid="{00000000-0005-0000-0000-00009E020000}"/>
    <cellStyle name="Currency 4 2 2 2 2 2" xfId="1384" xr:uid="{00000000-0005-0000-0000-00009F020000}"/>
    <cellStyle name="Currency 4 2 2 2 2 2 2" xfId="1385" xr:uid="{00000000-0005-0000-0000-0000A0020000}"/>
    <cellStyle name="Currency 4 2 2 2 2 2 2 2" xfId="1386" xr:uid="{00000000-0005-0000-0000-0000A1020000}"/>
    <cellStyle name="Currency 4 2 2 2 2 2 2 3" xfId="1387" xr:uid="{00000000-0005-0000-0000-0000A2020000}"/>
    <cellStyle name="Currency 4 2 2 2 2 2 3" xfId="1388" xr:uid="{00000000-0005-0000-0000-0000A3020000}"/>
    <cellStyle name="Currency 4 2 2 2 2 2 4" xfId="1389" xr:uid="{00000000-0005-0000-0000-0000A4020000}"/>
    <cellStyle name="Currency 4 2 2 2 2 2 5" xfId="1390" xr:uid="{00000000-0005-0000-0000-0000A5020000}"/>
    <cellStyle name="Currency 4 2 2 2 2 3" xfId="1391" xr:uid="{00000000-0005-0000-0000-0000A6020000}"/>
    <cellStyle name="Currency 4 2 2 2 2 3 2" xfId="1392" xr:uid="{00000000-0005-0000-0000-0000A7020000}"/>
    <cellStyle name="Currency 4 2 2 2 2 3 2 2" xfId="1393" xr:uid="{00000000-0005-0000-0000-0000A8020000}"/>
    <cellStyle name="Currency 4 2 2 2 2 3 2 3" xfId="1394" xr:uid="{00000000-0005-0000-0000-0000A9020000}"/>
    <cellStyle name="Currency 4 2 2 2 2 3 3" xfId="1395" xr:uid="{00000000-0005-0000-0000-0000AA020000}"/>
    <cellStyle name="Currency 4 2 2 2 2 3 4" xfId="1396" xr:uid="{00000000-0005-0000-0000-0000AB020000}"/>
    <cellStyle name="Currency 4 2 2 2 2 3 5" xfId="1397" xr:uid="{00000000-0005-0000-0000-0000AC020000}"/>
    <cellStyle name="Currency 4 2 2 2 2 4" xfId="1398" xr:uid="{00000000-0005-0000-0000-0000AD020000}"/>
    <cellStyle name="Currency 4 2 2 2 2 4 2" xfId="1399" xr:uid="{00000000-0005-0000-0000-0000AE020000}"/>
    <cellStyle name="Currency 4 2 2 2 2 4 3" xfId="1400" xr:uid="{00000000-0005-0000-0000-0000AF020000}"/>
    <cellStyle name="Currency 4 2 2 2 2 5" xfId="1401" xr:uid="{00000000-0005-0000-0000-0000B0020000}"/>
    <cellStyle name="Currency 4 2 2 2 2 6" xfId="1402" xr:uid="{00000000-0005-0000-0000-0000B1020000}"/>
    <cellStyle name="Currency 4 2 2 2 2 7" xfId="1403" xr:uid="{00000000-0005-0000-0000-0000B2020000}"/>
    <cellStyle name="Currency 4 2 2 2 3" xfId="1404" xr:uid="{00000000-0005-0000-0000-0000B3020000}"/>
    <cellStyle name="Currency 4 2 2 2 3 2" xfId="1405" xr:uid="{00000000-0005-0000-0000-0000B4020000}"/>
    <cellStyle name="Currency 4 2 2 2 3 2 2" xfId="1406" xr:uid="{00000000-0005-0000-0000-0000B5020000}"/>
    <cellStyle name="Currency 4 2 2 2 3 2 3" xfId="1407" xr:uid="{00000000-0005-0000-0000-0000B6020000}"/>
    <cellStyle name="Currency 4 2 2 2 3 3" xfId="1408" xr:uid="{00000000-0005-0000-0000-0000B7020000}"/>
    <cellStyle name="Currency 4 2 2 2 3 4" xfId="1409" xr:uid="{00000000-0005-0000-0000-0000B8020000}"/>
    <cellStyle name="Currency 4 2 2 2 3 5" xfId="1410" xr:uid="{00000000-0005-0000-0000-0000B9020000}"/>
    <cellStyle name="Currency 4 2 2 2 4" xfId="1411" xr:uid="{00000000-0005-0000-0000-0000BA020000}"/>
    <cellStyle name="Currency 4 2 2 2 4 2" xfId="1412" xr:uid="{00000000-0005-0000-0000-0000BB020000}"/>
    <cellStyle name="Currency 4 2 2 2 4 2 2" xfId="1413" xr:uid="{00000000-0005-0000-0000-0000BC020000}"/>
    <cellStyle name="Currency 4 2 2 2 4 2 3" xfId="1414" xr:uid="{00000000-0005-0000-0000-0000BD020000}"/>
    <cellStyle name="Currency 4 2 2 2 4 3" xfId="1415" xr:uid="{00000000-0005-0000-0000-0000BE020000}"/>
    <cellStyle name="Currency 4 2 2 2 4 4" xfId="1416" xr:uid="{00000000-0005-0000-0000-0000BF020000}"/>
    <cellStyle name="Currency 4 2 2 2 4 5" xfId="1417" xr:uid="{00000000-0005-0000-0000-0000C0020000}"/>
    <cellStyle name="Currency 4 2 2 2 5" xfId="1418" xr:uid="{00000000-0005-0000-0000-0000C1020000}"/>
    <cellStyle name="Currency 4 2 2 2 5 2" xfId="1419" xr:uid="{00000000-0005-0000-0000-0000C2020000}"/>
    <cellStyle name="Currency 4 2 2 2 5 3" xfId="1420" xr:uid="{00000000-0005-0000-0000-0000C3020000}"/>
    <cellStyle name="Currency 4 2 2 2 6" xfId="1421" xr:uid="{00000000-0005-0000-0000-0000C4020000}"/>
    <cellStyle name="Currency 4 2 2 2 7" xfId="1422" xr:uid="{00000000-0005-0000-0000-0000C5020000}"/>
    <cellStyle name="Currency 4 2 2 2 8" xfId="1423" xr:uid="{00000000-0005-0000-0000-0000C6020000}"/>
    <cellStyle name="Currency 4 2 2 3" xfId="1424" xr:uid="{00000000-0005-0000-0000-0000C7020000}"/>
    <cellStyle name="Currency 4 2 2 3 2" xfId="1425" xr:uid="{00000000-0005-0000-0000-0000C8020000}"/>
    <cellStyle name="Currency 4 2 2 3 2 2" xfId="1426" xr:uid="{00000000-0005-0000-0000-0000C9020000}"/>
    <cellStyle name="Currency 4 2 2 3 2 2 2" xfId="1427" xr:uid="{00000000-0005-0000-0000-0000CA020000}"/>
    <cellStyle name="Currency 4 2 2 3 2 2 3" xfId="1428" xr:uid="{00000000-0005-0000-0000-0000CB020000}"/>
    <cellStyle name="Currency 4 2 2 3 2 3" xfId="1429" xr:uid="{00000000-0005-0000-0000-0000CC020000}"/>
    <cellStyle name="Currency 4 2 2 3 2 4" xfId="1430" xr:uid="{00000000-0005-0000-0000-0000CD020000}"/>
    <cellStyle name="Currency 4 2 2 3 2 5" xfId="1431" xr:uid="{00000000-0005-0000-0000-0000CE020000}"/>
    <cellStyle name="Currency 4 2 2 3 3" xfId="1432" xr:uid="{00000000-0005-0000-0000-0000CF020000}"/>
    <cellStyle name="Currency 4 2 2 3 3 2" xfId="1433" xr:uid="{00000000-0005-0000-0000-0000D0020000}"/>
    <cellStyle name="Currency 4 2 2 3 3 2 2" xfId="1434" xr:uid="{00000000-0005-0000-0000-0000D1020000}"/>
    <cellStyle name="Currency 4 2 2 3 3 2 3" xfId="1435" xr:uid="{00000000-0005-0000-0000-0000D2020000}"/>
    <cellStyle name="Currency 4 2 2 3 3 3" xfId="1436" xr:uid="{00000000-0005-0000-0000-0000D3020000}"/>
    <cellStyle name="Currency 4 2 2 3 3 4" xfId="1437" xr:uid="{00000000-0005-0000-0000-0000D4020000}"/>
    <cellStyle name="Currency 4 2 2 3 3 5" xfId="1438" xr:uid="{00000000-0005-0000-0000-0000D5020000}"/>
    <cellStyle name="Currency 4 2 2 3 4" xfId="1439" xr:uid="{00000000-0005-0000-0000-0000D6020000}"/>
    <cellStyle name="Currency 4 2 2 3 4 2" xfId="1440" xr:uid="{00000000-0005-0000-0000-0000D7020000}"/>
    <cellStyle name="Currency 4 2 2 3 4 3" xfId="1441" xr:uid="{00000000-0005-0000-0000-0000D8020000}"/>
    <cellStyle name="Currency 4 2 2 3 5" xfId="1442" xr:uid="{00000000-0005-0000-0000-0000D9020000}"/>
    <cellStyle name="Currency 4 2 2 3 6" xfId="1443" xr:uid="{00000000-0005-0000-0000-0000DA020000}"/>
    <cellStyle name="Currency 4 2 2 3 7" xfId="1444" xr:uid="{00000000-0005-0000-0000-0000DB020000}"/>
    <cellStyle name="Currency 4 2 2 4" xfId="1445" xr:uid="{00000000-0005-0000-0000-0000DC020000}"/>
    <cellStyle name="Currency 4 2 2 4 2" xfId="1446" xr:uid="{00000000-0005-0000-0000-0000DD020000}"/>
    <cellStyle name="Currency 4 2 2 4 2 2" xfId="1447" xr:uid="{00000000-0005-0000-0000-0000DE020000}"/>
    <cellStyle name="Currency 4 2 2 4 2 3" xfId="1448" xr:uid="{00000000-0005-0000-0000-0000DF020000}"/>
    <cellStyle name="Currency 4 2 2 4 3" xfId="1449" xr:uid="{00000000-0005-0000-0000-0000E0020000}"/>
    <cellStyle name="Currency 4 2 2 4 4" xfId="1450" xr:uid="{00000000-0005-0000-0000-0000E1020000}"/>
    <cellStyle name="Currency 4 2 2 4 5" xfId="1451" xr:uid="{00000000-0005-0000-0000-0000E2020000}"/>
    <cellStyle name="Currency 4 2 2 5" xfId="1452" xr:uid="{00000000-0005-0000-0000-0000E3020000}"/>
    <cellStyle name="Currency 4 2 2 5 2" xfId="1453" xr:uid="{00000000-0005-0000-0000-0000E4020000}"/>
    <cellStyle name="Currency 4 2 2 5 2 2" xfId="1454" xr:uid="{00000000-0005-0000-0000-0000E5020000}"/>
    <cellStyle name="Currency 4 2 2 5 2 3" xfId="1455" xr:uid="{00000000-0005-0000-0000-0000E6020000}"/>
    <cellStyle name="Currency 4 2 2 5 3" xfId="1456" xr:uid="{00000000-0005-0000-0000-0000E7020000}"/>
    <cellStyle name="Currency 4 2 2 5 4" xfId="1457" xr:uid="{00000000-0005-0000-0000-0000E8020000}"/>
    <cellStyle name="Currency 4 2 2 5 5" xfId="1458" xr:uid="{00000000-0005-0000-0000-0000E9020000}"/>
    <cellStyle name="Currency 4 2 2 6" xfId="1459" xr:uid="{00000000-0005-0000-0000-0000EA020000}"/>
    <cellStyle name="Currency 4 2 2 6 2" xfId="1460" xr:uid="{00000000-0005-0000-0000-0000EB020000}"/>
    <cellStyle name="Currency 4 2 2 6 3" xfId="1461" xr:uid="{00000000-0005-0000-0000-0000EC020000}"/>
    <cellStyle name="Currency 4 2 2 7" xfId="1462" xr:uid="{00000000-0005-0000-0000-0000ED020000}"/>
    <cellStyle name="Currency 4 2 2 8" xfId="1463" xr:uid="{00000000-0005-0000-0000-0000EE020000}"/>
    <cellStyle name="Currency 4 2 2 9" xfId="1464" xr:uid="{00000000-0005-0000-0000-0000EF020000}"/>
    <cellStyle name="Currency 4 2 3" xfId="1465" xr:uid="{00000000-0005-0000-0000-0000F0020000}"/>
    <cellStyle name="Currency 4 2 3 2" xfId="1466" xr:uid="{00000000-0005-0000-0000-0000F1020000}"/>
    <cellStyle name="Currency 4 2 3 2 2" xfId="1467" xr:uid="{00000000-0005-0000-0000-0000F2020000}"/>
    <cellStyle name="Currency 4 2 3 2 2 2" xfId="1468" xr:uid="{00000000-0005-0000-0000-0000F3020000}"/>
    <cellStyle name="Currency 4 2 3 2 2 2 2" xfId="1469" xr:uid="{00000000-0005-0000-0000-0000F4020000}"/>
    <cellStyle name="Currency 4 2 3 2 2 2 2 2" xfId="1470" xr:uid="{00000000-0005-0000-0000-0000F5020000}"/>
    <cellStyle name="Currency 4 2 3 2 2 2 2 3" xfId="1471" xr:uid="{00000000-0005-0000-0000-0000F6020000}"/>
    <cellStyle name="Currency 4 2 3 2 2 2 3" xfId="1472" xr:uid="{00000000-0005-0000-0000-0000F7020000}"/>
    <cellStyle name="Currency 4 2 3 2 2 2 4" xfId="1473" xr:uid="{00000000-0005-0000-0000-0000F8020000}"/>
    <cellStyle name="Currency 4 2 3 2 2 2 5" xfId="1474" xr:uid="{00000000-0005-0000-0000-0000F9020000}"/>
    <cellStyle name="Currency 4 2 3 2 2 3" xfId="1475" xr:uid="{00000000-0005-0000-0000-0000FA020000}"/>
    <cellStyle name="Currency 4 2 3 2 2 3 2" xfId="1476" xr:uid="{00000000-0005-0000-0000-0000FB020000}"/>
    <cellStyle name="Currency 4 2 3 2 2 3 2 2" xfId="1477" xr:uid="{00000000-0005-0000-0000-0000FC020000}"/>
    <cellStyle name="Currency 4 2 3 2 2 3 2 3" xfId="1478" xr:uid="{00000000-0005-0000-0000-0000FD020000}"/>
    <cellStyle name="Currency 4 2 3 2 2 3 3" xfId="1479" xr:uid="{00000000-0005-0000-0000-0000FE020000}"/>
    <cellStyle name="Currency 4 2 3 2 2 3 4" xfId="1480" xr:uid="{00000000-0005-0000-0000-0000FF020000}"/>
    <cellStyle name="Currency 4 2 3 2 2 3 5" xfId="1481" xr:uid="{00000000-0005-0000-0000-000000030000}"/>
    <cellStyle name="Currency 4 2 3 2 2 4" xfId="1482" xr:uid="{00000000-0005-0000-0000-000001030000}"/>
    <cellStyle name="Currency 4 2 3 2 2 4 2" xfId="1483" xr:uid="{00000000-0005-0000-0000-000002030000}"/>
    <cellStyle name="Currency 4 2 3 2 2 4 3" xfId="1484" xr:uid="{00000000-0005-0000-0000-000003030000}"/>
    <cellStyle name="Currency 4 2 3 2 2 5" xfId="1485" xr:uid="{00000000-0005-0000-0000-000004030000}"/>
    <cellStyle name="Currency 4 2 3 2 2 6" xfId="1486" xr:uid="{00000000-0005-0000-0000-000005030000}"/>
    <cellStyle name="Currency 4 2 3 2 2 7" xfId="1487" xr:uid="{00000000-0005-0000-0000-000006030000}"/>
    <cellStyle name="Currency 4 2 3 2 3" xfId="1488" xr:uid="{00000000-0005-0000-0000-000007030000}"/>
    <cellStyle name="Currency 4 2 3 2 3 2" xfId="1489" xr:uid="{00000000-0005-0000-0000-000008030000}"/>
    <cellStyle name="Currency 4 2 3 2 3 2 2" xfId="1490" xr:uid="{00000000-0005-0000-0000-000009030000}"/>
    <cellStyle name="Currency 4 2 3 2 3 2 3" xfId="1491" xr:uid="{00000000-0005-0000-0000-00000A030000}"/>
    <cellStyle name="Currency 4 2 3 2 3 3" xfId="1492" xr:uid="{00000000-0005-0000-0000-00000B030000}"/>
    <cellStyle name="Currency 4 2 3 2 3 4" xfId="1493" xr:uid="{00000000-0005-0000-0000-00000C030000}"/>
    <cellStyle name="Currency 4 2 3 2 3 5" xfId="1494" xr:uid="{00000000-0005-0000-0000-00000D030000}"/>
    <cellStyle name="Currency 4 2 3 2 4" xfId="1495" xr:uid="{00000000-0005-0000-0000-00000E030000}"/>
    <cellStyle name="Currency 4 2 3 2 4 2" xfId="1496" xr:uid="{00000000-0005-0000-0000-00000F030000}"/>
    <cellStyle name="Currency 4 2 3 2 4 2 2" xfId="1497" xr:uid="{00000000-0005-0000-0000-000010030000}"/>
    <cellStyle name="Currency 4 2 3 2 4 2 3" xfId="1498" xr:uid="{00000000-0005-0000-0000-000011030000}"/>
    <cellStyle name="Currency 4 2 3 2 4 3" xfId="1499" xr:uid="{00000000-0005-0000-0000-000012030000}"/>
    <cellStyle name="Currency 4 2 3 2 4 4" xfId="1500" xr:uid="{00000000-0005-0000-0000-000013030000}"/>
    <cellStyle name="Currency 4 2 3 2 4 5" xfId="1501" xr:uid="{00000000-0005-0000-0000-000014030000}"/>
    <cellStyle name="Currency 4 2 3 2 5" xfId="1502" xr:uid="{00000000-0005-0000-0000-000015030000}"/>
    <cellStyle name="Currency 4 2 3 2 5 2" xfId="1503" xr:uid="{00000000-0005-0000-0000-000016030000}"/>
    <cellStyle name="Currency 4 2 3 2 5 3" xfId="1504" xr:uid="{00000000-0005-0000-0000-000017030000}"/>
    <cellStyle name="Currency 4 2 3 2 6" xfId="1505" xr:uid="{00000000-0005-0000-0000-000018030000}"/>
    <cellStyle name="Currency 4 2 3 2 7" xfId="1506" xr:uid="{00000000-0005-0000-0000-000019030000}"/>
    <cellStyle name="Currency 4 2 3 2 8" xfId="1507" xr:uid="{00000000-0005-0000-0000-00001A030000}"/>
    <cellStyle name="Currency 4 2 3 3" xfId="1508" xr:uid="{00000000-0005-0000-0000-00001B030000}"/>
    <cellStyle name="Currency 4 2 3 3 2" xfId="1509" xr:uid="{00000000-0005-0000-0000-00001C030000}"/>
    <cellStyle name="Currency 4 2 3 3 2 2" xfId="1510" xr:uid="{00000000-0005-0000-0000-00001D030000}"/>
    <cellStyle name="Currency 4 2 3 3 2 2 2" xfId="1511" xr:uid="{00000000-0005-0000-0000-00001E030000}"/>
    <cellStyle name="Currency 4 2 3 3 2 2 3" xfId="1512" xr:uid="{00000000-0005-0000-0000-00001F030000}"/>
    <cellStyle name="Currency 4 2 3 3 2 3" xfId="1513" xr:uid="{00000000-0005-0000-0000-000020030000}"/>
    <cellStyle name="Currency 4 2 3 3 2 4" xfId="1514" xr:uid="{00000000-0005-0000-0000-000021030000}"/>
    <cellStyle name="Currency 4 2 3 3 2 5" xfId="1515" xr:uid="{00000000-0005-0000-0000-000022030000}"/>
    <cellStyle name="Currency 4 2 3 3 3" xfId="1516" xr:uid="{00000000-0005-0000-0000-000023030000}"/>
    <cellStyle name="Currency 4 2 3 3 3 2" xfId="1517" xr:uid="{00000000-0005-0000-0000-000024030000}"/>
    <cellStyle name="Currency 4 2 3 3 3 2 2" xfId="1518" xr:uid="{00000000-0005-0000-0000-000025030000}"/>
    <cellStyle name="Currency 4 2 3 3 3 2 3" xfId="1519" xr:uid="{00000000-0005-0000-0000-000026030000}"/>
    <cellStyle name="Currency 4 2 3 3 3 3" xfId="1520" xr:uid="{00000000-0005-0000-0000-000027030000}"/>
    <cellStyle name="Currency 4 2 3 3 3 4" xfId="1521" xr:uid="{00000000-0005-0000-0000-000028030000}"/>
    <cellStyle name="Currency 4 2 3 3 3 5" xfId="1522" xr:uid="{00000000-0005-0000-0000-000029030000}"/>
    <cellStyle name="Currency 4 2 3 3 4" xfId="1523" xr:uid="{00000000-0005-0000-0000-00002A030000}"/>
    <cellStyle name="Currency 4 2 3 3 4 2" xfId="1524" xr:uid="{00000000-0005-0000-0000-00002B030000}"/>
    <cellStyle name="Currency 4 2 3 3 4 3" xfId="1525" xr:uid="{00000000-0005-0000-0000-00002C030000}"/>
    <cellStyle name="Currency 4 2 3 3 5" xfId="1526" xr:uid="{00000000-0005-0000-0000-00002D030000}"/>
    <cellStyle name="Currency 4 2 3 3 6" xfId="1527" xr:uid="{00000000-0005-0000-0000-00002E030000}"/>
    <cellStyle name="Currency 4 2 3 3 7" xfId="1528" xr:uid="{00000000-0005-0000-0000-00002F030000}"/>
    <cellStyle name="Currency 4 2 3 4" xfId="1529" xr:uid="{00000000-0005-0000-0000-000030030000}"/>
    <cellStyle name="Currency 4 2 3 4 2" xfId="1530" xr:uid="{00000000-0005-0000-0000-000031030000}"/>
    <cellStyle name="Currency 4 2 3 4 2 2" xfId="1531" xr:uid="{00000000-0005-0000-0000-000032030000}"/>
    <cellStyle name="Currency 4 2 3 4 2 3" xfId="1532" xr:uid="{00000000-0005-0000-0000-000033030000}"/>
    <cellStyle name="Currency 4 2 3 4 3" xfId="1533" xr:uid="{00000000-0005-0000-0000-000034030000}"/>
    <cellStyle name="Currency 4 2 3 4 4" xfId="1534" xr:uid="{00000000-0005-0000-0000-000035030000}"/>
    <cellStyle name="Currency 4 2 3 4 5" xfId="1535" xr:uid="{00000000-0005-0000-0000-000036030000}"/>
    <cellStyle name="Currency 4 2 3 5" xfId="1536" xr:uid="{00000000-0005-0000-0000-000037030000}"/>
    <cellStyle name="Currency 4 2 3 5 2" xfId="1537" xr:uid="{00000000-0005-0000-0000-000038030000}"/>
    <cellStyle name="Currency 4 2 3 5 2 2" xfId="1538" xr:uid="{00000000-0005-0000-0000-000039030000}"/>
    <cellStyle name="Currency 4 2 3 5 2 3" xfId="1539" xr:uid="{00000000-0005-0000-0000-00003A030000}"/>
    <cellStyle name="Currency 4 2 3 5 3" xfId="1540" xr:uid="{00000000-0005-0000-0000-00003B030000}"/>
    <cellStyle name="Currency 4 2 3 5 4" xfId="1541" xr:uid="{00000000-0005-0000-0000-00003C030000}"/>
    <cellStyle name="Currency 4 2 3 5 5" xfId="1542" xr:uid="{00000000-0005-0000-0000-00003D030000}"/>
    <cellStyle name="Currency 4 2 3 6" xfId="1543" xr:uid="{00000000-0005-0000-0000-00003E030000}"/>
    <cellStyle name="Currency 4 2 3 6 2" xfId="1544" xr:uid="{00000000-0005-0000-0000-00003F030000}"/>
    <cellStyle name="Currency 4 2 3 6 3" xfId="1545" xr:uid="{00000000-0005-0000-0000-000040030000}"/>
    <cellStyle name="Currency 4 2 3 7" xfId="1546" xr:uid="{00000000-0005-0000-0000-000041030000}"/>
    <cellStyle name="Currency 4 2 3 8" xfId="1547" xr:uid="{00000000-0005-0000-0000-000042030000}"/>
    <cellStyle name="Currency 4 2 3 9" xfId="1548" xr:uid="{00000000-0005-0000-0000-000043030000}"/>
    <cellStyle name="Currency 4 2 4" xfId="1549" xr:uid="{00000000-0005-0000-0000-000044030000}"/>
    <cellStyle name="Currency 4 2 4 2" xfId="1550" xr:uid="{00000000-0005-0000-0000-000045030000}"/>
    <cellStyle name="Currency 4 2 4 2 2" xfId="1551" xr:uid="{00000000-0005-0000-0000-000046030000}"/>
    <cellStyle name="Currency 4 2 4 2 2 2" xfId="1552" xr:uid="{00000000-0005-0000-0000-000047030000}"/>
    <cellStyle name="Currency 4 2 4 2 2 2 2" xfId="1553" xr:uid="{00000000-0005-0000-0000-000048030000}"/>
    <cellStyle name="Currency 4 2 4 2 2 2 2 2" xfId="1554" xr:uid="{00000000-0005-0000-0000-000049030000}"/>
    <cellStyle name="Currency 4 2 4 2 2 2 2 3" xfId="1555" xr:uid="{00000000-0005-0000-0000-00004A030000}"/>
    <cellStyle name="Currency 4 2 4 2 2 2 3" xfId="1556" xr:uid="{00000000-0005-0000-0000-00004B030000}"/>
    <cellStyle name="Currency 4 2 4 2 2 2 4" xfId="1557" xr:uid="{00000000-0005-0000-0000-00004C030000}"/>
    <cellStyle name="Currency 4 2 4 2 2 2 5" xfId="1558" xr:uid="{00000000-0005-0000-0000-00004D030000}"/>
    <cellStyle name="Currency 4 2 4 2 2 3" xfId="1559" xr:uid="{00000000-0005-0000-0000-00004E030000}"/>
    <cellStyle name="Currency 4 2 4 2 2 3 2" xfId="1560" xr:uid="{00000000-0005-0000-0000-00004F030000}"/>
    <cellStyle name="Currency 4 2 4 2 2 3 2 2" xfId="1561" xr:uid="{00000000-0005-0000-0000-000050030000}"/>
    <cellStyle name="Currency 4 2 4 2 2 3 2 3" xfId="1562" xr:uid="{00000000-0005-0000-0000-000051030000}"/>
    <cellStyle name="Currency 4 2 4 2 2 3 3" xfId="1563" xr:uid="{00000000-0005-0000-0000-000052030000}"/>
    <cellStyle name="Currency 4 2 4 2 2 3 4" xfId="1564" xr:uid="{00000000-0005-0000-0000-000053030000}"/>
    <cellStyle name="Currency 4 2 4 2 2 3 5" xfId="1565" xr:uid="{00000000-0005-0000-0000-000054030000}"/>
    <cellStyle name="Currency 4 2 4 2 2 4" xfId="1566" xr:uid="{00000000-0005-0000-0000-000055030000}"/>
    <cellStyle name="Currency 4 2 4 2 2 4 2" xfId="1567" xr:uid="{00000000-0005-0000-0000-000056030000}"/>
    <cellStyle name="Currency 4 2 4 2 2 4 3" xfId="1568" xr:uid="{00000000-0005-0000-0000-000057030000}"/>
    <cellStyle name="Currency 4 2 4 2 2 5" xfId="1569" xr:uid="{00000000-0005-0000-0000-000058030000}"/>
    <cellStyle name="Currency 4 2 4 2 2 6" xfId="1570" xr:uid="{00000000-0005-0000-0000-000059030000}"/>
    <cellStyle name="Currency 4 2 4 2 2 7" xfId="1571" xr:uid="{00000000-0005-0000-0000-00005A030000}"/>
    <cellStyle name="Currency 4 2 4 2 3" xfId="1572" xr:uid="{00000000-0005-0000-0000-00005B030000}"/>
    <cellStyle name="Currency 4 2 4 2 3 2" xfId="1573" xr:uid="{00000000-0005-0000-0000-00005C030000}"/>
    <cellStyle name="Currency 4 2 4 2 3 2 2" xfId="1574" xr:uid="{00000000-0005-0000-0000-00005D030000}"/>
    <cellStyle name="Currency 4 2 4 2 3 2 3" xfId="1575" xr:uid="{00000000-0005-0000-0000-00005E030000}"/>
    <cellStyle name="Currency 4 2 4 2 3 3" xfId="1576" xr:uid="{00000000-0005-0000-0000-00005F030000}"/>
    <cellStyle name="Currency 4 2 4 2 3 4" xfId="1577" xr:uid="{00000000-0005-0000-0000-000060030000}"/>
    <cellStyle name="Currency 4 2 4 2 3 5" xfId="1578" xr:uid="{00000000-0005-0000-0000-000061030000}"/>
    <cellStyle name="Currency 4 2 4 2 4" xfId="1579" xr:uid="{00000000-0005-0000-0000-000062030000}"/>
    <cellStyle name="Currency 4 2 4 2 4 2" xfId="1580" xr:uid="{00000000-0005-0000-0000-000063030000}"/>
    <cellStyle name="Currency 4 2 4 2 4 2 2" xfId="1581" xr:uid="{00000000-0005-0000-0000-000064030000}"/>
    <cellStyle name="Currency 4 2 4 2 4 2 3" xfId="1582" xr:uid="{00000000-0005-0000-0000-000065030000}"/>
    <cellStyle name="Currency 4 2 4 2 4 3" xfId="1583" xr:uid="{00000000-0005-0000-0000-000066030000}"/>
    <cellStyle name="Currency 4 2 4 2 4 4" xfId="1584" xr:uid="{00000000-0005-0000-0000-000067030000}"/>
    <cellStyle name="Currency 4 2 4 2 4 5" xfId="1585" xr:uid="{00000000-0005-0000-0000-000068030000}"/>
    <cellStyle name="Currency 4 2 4 2 5" xfId="1586" xr:uid="{00000000-0005-0000-0000-000069030000}"/>
    <cellStyle name="Currency 4 2 4 2 5 2" xfId="1587" xr:uid="{00000000-0005-0000-0000-00006A030000}"/>
    <cellStyle name="Currency 4 2 4 2 5 3" xfId="1588" xr:uid="{00000000-0005-0000-0000-00006B030000}"/>
    <cellStyle name="Currency 4 2 4 2 6" xfId="1589" xr:uid="{00000000-0005-0000-0000-00006C030000}"/>
    <cellStyle name="Currency 4 2 4 2 7" xfId="1590" xr:uid="{00000000-0005-0000-0000-00006D030000}"/>
    <cellStyle name="Currency 4 2 4 2 8" xfId="1591" xr:uid="{00000000-0005-0000-0000-00006E030000}"/>
    <cellStyle name="Currency 4 2 4 3" xfId="1592" xr:uid="{00000000-0005-0000-0000-00006F030000}"/>
    <cellStyle name="Currency 4 2 4 3 2" xfId="1593" xr:uid="{00000000-0005-0000-0000-000070030000}"/>
    <cellStyle name="Currency 4 2 4 3 2 2" xfId="1594" xr:uid="{00000000-0005-0000-0000-000071030000}"/>
    <cellStyle name="Currency 4 2 4 3 2 2 2" xfId="1595" xr:uid="{00000000-0005-0000-0000-000072030000}"/>
    <cellStyle name="Currency 4 2 4 3 2 2 3" xfId="1596" xr:uid="{00000000-0005-0000-0000-000073030000}"/>
    <cellStyle name="Currency 4 2 4 3 2 3" xfId="1597" xr:uid="{00000000-0005-0000-0000-000074030000}"/>
    <cellStyle name="Currency 4 2 4 3 2 4" xfId="1598" xr:uid="{00000000-0005-0000-0000-000075030000}"/>
    <cellStyle name="Currency 4 2 4 3 2 5" xfId="1599" xr:uid="{00000000-0005-0000-0000-000076030000}"/>
    <cellStyle name="Currency 4 2 4 3 3" xfId="1600" xr:uid="{00000000-0005-0000-0000-000077030000}"/>
    <cellStyle name="Currency 4 2 4 3 3 2" xfId="1601" xr:uid="{00000000-0005-0000-0000-000078030000}"/>
    <cellStyle name="Currency 4 2 4 3 3 2 2" xfId="1602" xr:uid="{00000000-0005-0000-0000-000079030000}"/>
    <cellStyle name="Currency 4 2 4 3 3 2 3" xfId="1603" xr:uid="{00000000-0005-0000-0000-00007A030000}"/>
    <cellStyle name="Currency 4 2 4 3 3 3" xfId="1604" xr:uid="{00000000-0005-0000-0000-00007B030000}"/>
    <cellStyle name="Currency 4 2 4 3 3 4" xfId="1605" xr:uid="{00000000-0005-0000-0000-00007C030000}"/>
    <cellStyle name="Currency 4 2 4 3 3 5" xfId="1606" xr:uid="{00000000-0005-0000-0000-00007D030000}"/>
    <cellStyle name="Currency 4 2 4 3 4" xfId="1607" xr:uid="{00000000-0005-0000-0000-00007E030000}"/>
    <cellStyle name="Currency 4 2 4 3 4 2" xfId="1608" xr:uid="{00000000-0005-0000-0000-00007F030000}"/>
    <cellStyle name="Currency 4 2 4 3 4 3" xfId="1609" xr:uid="{00000000-0005-0000-0000-000080030000}"/>
    <cellStyle name="Currency 4 2 4 3 5" xfId="1610" xr:uid="{00000000-0005-0000-0000-000081030000}"/>
    <cellStyle name="Currency 4 2 4 3 6" xfId="1611" xr:uid="{00000000-0005-0000-0000-000082030000}"/>
    <cellStyle name="Currency 4 2 4 3 7" xfId="1612" xr:uid="{00000000-0005-0000-0000-000083030000}"/>
    <cellStyle name="Currency 4 2 4 4" xfId="1613" xr:uid="{00000000-0005-0000-0000-000084030000}"/>
    <cellStyle name="Currency 4 2 4 4 2" xfId="1614" xr:uid="{00000000-0005-0000-0000-000085030000}"/>
    <cellStyle name="Currency 4 2 4 4 2 2" xfId="1615" xr:uid="{00000000-0005-0000-0000-000086030000}"/>
    <cellStyle name="Currency 4 2 4 4 2 3" xfId="1616" xr:uid="{00000000-0005-0000-0000-000087030000}"/>
    <cellStyle name="Currency 4 2 4 4 3" xfId="1617" xr:uid="{00000000-0005-0000-0000-000088030000}"/>
    <cellStyle name="Currency 4 2 4 4 4" xfId="1618" xr:uid="{00000000-0005-0000-0000-000089030000}"/>
    <cellStyle name="Currency 4 2 4 4 5" xfId="1619" xr:uid="{00000000-0005-0000-0000-00008A030000}"/>
    <cellStyle name="Currency 4 2 4 5" xfId="1620" xr:uid="{00000000-0005-0000-0000-00008B030000}"/>
    <cellStyle name="Currency 4 2 4 5 2" xfId="1621" xr:uid="{00000000-0005-0000-0000-00008C030000}"/>
    <cellStyle name="Currency 4 2 4 5 2 2" xfId="1622" xr:uid="{00000000-0005-0000-0000-00008D030000}"/>
    <cellStyle name="Currency 4 2 4 5 2 3" xfId="1623" xr:uid="{00000000-0005-0000-0000-00008E030000}"/>
    <cellStyle name="Currency 4 2 4 5 3" xfId="1624" xr:uid="{00000000-0005-0000-0000-00008F030000}"/>
    <cellStyle name="Currency 4 2 4 5 4" xfId="1625" xr:uid="{00000000-0005-0000-0000-000090030000}"/>
    <cellStyle name="Currency 4 2 4 5 5" xfId="1626" xr:uid="{00000000-0005-0000-0000-000091030000}"/>
    <cellStyle name="Currency 4 2 4 6" xfId="1627" xr:uid="{00000000-0005-0000-0000-000092030000}"/>
    <cellStyle name="Currency 4 2 4 6 2" xfId="1628" xr:uid="{00000000-0005-0000-0000-000093030000}"/>
    <cellStyle name="Currency 4 2 4 6 3" xfId="1629" xr:uid="{00000000-0005-0000-0000-000094030000}"/>
    <cellStyle name="Currency 4 2 4 7" xfId="1630" xr:uid="{00000000-0005-0000-0000-000095030000}"/>
    <cellStyle name="Currency 4 2 4 8" xfId="1631" xr:uid="{00000000-0005-0000-0000-000096030000}"/>
    <cellStyle name="Currency 4 2 4 9" xfId="1632" xr:uid="{00000000-0005-0000-0000-000097030000}"/>
    <cellStyle name="Currency 4 2 5" xfId="1633" xr:uid="{00000000-0005-0000-0000-000098030000}"/>
    <cellStyle name="Currency 4 2 5 2" xfId="1634" xr:uid="{00000000-0005-0000-0000-000099030000}"/>
    <cellStyle name="Currency 4 2 5 2 2" xfId="1635" xr:uid="{00000000-0005-0000-0000-00009A030000}"/>
    <cellStyle name="Currency 4 2 5 2 2 2" xfId="1636" xr:uid="{00000000-0005-0000-0000-00009B030000}"/>
    <cellStyle name="Currency 4 2 5 2 2 2 2" xfId="1637" xr:uid="{00000000-0005-0000-0000-00009C030000}"/>
    <cellStyle name="Currency 4 2 5 2 2 2 3" xfId="1638" xr:uid="{00000000-0005-0000-0000-00009D030000}"/>
    <cellStyle name="Currency 4 2 5 2 2 3" xfId="1639" xr:uid="{00000000-0005-0000-0000-00009E030000}"/>
    <cellStyle name="Currency 4 2 5 2 2 4" xfId="1640" xr:uid="{00000000-0005-0000-0000-00009F030000}"/>
    <cellStyle name="Currency 4 2 5 2 2 5" xfId="1641" xr:uid="{00000000-0005-0000-0000-0000A0030000}"/>
    <cellStyle name="Currency 4 2 5 2 3" xfId="1642" xr:uid="{00000000-0005-0000-0000-0000A1030000}"/>
    <cellStyle name="Currency 4 2 5 2 3 2" xfId="1643" xr:uid="{00000000-0005-0000-0000-0000A2030000}"/>
    <cellStyle name="Currency 4 2 5 2 3 2 2" xfId="1644" xr:uid="{00000000-0005-0000-0000-0000A3030000}"/>
    <cellStyle name="Currency 4 2 5 2 3 2 3" xfId="1645" xr:uid="{00000000-0005-0000-0000-0000A4030000}"/>
    <cellStyle name="Currency 4 2 5 2 3 3" xfId="1646" xr:uid="{00000000-0005-0000-0000-0000A5030000}"/>
    <cellStyle name="Currency 4 2 5 2 3 4" xfId="1647" xr:uid="{00000000-0005-0000-0000-0000A6030000}"/>
    <cellStyle name="Currency 4 2 5 2 3 5" xfId="1648" xr:uid="{00000000-0005-0000-0000-0000A7030000}"/>
    <cellStyle name="Currency 4 2 5 2 4" xfId="1649" xr:uid="{00000000-0005-0000-0000-0000A8030000}"/>
    <cellStyle name="Currency 4 2 5 2 4 2" xfId="1650" xr:uid="{00000000-0005-0000-0000-0000A9030000}"/>
    <cellStyle name="Currency 4 2 5 2 4 3" xfId="1651" xr:uid="{00000000-0005-0000-0000-0000AA030000}"/>
    <cellStyle name="Currency 4 2 5 2 5" xfId="1652" xr:uid="{00000000-0005-0000-0000-0000AB030000}"/>
    <cellStyle name="Currency 4 2 5 2 6" xfId="1653" xr:uid="{00000000-0005-0000-0000-0000AC030000}"/>
    <cellStyle name="Currency 4 2 5 2 7" xfId="1654" xr:uid="{00000000-0005-0000-0000-0000AD030000}"/>
    <cellStyle name="Currency 4 2 5 3" xfId="1655" xr:uid="{00000000-0005-0000-0000-0000AE030000}"/>
    <cellStyle name="Currency 4 2 5 3 2" xfId="1656" xr:uid="{00000000-0005-0000-0000-0000AF030000}"/>
    <cellStyle name="Currency 4 2 5 3 2 2" xfId="1657" xr:uid="{00000000-0005-0000-0000-0000B0030000}"/>
    <cellStyle name="Currency 4 2 5 3 2 3" xfId="1658" xr:uid="{00000000-0005-0000-0000-0000B1030000}"/>
    <cellStyle name="Currency 4 2 5 3 3" xfId="1659" xr:uid="{00000000-0005-0000-0000-0000B2030000}"/>
    <cellStyle name="Currency 4 2 5 3 4" xfId="1660" xr:uid="{00000000-0005-0000-0000-0000B3030000}"/>
    <cellStyle name="Currency 4 2 5 3 5" xfId="1661" xr:uid="{00000000-0005-0000-0000-0000B4030000}"/>
    <cellStyle name="Currency 4 2 5 4" xfId="1662" xr:uid="{00000000-0005-0000-0000-0000B5030000}"/>
    <cellStyle name="Currency 4 2 5 4 2" xfId="1663" xr:uid="{00000000-0005-0000-0000-0000B6030000}"/>
    <cellStyle name="Currency 4 2 5 4 2 2" xfId="1664" xr:uid="{00000000-0005-0000-0000-0000B7030000}"/>
    <cellStyle name="Currency 4 2 5 4 2 3" xfId="1665" xr:uid="{00000000-0005-0000-0000-0000B8030000}"/>
    <cellStyle name="Currency 4 2 5 4 3" xfId="1666" xr:uid="{00000000-0005-0000-0000-0000B9030000}"/>
    <cellStyle name="Currency 4 2 5 4 4" xfId="1667" xr:uid="{00000000-0005-0000-0000-0000BA030000}"/>
    <cellStyle name="Currency 4 2 5 4 5" xfId="1668" xr:uid="{00000000-0005-0000-0000-0000BB030000}"/>
    <cellStyle name="Currency 4 2 5 5" xfId="1669" xr:uid="{00000000-0005-0000-0000-0000BC030000}"/>
    <cellStyle name="Currency 4 2 5 5 2" xfId="1670" xr:uid="{00000000-0005-0000-0000-0000BD030000}"/>
    <cellStyle name="Currency 4 2 5 5 3" xfId="1671" xr:uid="{00000000-0005-0000-0000-0000BE030000}"/>
    <cellStyle name="Currency 4 2 5 6" xfId="1672" xr:uid="{00000000-0005-0000-0000-0000BF030000}"/>
    <cellStyle name="Currency 4 2 5 7" xfId="1673" xr:uid="{00000000-0005-0000-0000-0000C0030000}"/>
    <cellStyle name="Currency 4 2 5 8" xfId="1674" xr:uid="{00000000-0005-0000-0000-0000C1030000}"/>
    <cellStyle name="Currency 4 2 6" xfId="1675" xr:uid="{00000000-0005-0000-0000-0000C2030000}"/>
    <cellStyle name="Currency 4 2 7" xfId="1676" xr:uid="{00000000-0005-0000-0000-0000C3030000}"/>
    <cellStyle name="Currency 4 2 7 2" xfId="1677" xr:uid="{00000000-0005-0000-0000-0000C4030000}"/>
    <cellStyle name="Currency 4 2 7 2 2" xfId="1678" xr:uid="{00000000-0005-0000-0000-0000C5030000}"/>
    <cellStyle name="Currency 4 2 7 2 2 2" xfId="1679" xr:uid="{00000000-0005-0000-0000-0000C6030000}"/>
    <cellStyle name="Currency 4 2 7 2 2 3" xfId="1680" xr:uid="{00000000-0005-0000-0000-0000C7030000}"/>
    <cellStyle name="Currency 4 2 7 2 3" xfId="1681" xr:uid="{00000000-0005-0000-0000-0000C8030000}"/>
    <cellStyle name="Currency 4 2 7 2 4" xfId="1682" xr:uid="{00000000-0005-0000-0000-0000C9030000}"/>
    <cellStyle name="Currency 4 2 7 2 5" xfId="1683" xr:uid="{00000000-0005-0000-0000-0000CA030000}"/>
    <cellStyle name="Currency 4 2 7 3" xfId="1684" xr:uid="{00000000-0005-0000-0000-0000CB030000}"/>
    <cellStyle name="Currency 4 2 7 3 2" xfId="1685" xr:uid="{00000000-0005-0000-0000-0000CC030000}"/>
    <cellStyle name="Currency 4 2 7 3 2 2" xfId="1686" xr:uid="{00000000-0005-0000-0000-0000CD030000}"/>
    <cellStyle name="Currency 4 2 7 3 2 3" xfId="1687" xr:uid="{00000000-0005-0000-0000-0000CE030000}"/>
    <cellStyle name="Currency 4 2 7 3 3" xfId="1688" xr:uid="{00000000-0005-0000-0000-0000CF030000}"/>
    <cellStyle name="Currency 4 2 7 3 4" xfId="1689" xr:uid="{00000000-0005-0000-0000-0000D0030000}"/>
    <cellStyle name="Currency 4 2 7 3 5" xfId="1690" xr:uid="{00000000-0005-0000-0000-0000D1030000}"/>
    <cellStyle name="Currency 4 2 7 4" xfId="1691" xr:uid="{00000000-0005-0000-0000-0000D2030000}"/>
    <cellStyle name="Currency 4 2 7 4 2" xfId="1692" xr:uid="{00000000-0005-0000-0000-0000D3030000}"/>
    <cellStyle name="Currency 4 2 7 4 3" xfId="1693" xr:uid="{00000000-0005-0000-0000-0000D4030000}"/>
    <cellStyle name="Currency 4 2 7 5" xfId="1694" xr:uid="{00000000-0005-0000-0000-0000D5030000}"/>
    <cellStyle name="Currency 4 2 7 6" xfId="1695" xr:uid="{00000000-0005-0000-0000-0000D6030000}"/>
    <cellStyle name="Currency 4 2 7 7" xfId="1696" xr:uid="{00000000-0005-0000-0000-0000D7030000}"/>
    <cellStyle name="Currency 4 2 8" xfId="1697" xr:uid="{00000000-0005-0000-0000-0000D8030000}"/>
    <cellStyle name="Currency 4 2 8 2" xfId="1698" xr:uid="{00000000-0005-0000-0000-0000D9030000}"/>
    <cellStyle name="Currency 4 2 8 2 2" xfId="1699" xr:uid="{00000000-0005-0000-0000-0000DA030000}"/>
    <cellStyle name="Currency 4 2 8 2 3" xfId="1700" xr:uid="{00000000-0005-0000-0000-0000DB030000}"/>
    <cellStyle name="Currency 4 2 8 3" xfId="1701" xr:uid="{00000000-0005-0000-0000-0000DC030000}"/>
    <cellStyle name="Currency 4 2 8 4" xfId="1702" xr:uid="{00000000-0005-0000-0000-0000DD030000}"/>
    <cellStyle name="Currency 4 2 8 5" xfId="1703" xr:uid="{00000000-0005-0000-0000-0000DE030000}"/>
    <cellStyle name="Currency 4 2 9" xfId="1704" xr:uid="{00000000-0005-0000-0000-0000DF030000}"/>
    <cellStyle name="Currency 4 2 9 2" xfId="1705" xr:uid="{00000000-0005-0000-0000-0000E0030000}"/>
    <cellStyle name="Currency 4 2 9 2 2" xfId="1706" xr:uid="{00000000-0005-0000-0000-0000E1030000}"/>
    <cellStyle name="Currency 4 2 9 2 3" xfId="1707" xr:uid="{00000000-0005-0000-0000-0000E2030000}"/>
    <cellStyle name="Currency 4 2 9 3" xfId="1708" xr:uid="{00000000-0005-0000-0000-0000E3030000}"/>
    <cellStyle name="Currency 4 2 9 4" xfId="1709" xr:uid="{00000000-0005-0000-0000-0000E4030000}"/>
    <cellStyle name="Currency 4 2 9 5" xfId="1710" xr:uid="{00000000-0005-0000-0000-0000E5030000}"/>
    <cellStyle name="Currency 4 3" xfId="1711" xr:uid="{00000000-0005-0000-0000-0000E6030000}"/>
    <cellStyle name="Currency 4 3 2" xfId="1712" xr:uid="{00000000-0005-0000-0000-0000E7030000}"/>
    <cellStyle name="Currency 4 3 2 2" xfId="1713" xr:uid="{00000000-0005-0000-0000-0000E8030000}"/>
    <cellStyle name="Currency 4 3 2 2 2" xfId="1714" xr:uid="{00000000-0005-0000-0000-0000E9030000}"/>
    <cellStyle name="Currency 4 3 2 2 2 2" xfId="1715" xr:uid="{00000000-0005-0000-0000-0000EA030000}"/>
    <cellStyle name="Currency 4 3 2 2 2 2 2" xfId="1716" xr:uid="{00000000-0005-0000-0000-0000EB030000}"/>
    <cellStyle name="Currency 4 3 2 2 2 2 3" xfId="1717" xr:uid="{00000000-0005-0000-0000-0000EC030000}"/>
    <cellStyle name="Currency 4 3 2 2 2 3" xfId="1718" xr:uid="{00000000-0005-0000-0000-0000ED030000}"/>
    <cellStyle name="Currency 4 3 2 2 2 4" xfId="1719" xr:uid="{00000000-0005-0000-0000-0000EE030000}"/>
    <cellStyle name="Currency 4 3 2 2 2 5" xfId="1720" xr:uid="{00000000-0005-0000-0000-0000EF030000}"/>
    <cellStyle name="Currency 4 3 2 2 3" xfId="1721" xr:uid="{00000000-0005-0000-0000-0000F0030000}"/>
    <cellStyle name="Currency 4 3 2 2 3 2" xfId="1722" xr:uid="{00000000-0005-0000-0000-0000F1030000}"/>
    <cellStyle name="Currency 4 3 2 2 3 2 2" xfId="1723" xr:uid="{00000000-0005-0000-0000-0000F2030000}"/>
    <cellStyle name="Currency 4 3 2 2 3 2 3" xfId="1724" xr:uid="{00000000-0005-0000-0000-0000F3030000}"/>
    <cellStyle name="Currency 4 3 2 2 3 3" xfId="1725" xr:uid="{00000000-0005-0000-0000-0000F4030000}"/>
    <cellStyle name="Currency 4 3 2 2 3 4" xfId="1726" xr:uid="{00000000-0005-0000-0000-0000F5030000}"/>
    <cellStyle name="Currency 4 3 2 2 3 5" xfId="1727" xr:uid="{00000000-0005-0000-0000-0000F6030000}"/>
    <cellStyle name="Currency 4 3 2 2 4" xfId="1728" xr:uid="{00000000-0005-0000-0000-0000F7030000}"/>
    <cellStyle name="Currency 4 3 2 2 4 2" xfId="1729" xr:uid="{00000000-0005-0000-0000-0000F8030000}"/>
    <cellStyle name="Currency 4 3 2 2 4 3" xfId="1730" xr:uid="{00000000-0005-0000-0000-0000F9030000}"/>
    <cellStyle name="Currency 4 3 2 2 5" xfId="1731" xr:uid="{00000000-0005-0000-0000-0000FA030000}"/>
    <cellStyle name="Currency 4 3 2 2 6" xfId="1732" xr:uid="{00000000-0005-0000-0000-0000FB030000}"/>
    <cellStyle name="Currency 4 3 2 2 7" xfId="1733" xr:uid="{00000000-0005-0000-0000-0000FC030000}"/>
    <cellStyle name="Currency 4 3 2 3" xfId="1734" xr:uid="{00000000-0005-0000-0000-0000FD030000}"/>
    <cellStyle name="Currency 4 3 2 3 2" xfId="1735" xr:uid="{00000000-0005-0000-0000-0000FE030000}"/>
    <cellStyle name="Currency 4 3 2 3 2 2" xfId="1736" xr:uid="{00000000-0005-0000-0000-0000FF030000}"/>
    <cellStyle name="Currency 4 3 2 3 2 3" xfId="1737" xr:uid="{00000000-0005-0000-0000-000000040000}"/>
    <cellStyle name="Currency 4 3 2 3 3" xfId="1738" xr:uid="{00000000-0005-0000-0000-000001040000}"/>
    <cellStyle name="Currency 4 3 2 3 4" xfId="1739" xr:uid="{00000000-0005-0000-0000-000002040000}"/>
    <cellStyle name="Currency 4 3 2 3 5" xfId="1740" xr:uid="{00000000-0005-0000-0000-000003040000}"/>
    <cellStyle name="Currency 4 3 2 4" xfId="1741" xr:uid="{00000000-0005-0000-0000-000004040000}"/>
    <cellStyle name="Currency 4 3 2 4 2" xfId="1742" xr:uid="{00000000-0005-0000-0000-000005040000}"/>
    <cellStyle name="Currency 4 3 2 4 2 2" xfId="1743" xr:uid="{00000000-0005-0000-0000-000006040000}"/>
    <cellStyle name="Currency 4 3 2 4 2 3" xfId="1744" xr:uid="{00000000-0005-0000-0000-000007040000}"/>
    <cellStyle name="Currency 4 3 2 4 3" xfId="1745" xr:uid="{00000000-0005-0000-0000-000008040000}"/>
    <cellStyle name="Currency 4 3 2 4 4" xfId="1746" xr:uid="{00000000-0005-0000-0000-000009040000}"/>
    <cellStyle name="Currency 4 3 2 4 5" xfId="1747" xr:uid="{00000000-0005-0000-0000-00000A040000}"/>
    <cellStyle name="Currency 4 3 2 5" xfId="1748" xr:uid="{00000000-0005-0000-0000-00000B040000}"/>
    <cellStyle name="Currency 4 3 2 5 2" xfId="1749" xr:uid="{00000000-0005-0000-0000-00000C040000}"/>
    <cellStyle name="Currency 4 3 2 5 3" xfId="1750" xr:uid="{00000000-0005-0000-0000-00000D040000}"/>
    <cellStyle name="Currency 4 3 2 6" xfId="1751" xr:uid="{00000000-0005-0000-0000-00000E040000}"/>
    <cellStyle name="Currency 4 3 2 7" xfId="1752" xr:uid="{00000000-0005-0000-0000-00000F040000}"/>
    <cellStyle name="Currency 4 3 2 8" xfId="1753" xr:uid="{00000000-0005-0000-0000-000010040000}"/>
    <cellStyle name="Currency 4 3 3" xfId="1754" xr:uid="{00000000-0005-0000-0000-000011040000}"/>
    <cellStyle name="Currency 4 3 3 2" xfId="1755" xr:uid="{00000000-0005-0000-0000-000012040000}"/>
    <cellStyle name="Currency 4 3 3 2 2" xfId="1756" xr:uid="{00000000-0005-0000-0000-000013040000}"/>
    <cellStyle name="Currency 4 3 3 2 2 2" xfId="1757" xr:uid="{00000000-0005-0000-0000-000014040000}"/>
    <cellStyle name="Currency 4 3 3 2 2 3" xfId="1758" xr:uid="{00000000-0005-0000-0000-000015040000}"/>
    <cellStyle name="Currency 4 3 3 2 3" xfId="1759" xr:uid="{00000000-0005-0000-0000-000016040000}"/>
    <cellStyle name="Currency 4 3 3 2 4" xfId="1760" xr:uid="{00000000-0005-0000-0000-000017040000}"/>
    <cellStyle name="Currency 4 3 3 2 5" xfId="1761" xr:uid="{00000000-0005-0000-0000-000018040000}"/>
    <cellStyle name="Currency 4 3 3 3" xfId="1762" xr:uid="{00000000-0005-0000-0000-000019040000}"/>
    <cellStyle name="Currency 4 3 3 3 2" xfId="1763" xr:uid="{00000000-0005-0000-0000-00001A040000}"/>
    <cellStyle name="Currency 4 3 3 3 2 2" xfId="1764" xr:uid="{00000000-0005-0000-0000-00001B040000}"/>
    <cellStyle name="Currency 4 3 3 3 2 3" xfId="1765" xr:uid="{00000000-0005-0000-0000-00001C040000}"/>
    <cellStyle name="Currency 4 3 3 3 3" xfId="1766" xr:uid="{00000000-0005-0000-0000-00001D040000}"/>
    <cellStyle name="Currency 4 3 3 3 4" xfId="1767" xr:uid="{00000000-0005-0000-0000-00001E040000}"/>
    <cellStyle name="Currency 4 3 3 3 5" xfId="1768" xr:uid="{00000000-0005-0000-0000-00001F040000}"/>
    <cellStyle name="Currency 4 3 3 4" xfId="1769" xr:uid="{00000000-0005-0000-0000-000020040000}"/>
    <cellStyle name="Currency 4 3 3 4 2" xfId="1770" xr:uid="{00000000-0005-0000-0000-000021040000}"/>
    <cellStyle name="Currency 4 3 3 4 3" xfId="1771" xr:uid="{00000000-0005-0000-0000-000022040000}"/>
    <cellStyle name="Currency 4 3 3 5" xfId="1772" xr:uid="{00000000-0005-0000-0000-000023040000}"/>
    <cellStyle name="Currency 4 3 3 6" xfId="1773" xr:uid="{00000000-0005-0000-0000-000024040000}"/>
    <cellStyle name="Currency 4 3 3 7" xfId="1774" xr:uid="{00000000-0005-0000-0000-000025040000}"/>
    <cellStyle name="Currency 4 3 4" xfId="1775" xr:uid="{00000000-0005-0000-0000-000026040000}"/>
    <cellStyle name="Currency 4 3 4 2" xfId="1776" xr:uid="{00000000-0005-0000-0000-000027040000}"/>
    <cellStyle name="Currency 4 3 4 2 2" xfId="1777" xr:uid="{00000000-0005-0000-0000-000028040000}"/>
    <cellStyle name="Currency 4 3 4 2 3" xfId="1778" xr:uid="{00000000-0005-0000-0000-000029040000}"/>
    <cellStyle name="Currency 4 3 4 3" xfId="1779" xr:uid="{00000000-0005-0000-0000-00002A040000}"/>
    <cellStyle name="Currency 4 3 4 4" xfId="1780" xr:uid="{00000000-0005-0000-0000-00002B040000}"/>
    <cellStyle name="Currency 4 3 4 5" xfId="1781" xr:uid="{00000000-0005-0000-0000-00002C040000}"/>
    <cellStyle name="Currency 4 3 5" xfId="1782" xr:uid="{00000000-0005-0000-0000-00002D040000}"/>
    <cellStyle name="Currency 4 3 5 2" xfId="1783" xr:uid="{00000000-0005-0000-0000-00002E040000}"/>
    <cellStyle name="Currency 4 3 5 2 2" xfId="1784" xr:uid="{00000000-0005-0000-0000-00002F040000}"/>
    <cellStyle name="Currency 4 3 5 2 3" xfId="1785" xr:uid="{00000000-0005-0000-0000-000030040000}"/>
    <cellStyle name="Currency 4 3 5 3" xfId="1786" xr:uid="{00000000-0005-0000-0000-000031040000}"/>
    <cellStyle name="Currency 4 3 5 4" xfId="1787" xr:uid="{00000000-0005-0000-0000-000032040000}"/>
    <cellStyle name="Currency 4 3 5 5" xfId="1788" xr:uid="{00000000-0005-0000-0000-000033040000}"/>
    <cellStyle name="Currency 4 3 6" xfId="1789" xr:uid="{00000000-0005-0000-0000-000034040000}"/>
    <cellStyle name="Currency 4 3 6 2" xfId="1790" xr:uid="{00000000-0005-0000-0000-000035040000}"/>
    <cellStyle name="Currency 4 3 6 3" xfId="1791" xr:uid="{00000000-0005-0000-0000-000036040000}"/>
    <cellStyle name="Currency 4 3 7" xfId="1792" xr:uid="{00000000-0005-0000-0000-000037040000}"/>
    <cellStyle name="Currency 4 3 8" xfId="1793" xr:uid="{00000000-0005-0000-0000-000038040000}"/>
    <cellStyle name="Currency 4 3 9" xfId="1794" xr:uid="{00000000-0005-0000-0000-000039040000}"/>
    <cellStyle name="Currency 4 4" xfId="1795" xr:uid="{00000000-0005-0000-0000-00003A040000}"/>
    <cellStyle name="Currency 4 4 2" xfId="1796" xr:uid="{00000000-0005-0000-0000-00003B040000}"/>
    <cellStyle name="Currency 4 4 2 2" xfId="1797" xr:uid="{00000000-0005-0000-0000-00003C040000}"/>
    <cellStyle name="Currency 4 4 2 2 2" xfId="1798" xr:uid="{00000000-0005-0000-0000-00003D040000}"/>
    <cellStyle name="Currency 4 4 2 2 2 2" xfId="1799" xr:uid="{00000000-0005-0000-0000-00003E040000}"/>
    <cellStyle name="Currency 4 4 2 2 2 2 2" xfId="1800" xr:uid="{00000000-0005-0000-0000-00003F040000}"/>
    <cellStyle name="Currency 4 4 2 2 2 2 3" xfId="1801" xr:uid="{00000000-0005-0000-0000-000040040000}"/>
    <cellStyle name="Currency 4 4 2 2 2 3" xfId="1802" xr:uid="{00000000-0005-0000-0000-000041040000}"/>
    <cellStyle name="Currency 4 4 2 2 2 4" xfId="1803" xr:uid="{00000000-0005-0000-0000-000042040000}"/>
    <cellStyle name="Currency 4 4 2 2 2 5" xfId="1804" xr:uid="{00000000-0005-0000-0000-000043040000}"/>
    <cellStyle name="Currency 4 4 2 2 3" xfId="1805" xr:uid="{00000000-0005-0000-0000-000044040000}"/>
    <cellStyle name="Currency 4 4 2 2 3 2" xfId="1806" xr:uid="{00000000-0005-0000-0000-000045040000}"/>
    <cellStyle name="Currency 4 4 2 2 3 2 2" xfId="1807" xr:uid="{00000000-0005-0000-0000-000046040000}"/>
    <cellStyle name="Currency 4 4 2 2 3 2 3" xfId="1808" xr:uid="{00000000-0005-0000-0000-000047040000}"/>
    <cellStyle name="Currency 4 4 2 2 3 3" xfId="1809" xr:uid="{00000000-0005-0000-0000-000048040000}"/>
    <cellStyle name="Currency 4 4 2 2 3 4" xfId="1810" xr:uid="{00000000-0005-0000-0000-000049040000}"/>
    <cellStyle name="Currency 4 4 2 2 3 5" xfId="1811" xr:uid="{00000000-0005-0000-0000-00004A040000}"/>
    <cellStyle name="Currency 4 4 2 2 4" xfId="1812" xr:uid="{00000000-0005-0000-0000-00004B040000}"/>
    <cellStyle name="Currency 4 4 2 2 4 2" xfId="1813" xr:uid="{00000000-0005-0000-0000-00004C040000}"/>
    <cellStyle name="Currency 4 4 2 2 4 3" xfId="1814" xr:uid="{00000000-0005-0000-0000-00004D040000}"/>
    <cellStyle name="Currency 4 4 2 2 5" xfId="1815" xr:uid="{00000000-0005-0000-0000-00004E040000}"/>
    <cellStyle name="Currency 4 4 2 2 6" xfId="1816" xr:uid="{00000000-0005-0000-0000-00004F040000}"/>
    <cellStyle name="Currency 4 4 2 2 7" xfId="1817" xr:uid="{00000000-0005-0000-0000-000050040000}"/>
    <cellStyle name="Currency 4 4 2 3" xfId="1818" xr:uid="{00000000-0005-0000-0000-000051040000}"/>
    <cellStyle name="Currency 4 4 2 3 2" xfId="1819" xr:uid="{00000000-0005-0000-0000-000052040000}"/>
    <cellStyle name="Currency 4 4 2 3 2 2" xfId="1820" xr:uid="{00000000-0005-0000-0000-000053040000}"/>
    <cellStyle name="Currency 4 4 2 3 2 3" xfId="1821" xr:uid="{00000000-0005-0000-0000-000054040000}"/>
    <cellStyle name="Currency 4 4 2 3 3" xfId="1822" xr:uid="{00000000-0005-0000-0000-000055040000}"/>
    <cellStyle name="Currency 4 4 2 3 4" xfId="1823" xr:uid="{00000000-0005-0000-0000-000056040000}"/>
    <cellStyle name="Currency 4 4 2 3 5" xfId="1824" xr:uid="{00000000-0005-0000-0000-000057040000}"/>
    <cellStyle name="Currency 4 4 2 4" xfId="1825" xr:uid="{00000000-0005-0000-0000-000058040000}"/>
    <cellStyle name="Currency 4 4 2 4 2" xfId="1826" xr:uid="{00000000-0005-0000-0000-000059040000}"/>
    <cellStyle name="Currency 4 4 2 4 2 2" xfId="1827" xr:uid="{00000000-0005-0000-0000-00005A040000}"/>
    <cellStyle name="Currency 4 4 2 4 2 3" xfId="1828" xr:uid="{00000000-0005-0000-0000-00005B040000}"/>
    <cellStyle name="Currency 4 4 2 4 3" xfId="1829" xr:uid="{00000000-0005-0000-0000-00005C040000}"/>
    <cellStyle name="Currency 4 4 2 4 4" xfId="1830" xr:uid="{00000000-0005-0000-0000-00005D040000}"/>
    <cellStyle name="Currency 4 4 2 4 5" xfId="1831" xr:uid="{00000000-0005-0000-0000-00005E040000}"/>
    <cellStyle name="Currency 4 4 2 5" xfId="1832" xr:uid="{00000000-0005-0000-0000-00005F040000}"/>
    <cellStyle name="Currency 4 4 2 5 2" xfId="1833" xr:uid="{00000000-0005-0000-0000-000060040000}"/>
    <cellStyle name="Currency 4 4 2 5 3" xfId="1834" xr:uid="{00000000-0005-0000-0000-000061040000}"/>
    <cellStyle name="Currency 4 4 2 6" xfId="1835" xr:uid="{00000000-0005-0000-0000-000062040000}"/>
    <cellStyle name="Currency 4 4 2 7" xfId="1836" xr:uid="{00000000-0005-0000-0000-000063040000}"/>
    <cellStyle name="Currency 4 4 2 8" xfId="1837" xr:uid="{00000000-0005-0000-0000-000064040000}"/>
    <cellStyle name="Currency 4 4 3" xfId="1838" xr:uid="{00000000-0005-0000-0000-000065040000}"/>
    <cellStyle name="Currency 4 4 3 2" xfId="1839" xr:uid="{00000000-0005-0000-0000-000066040000}"/>
    <cellStyle name="Currency 4 4 3 2 2" xfId="1840" xr:uid="{00000000-0005-0000-0000-000067040000}"/>
    <cellStyle name="Currency 4 4 3 2 2 2" xfId="1841" xr:uid="{00000000-0005-0000-0000-000068040000}"/>
    <cellStyle name="Currency 4 4 3 2 2 3" xfId="1842" xr:uid="{00000000-0005-0000-0000-000069040000}"/>
    <cellStyle name="Currency 4 4 3 2 3" xfId="1843" xr:uid="{00000000-0005-0000-0000-00006A040000}"/>
    <cellStyle name="Currency 4 4 3 2 4" xfId="1844" xr:uid="{00000000-0005-0000-0000-00006B040000}"/>
    <cellStyle name="Currency 4 4 3 2 5" xfId="1845" xr:uid="{00000000-0005-0000-0000-00006C040000}"/>
    <cellStyle name="Currency 4 4 3 3" xfId="1846" xr:uid="{00000000-0005-0000-0000-00006D040000}"/>
    <cellStyle name="Currency 4 4 3 3 2" xfId="1847" xr:uid="{00000000-0005-0000-0000-00006E040000}"/>
    <cellStyle name="Currency 4 4 3 3 2 2" xfId="1848" xr:uid="{00000000-0005-0000-0000-00006F040000}"/>
    <cellStyle name="Currency 4 4 3 3 2 3" xfId="1849" xr:uid="{00000000-0005-0000-0000-000070040000}"/>
    <cellStyle name="Currency 4 4 3 3 3" xfId="1850" xr:uid="{00000000-0005-0000-0000-000071040000}"/>
    <cellStyle name="Currency 4 4 3 3 4" xfId="1851" xr:uid="{00000000-0005-0000-0000-000072040000}"/>
    <cellStyle name="Currency 4 4 3 3 5" xfId="1852" xr:uid="{00000000-0005-0000-0000-000073040000}"/>
    <cellStyle name="Currency 4 4 3 4" xfId="1853" xr:uid="{00000000-0005-0000-0000-000074040000}"/>
    <cellStyle name="Currency 4 4 3 4 2" xfId="1854" xr:uid="{00000000-0005-0000-0000-000075040000}"/>
    <cellStyle name="Currency 4 4 3 4 3" xfId="1855" xr:uid="{00000000-0005-0000-0000-000076040000}"/>
    <cellStyle name="Currency 4 4 3 5" xfId="1856" xr:uid="{00000000-0005-0000-0000-000077040000}"/>
    <cellStyle name="Currency 4 4 3 6" xfId="1857" xr:uid="{00000000-0005-0000-0000-000078040000}"/>
    <cellStyle name="Currency 4 4 3 7" xfId="1858" xr:uid="{00000000-0005-0000-0000-000079040000}"/>
    <cellStyle name="Currency 4 4 4" xfId="1859" xr:uid="{00000000-0005-0000-0000-00007A040000}"/>
    <cellStyle name="Currency 4 4 4 2" xfId="1860" xr:uid="{00000000-0005-0000-0000-00007B040000}"/>
    <cellStyle name="Currency 4 4 4 2 2" xfId="1861" xr:uid="{00000000-0005-0000-0000-00007C040000}"/>
    <cellStyle name="Currency 4 4 4 2 3" xfId="1862" xr:uid="{00000000-0005-0000-0000-00007D040000}"/>
    <cellStyle name="Currency 4 4 4 3" xfId="1863" xr:uid="{00000000-0005-0000-0000-00007E040000}"/>
    <cellStyle name="Currency 4 4 4 4" xfId="1864" xr:uid="{00000000-0005-0000-0000-00007F040000}"/>
    <cellStyle name="Currency 4 4 4 5" xfId="1865" xr:uid="{00000000-0005-0000-0000-000080040000}"/>
    <cellStyle name="Currency 4 4 5" xfId="1866" xr:uid="{00000000-0005-0000-0000-000081040000}"/>
    <cellStyle name="Currency 4 4 5 2" xfId="1867" xr:uid="{00000000-0005-0000-0000-000082040000}"/>
    <cellStyle name="Currency 4 4 5 2 2" xfId="1868" xr:uid="{00000000-0005-0000-0000-000083040000}"/>
    <cellStyle name="Currency 4 4 5 2 3" xfId="1869" xr:uid="{00000000-0005-0000-0000-000084040000}"/>
    <cellStyle name="Currency 4 4 5 3" xfId="1870" xr:uid="{00000000-0005-0000-0000-000085040000}"/>
    <cellStyle name="Currency 4 4 5 4" xfId="1871" xr:uid="{00000000-0005-0000-0000-000086040000}"/>
    <cellStyle name="Currency 4 4 5 5" xfId="1872" xr:uid="{00000000-0005-0000-0000-000087040000}"/>
    <cellStyle name="Currency 4 4 6" xfId="1873" xr:uid="{00000000-0005-0000-0000-000088040000}"/>
    <cellStyle name="Currency 4 4 6 2" xfId="1874" xr:uid="{00000000-0005-0000-0000-000089040000}"/>
    <cellStyle name="Currency 4 4 6 3" xfId="1875" xr:uid="{00000000-0005-0000-0000-00008A040000}"/>
    <cellStyle name="Currency 4 4 7" xfId="1876" xr:uid="{00000000-0005-0000-0000-00008B040000}"/>
    <cellStyle name="Currency 4 4 8" xfId="1877" xr:uid="{00000000-0005-0000-0000-00008C040000}"/>
    <cellStyle name="Currency 4 4 9" xfId="1878" xr:uid="{00000000-0005-0000-0000-00008D040000}"/>
    <cellStyle name="Currency 4 5" xfId="1879" xr:uid="{00000000-0005-0000-0000-00008E040000}"/>
    <cellStyle name="Currency 4 5 2" xfId="1880" xr:uid="{00000000-0005-0000-0000-00008F040000}"/>
    <cellStyle name="Currency 4 5 2 2" xfId="1881" xr:uid="{00000000-0005-0000-0000-000090040000}"/>
    <cellStyle name="Currency 4 5 2 2 2" xfId="1882" xr:uid="{00000000-0005-0000-0000-000091040000}"/>
    <cellStyle name="Currency 4 5 2 2 2 2" xfId="1883" xr:uid="{00000000-0005-0000-0000-000092040000}"/>
    <cellStyle name="Currency 4 5 2 2 2 2 2" xfId="1884" xr:uid="{00000000-0005-0000-0000-000093040000}"/>
    <cellStyle name="Currency 4 5 2 2 2 2 3" xfId="1885" xr:uid="{00000000-0005-0000-0000-000094040000}"/>
    <cellStyle name="Currency 4 5 2 2 2 3" xfId="1886" xr:uid="{00000000-0005-0000-0000-000095040000}"/>
    <cellStyle name="Currency 4 5 2 2 2 4" xfId="1887" xr:uid="{00000000-0005-0000-0000-000096040000}"/>
    <cellStyle name="Currency 4 5 2 2 2 5" xfId="1888" xr:uid="{00000000-0005-0000-0000-000097040000}"/>
    <cellStyle name="Currency 4 5 2 2 3" xfId="1889" xr:uid="{00000000-0005-0000-0000-000098040000}"/>
    <cellStyle name="Currency 4 5 2 2 3 2" xfId="1890" xr:uid="{00000000-0005-0000-0000-000099040000}"/>
    <cellStyle name="Currency 4 5 2 2 3 2 2" xfId="1891" xr:uid="{00000000-0005-0000-0000-00009A040000}"/>
    <cellStyle name="Currency 4 5 2 2 3 2 3" xfId="1892" xr:uid="{00000000-0005-0000-0000-00009B040000}"/>
    <cellStyle name="Currency 4 5 2 2 3 3" xfId="1893" xr:uid="{00000000-0005-0000-0000-00009C040000}"/>
    <cellStyle name="Currency 4 5 2 2 3 4" xfId="1894" xr:uid="{00000000-0005-0000-0000-00009D040000}"/>
    <cellStyle name="Currency 4 5 2 2 3 5" xfId="1895" xr:uid="{00000000-0005-0000-0000-00009E040000}"/>
    <cellStyle name="Currency 4 5 2 2 4" xfId="1896" xr:uid="{00000000-0005-0000-0000-00009F040000}"/>
    <cellStyle name="Currency 4 5 2 2 4 2" xfId="1897" xr:uid="{00000000-0005-0000-0000-0000A0040000}"/>
    <cellStyle name="Currency 4 5 2 2 4 3" xfId="1898" xr:uid="{00000000-0005-0000-0000-0000A1040000}"/>
    <cellStyle name="Currency 4 5 2 2 5" xfId="1899" xr:uid="{00000000-0005-0000-0000-0000A2040000}"/>
    <cellStyle name="Currency 4 5 2 2 6" xfId="1900" xr:uid="{00000000-0005-0000-0000-0000A3040000}"/>
    <cellStyle name="Currency 4 5 2 2 7" xfId="1901" xr:uid="{00000000-0005-0000-0000-0000A4040000}"/>
    <cellStyle name="Currency 4 5 2 3" xfId="1902" xr:uid="{00000000-0005-0000-0000-0000A5040000}"/>
    <cellStyle name="Currency 4 5 2 3 2" xfId="1903" xr:uid="{00000000-0005-0000-0000-0000A6040000}"/>
    <cellStyle name="Currency 4 5 2 3 2 2" xfId="1904" xr:uid="{00000000-0005-0000-0000-0000A7040000}"/>
    <cellStyle name="Currency 4 5 2 3 2 3" xfId="1905" xr:uid="{00000000-0005-0000-0000-0000A8040000}"/>
    <cellStyle name="Currency 4 5 2 3 3" xfId="1906" xr:uid="{00000000-0005-0000-0000-0000A9040000}"/>
    <cellStyle name="Currency 4 5 2 3 4" xfId="1907" xr:uid="{00000000-0005-0000-0000-0000AA040000}"/>
    <cellStyle name="Currency 4 5 2 3 5" xfId="1908" xr:uid="{00000000-0005-0000-0000-0000AB040000}"/>
    <cellStyle name="Currency 4 5 2 4" xfId="1909" xr:uid="{00000000-0005-0000-0000-0000AC040000}"/>
    <cellStyle name="Currency 4 5 2 4 2" xfId="1910" xr:uid="{00000000-0005-0000-0000-0000AD040000}"/>
    <cellStyle name="Currency 4 5 2 4 2 2" xfId="1911" xr:uid="{00000000-0005-0000-0000-0000AE040000}"/>
    <cellStyle name="Currency 4 5 2 4 2 3" xfId="1912" xr:uid="{00000000-0005-0000-0000-0000AF040000}"/>
    <cellStyle name="Currency 4 5 2 4 3" xfId="1913" xr:uid="{00000000-0005-0000-0000-0000B0040000}"/>
    <cellStyle name="Currency 4 5 2 4 4" xfId="1914" xr:uid="{00000000-0005-0000-0000-0000B1040000}"/>
    <cellStyle name="Currency 4 5 2 4 5" xfId="1915" xr:uid="{00000000-0005-0000-0000-0000B2040000}"/>
    <cellStyle name="Currency 4 5 2 5" xfId="1916" xr:uid="{00000000-0005-0000-0000-0000B3040000}"/>
    <cellStyle name="Currency 4 5 2 5 2" xfId="1917" xr:uid="{00000000-0005-0000-0000-0000B4040000}"/>
    <cellStyle name="Currency 4 5 2 5 3" xfId="1918" xr:uid="{00000000-0005-0000-0000-0000B5040000}"/>
    <cellStyle name="Currency 4 5 2 6" xfId="1919" xr:uid="{00000000-0005-0000-0000-0000B6040000}"/>
    <cellStyle name="Currency 4 5 2 7" xfId="1920" xr:uid="{00000000-0005-0000-0000-0000B7040000}"/>
    <cellStyle name="Currency 4 5 2 8" xfId="1921" xr:uid="{00000000-0005-0000-0000-0000B8040000}"/>
    <cellStyle name="Currency 4 5 3" xfId="1922" xr:uid="{00000000-0005-0000-0000-0000B9040000}"/>
    <cellStyle name="Currency 4 5 3 2" xfId="1923" xr:uid="{00000000-0005-0000-0000-0000BA040000}"/>
    <cellStyle name="Currency 4 5 3 2 2" xfId="1924" xr:uid="{00000000-0005-0000-0000-0000BB040000}"/>
    <cellStyle name="Currency 4 5 3 2 2 2" xfId="1925" xr:uid="{00000000-0005-0000-0000-0000BC040000}"/>
    <cellStyle name="Currency 4 5 3 2 2 3" xfId="1926" xr:uid="{00000000-0005-0000-0000-0000BD040000}"/>
    <cellStyle name="Currency 4 5 3 2 3" xfId="1927" xr:uid="{00000000-0005-0000-0000-0000BE040000}"/>
    <cellStyle name="Currency 4 5 3 2 4" xfId="1928" xr:uid="{00000000-0005-0000-0000-0000BF040000}"/>
    <cellStyle name="Currency 4 5 3 2 5" xfId="1929" xr:uid="{00000000-0005-0000-0000-0000C0040000}"/>
    <cellStyle name="Currency 4 5 3 3" xfId="1930" xr:uid="{00000000-0005-0000-0000-0000C1040000}"/>
    <cellStyle name="Currency 4 5 3 3 2" xfId="1931" xr:uid="{00000000-0005-0000-0000-0000C2040000}"/>
    <cellStyle name="Currency 4 5 3 3 2 2" xfId="1932" xr:uid="{00000000-0005-0000-0000-0000C3040000}"/>
    <cellStyle name="Currency 4 5 3 3 2 3" xfId="1933" xr:uid="{00000000-0005-0000-0000-0000C4040000}"/>
    <cellStyle name="Currency 4 5 3 3 3" xfId="1934" xr:uid="{00000000-0005-0000-0000-0000C5040000}"/>
    <cellStyle name="Currency 4 5 3 3 4" xfId="1935" xr:uid="{00000000-0005-0000-0000-0000C6040000}"/>
    <cellStyle name="Currency 4 5 3 3 5" xfId="1936" xr:uid="{00000000-0005-0000-0000-0000C7040000}"/>
    <cellStyle name="Currency 4 5 3 4" xfId="1937" xr:uid="{00000000-0005-0000-0000-0000C8040000}"/>
    <cellStyle name="Currency 4 5 3 4 2" xfId="1938" xr:uid="{00000000-0005-0000-0000-0000C9040000}"/>
    <cellStyle name="Currency 4 5 3 4 3" xfId="1939" xr:uid="{00000000-0005-0000-0000-0000CA040000}"/>
    <cellStyle name="Currency 4 5 3 5" xfId="1940" xr:uid="{00000000-0005-0000-0000-0000CB040000}"/>
    <cellStyle name="Currency 4 5 3 6" xfId="1941" xr:uid="{00000000-0005-0000-0000-0000CC040000}"/>
    <cellStyle name="Currency 4 5 3 7" xfId="1942" xr:uid="{00000000-0005-0000-0000-0000CD040000}"/>
    <cellStyle name="Currency 4 5 4" xfId="1943" xr:uid="{00000000-0005-0000-0000-0000CE040000}"/>
    <cellStyle name="Currency 4 5 4 2" xfId="1944" xr:uid="{00000000-0005-0000-0000-0000CF040000}"/>
    <cellStyle name="Currency 4 5 4 2 2" xfId="1945" xr:uid="{00000000-0005-0000-0000-0000D0040000}"/>
    <cellStyle name="Currency 4 5 4 2 3" xfId="1946" xr:uid="{00000000-0005-0000-0000-0000D1040000}"/>
    <cellStyle name="Currency 4 5 4 3" xfId="1947" xr:uid="{00000000-0005-0000-0000-0000D2040000}"/>
    <cellStyle name="Currency 4 5 4 4" xfId="1948" xr:uid="{00000000-0005-0000-0000-0000D3040000}"/>
    <cellStyle name="Currency 4 5 4 5" xfId="1949" xr:uid="{00000000-0005-0000-0000-0000D4040000}"/>
    <cellStyle name="Currency 4 5 5" xfId="1950" xr:uid="{00000000-0005-0000-0000-0000D5040000}"/>
    <cellStyle name="Currency 4 5 5 2" xfId="1951" xr:uid="{00000000-0005-0000-0000-0000D6040000}"/>
    <cellStyle name="Currency 4 5 5 2 2" xfId="1952" xr:uid="{00000000-0005-0000-0000-0000D7040000}"/>
    <cellStyle name="Currency 4 5 5 2 3" xfId="1953" xr:uid="{00000000-0005-0000-0000-0000D8040000}"/>
    <cellStyle name="Currency 4 5 5 3" xfId="1954" xr:uid="{00000000-0005-0000-0000-0000D9040000}"/>
    <cellStyle name="Currency 4 5 5 4" xfId="1955" xr:uid="{00000000-0005-0000-0000-0000DA040000}"/>
    <cellStyle name="Currency 4 5 5 5" xfId="1956" xr:uid="{00000000-0005-0000-0000-0000DB040000}"/>
    <cellStyle name="Currency 4 5 6" xfId="1957" xr:uid="{00000000-0005-0000-0000-0000DC040000}"/>
    <cellStyle name="Currency 4 5 6 2" xfId="1958" xr:uid="{00000000-0005-0000-0000-0000DD040000}"/>
    <cellStyle name="Currency 4 5 6 3" xfId="1959" xr:uid="{00000000-0005-0000-0000-0000DE040000}"/>
    <cellStyle name="Currency 4 5 7" xfId="1960" xr:uid="{00000000-0005-0000-0000-0000DF040000}"/>
    <cellStyle name="Currency 4 5 8" xfId="1961" xr:uid="{00000000-0005-0000-0000-0000E0040000}"/>
    <cellStyle name="Currency 4 5 9" xfId="1962" xr:uid="{00000000-0005-0000-0000-0000E1040000}"/>
    <cellStyle name="Currency 4 6" xfId="1963" xr:uid="{00000000-0005-0000-0000-0000E2040000}"/>
    <cellStyle name="Currency 4 6 2" xfId="1964" xr:uid="{00000000-0005-0000-0000-0000E3040000}"/>
    <cellStyle name="Currency 4 6 2 2" xfId="1965" xr:uid="{00000000-0005-0000-0000-0000E4040000}"/>
    <cellStyle name="Currency 4 6 2 2 2" xfId="1966" xr:uid="{00000000-0005-0000-0000-0000E5040000}"/>
    <cellStyle name="Currency 4 6 2 2 2 2" xfId="1967" xr:uid="{00000000-0005-0000-0000-0000E6040000}"/>
    <cellStyle name="Currency 4 6 2 2 2 3" xfId="1968" xr:uid="{00000000-0005-0000-0000-0000E7040000}"/>
    <cellStyle name="Currency 4 6 2 2 3" xfId="1969" xr:uid="{00000000-0005-0000-0000-0000E8040000}"/>
    <cellStyle name="Currency 4 6 2 2 4" xfId="1970" xr:uid="{00000000-0005-0000-0000-0000E9040000}"/>
    <cellStyle name="Currency 4 6 2 2 5" xfId="1971" xr:uid="{00000000-0005-0000-0000-0000EA040000}"/>
    <cellStyle name="Currency 4 6 2 3" xfId="1972" xr:uid="{00000000-0005-0000-0000-0000EB040000}"/>
    <cellStyle name="Currency 4 6 2 3 2" xfId="1973" xr:uid="{00000000-0005-0000-0000-0000EC040000}"/>
    <cellStyle name="Currency 4 6 2 3 2 2" xfId="1974" xr:uid="{00000000-0005-0000-0000-0000ED040000}"/>
    <cellStyle name="Currency 4 6 2 3 2 3" xfId="1975" xr:uid="{00000000-0005-0000-0000-0000EE040000}"/>
    <cellStyle name="Currency 4 6 2 3 3" xfId="1976" xr:uid="{00000000-0005-0000-0000-0000EF040000}"/>
    <cellStyle name="Currency 4 6 2 3 4" xfId="1977" xr:uid="{00000000-0005-0000-0000-0000F0040000}"/>
    <cellStyle name="Currency 4 6 2 3 5" xfId="1978" xr:uid="{00000000-0005-0000-0000-0000F1040000}"/>
    <cellStyle name="Currency 4 6 2 4" xfId="1979" xr:uid="{00000000-0005-0000-0000-0000F2040000}"/>
    <cellStyle name="Currency 4 6 2 4 2" xfId="1980" xr:uid="{00000000-0005-0000-0000-0000F3040000}"/>
    <cellStyle name="Currency 4 6 2 4 3" xfId="1981" xr:uid="{00000000-0005-0000-0000-0000F4040000}"/>
    <cellStyle name="Currency 4 6 2 5" xfId="1982" xr:uid="{00000000-0005-0000-0000-0000F5040000}"/>
    <cellStyle name="Currency 4 6 2 6" xfId="1983" xr:uid="{00000000-0005-0000-0000-0000F6040000}"/>
    <cellStyle name="Currency 4 6 2 7" xfId="1984" xr:uid="{00000000-0005-0000-0000-0000F7040000}"/>
    <cellStyle name="Currency 4 6 3" xfId="1985" xr:uid="{00000000-0005-0000-0000-0000F8040000}"/>
    <cellStyle name="Currency 4 6 3 2" xfId="1986" xr:uid="{00000000-0005-0000-0000-0000F9040000}"/>
    <cellStyle name="Currency 4 6 3 2 2" xfId="1987" xr:uid="{00000000-0005-0000-0000-0000FA040000}"/>
    <cellStyle name="Currency 4 6 3 2 3" xfId="1988" xr:uid="{00000000-0005-0000-0000-0000FB040000}"/>
    <cellStyle name="Currency 4 6 3 3" xfId="1989" xr:uid="{00000000-0005-0000-0000-0000FC040000}"/>
    <cellStyle name="Currency 4 6 3 4" xfId="1990" xr:uid="{00000000-0005-0000-0000-0000FD040000}"/>
    <cellStyle name="Currency 4 6 3 5" xfId="1991" xr:uid="{00000000-0005-0000-0000-0000FE040000}"/>
    <cellStyle name="Currency 4 6 4" xfId="1992" xr:uid="{00000000-0005-0000-0000-0000FF040000}"/>
    <cellStyle name="Currency 4 6 4 2" xfId="1993" xr:uid="{00000000-0005-0000-0000-000000050000}"/>
    <cellStyle name="Currency 4 6 4 2 2" xfId="1994" xr:uid="{00000000-0005-0000-0000-000001050000}"/>
    <cellStyle name="Currency 4 6 4 2 3" xfId="1995" xr:uid="{00000000-0005-0000-0000-000002050000}"/>
    <cellStyle name="Currency 4 6 4 3" xfId="1996" xr:uid="{00000000-0005-0000-0000-000003050000}"/>
    <cellStyle name="Currency 4 6 4 4" xfId="1997" xr:uid="{00000000-0005-0000-0000-000004050000}"/>
    <cellStyle name="Currency 4 6 4 5" xfId="1998" xr:uid="{00000000-0005-0000-0000-000005050000}"/>
    <cellStyle name="Currency 4 6 5" xfId="1999" xr:uid="{00000000-0005-0000-0000-000006050000}"/>
    <cellStyle name="Currency 4 6 5 2" xfId="2000" xr:uid="{00000000-0005-0000-0000-000007050000}"/>
    <cellStyle name="Currency 4 6 5 3" xfId="2001" xr:uid="{00000000-0005-0000-0000-000008050000}"/>
    <cellStyle name="Currency 4 6 6" xfId="2002" xr:uid="{00000000-0005-0000-0000-000009050000}"/>
    <cellStyle name="Currency 4 6 7" xfId="2003" xr:uid="{00000000-0005-0000-0000-00000A050000}"/>
    <cellStyle name="Currency 4 6 8" xfId="2004" xr:uid="{00000000-0005-0000-0000-00000B050000}"/>
    <cellStyle name="Currency 4 7" xfId="2005" xr:uid="{00000000-0005-0000-0000-00000C050000}"/>
    <cellStyle name="Currency 4 7 2" xfId="2006" xr:uid="{00000000-0005-0000-0000-00000D050000}"/>
    <cellStyle name="Currency 4 7 2 2" xfId="2007" xr:uid="{00000000-0005-0000-0000-00000E050000}"/>
    <cellStyle name="Currency 4 7 2 2 2" xfId="2008" xr:uid="{00000000-0005-0000-0000-00000F050000}"/>
    <cellStyle name="Currency 4 7 2 2 3" xfId="2009" xr:uid="{00000000-0005-0000-0000-000010050000}"/>
    <cellStyle name="Currency 4 7 2 3" xfId="2010" xr:uid="{00000000-0005-0000-0000-000011050000}"/>
    <cellStyle name="Currency 4 7 2 4" xfId="2011" xr:uid="{00000000-0005-0000-0000-000012050000}"/>
    <cellStyle name="Currency 4 7 2 5" xfId="2012" xr:uid="{00000000-0005-0000-0000-000013050000}"/>
    <cellStyle name="Currency 4 7 3" xfId="2013" xr:uid="{00000000-0005-0000-0000-000014050000}"/>
    <cellStyle name="Currency 4 7 3 2" xfId="2014" xr:uid="{00000000-0005-0000-0000-000015050000}"/>
    <cellStyle name="Currency 4 7 3 2 2" xfId="2015" xr:uid="{00000000-0005-0000-0000-000016050000}"/>
    <cellStyle name="Currency 4 7 3 2 3" xfId="2016" xr:uid="{00000000-0005-0000-0000-000017050000}"/>
    <cellStyle name="Currency 4 7 3 3" xfId="2017" xr:uid="{00000000-0005-0000-0000-000018050000}"/>
    <cellStyle name="Currency 4 7 3 4" xfId="2018" xr:uid="{00000000-0005-0000-0000-000019050000}"/>
    <cellStyle name="Currency 4 7 3 5" xfId="2019" xr:uid="{00000000-0005-0000-0000-00001A050000}"/>
    <cellStyle name="Currency 4 8" xfId="2020" xr:uid="{00000000-0005-0000-0000-00001B050000}"/>
    <cellStyle name="Currency 4 8 2" xfId="2021" xr:uid="{00000000-0005-0000-0000-00001C050000}"/>
    <cellStyle name="Currency 4 8 2 2" xfId="2022" xr:uid="{00000000-0005-0000-0000-00001D050000}"/>
    <cellStyle name="Currency 4 8 2 2 2" xfId="2023" xr:uid="{00000000-0005-0000-0000-00001E050000}"/>
    <cellStyle name="Currency 4 8 2 2 3" xfId="2024" xr:uid="{00000000-0005-0000-0000-00001F050000}"/>
    <cellStyle name="Currency 4 8 2 3" xfId="2025" xr:uid="{00000000-0005-0000-0000-000020050000}"/>
    <cellStyle name="Currency 4 8 2 4" xfId="2026" xr:uid="{00000000-0005-0000-0000-000021050000}"/>
    <cellStyle name="Currency 4 8 2 5" xfId="2027" xr:uid="{00000000-0005-0000-0000-000022050000}"/>
    <cellStyle name="Currency 4 8 3" xfId="2028" xr:uid="{00000000-0005-0000-0000-000023050000}"/>
    <cellStyle name="Currency 4 8 3 2" xfId="2029" xr:uid="{00000000-0005-0000-0000-000024050000}"/>
    <cellStyle name="Currency 4 8 3 2 2" xfId="2030" xr:uid="{00000000-0005-0000-0000-000025050000}"/>
    <cellStyle name="Currency 4 8 3 2 3" xfId="2031" xr:uid="{00000000-0005-0000-0000-000026050000}"/>
    <cellStyle name="Currency 4 8 3 3" xfId="2032" xr:uid="{00000000-0005-0000-0000-000027050000}"/>
    <cellStyle name="Currency 4 8 3 4" xfId="2033" xr:uid="{00000000-0005-0000-0000-000028050000}"/>
    <cellStyle name="Currency 4 8 3 5" xfId="2034" xr:uid="{00000000-0005-0000-0000-000029050000}"/>
    <cellStyle name="Currency 4 8 4" xfId="2035" xr:uid="{00000000-0005-0000-0000-00002A050000}"/>
    <cellStyle name="Currency 4 8 4 2" xfId="2036" xr:uid="{00000000-0005-0000-0000-00002B050000}"/>
    <cellStyle name="Currency 4 8 4 3" xfId="2037" xr:uid="{00000000-0005-0000-0000-00002C050000}"/>
    <cellStyle name="Currency 4 8 5" xfId="2038" xr:uid="{00000000-0005-0000-0000-00002D050000}"/>
    <cellStyle name="Currency 4 8 6" xfId="2039" xr:uid="{00000000-0005-0000-0000-00002E050000}"/>
    <cellStyle name="Currency 4 8 7" xfId="2040" xr:uid="{00000000-0005-0000-0000-00002F050000}"/>
    <cellStyle name="Currency 4 9" xfId="2041" xr:uid="{00000000-0005-0000-0000-000030050000}"/>
    <cellStyle name="Currency 4 9 2" xfId="2042" xr:uid="{00000000-0005-0000-0000-000031050000}"/>
    <cellStyle name="Currency 4 9 2 2" xfId="2043" xr:uid="{00000000-0005-0000-0000-000032050000}"/>
    <cellStyle name="Currency 4 9 2 3" xfId="2044" xr:uid="{00000000-0005-0000-0000-000033050000}"/>
    <cellStyle name="Currency 4 9 3" xfId="2045" xr:uid="{00000000-0005-0000-0000-000034050000}"/>
    <cellStyle name="Currency 4 9 4" xfId="2046" xr:uid="{00000000-0005-0000-0000-000035050000}"/>
    <cellStyle name="Currency 4 9 5" xfId="2047" xr:uid="{00000000-0005-0000-0000-000036050000}"/>
    <cellStyle name="Currency 5" xfId="472" xr:uid="{00000000-0005-0000-0000-000037050000}"/>
    <cellStyle name="Currency 6" xfId="471" xr:uid="{00000000-0005-0000-0000-000038050000}"/>
    <cellStyle name="Currency 7" xfId="470" xr:uid="{00000000-0005-0000-0000-000039050000}"/>
    <cellStyle name="Currency 8" xfId="469" xr:uid="{00000000-0005-0000-0000-00003A050000}"/>
    <cellStyle name="Currency 9" xfId="468" xr:uid="{00000000-0005-0000-0000-00003B050000}"/>
    <cellStyle name="Currency Input" xfId="106" xr:uid="{00000000-0005-0000-0000-00003C050000}"/>
    <cellStyle name="Currency0" xfId="107" xr:uid="{00000000-0005-0000-0000-00003D050000}"/>
    <cellStyle name="Currency0 2" xfId="2048" xr:uid="{00000000-0005-0000-0000-00003E050000}"/>
    <cellStyle name="d" xfId="108" xr:uid="{00000000-0005-0000-0000-00003F050000}"/>
    <cellStyle name="d," xfId="109" xr:uid="{00000000-0005-0000-0000-000040050000}"/>
    <cellStyle name="d1" xfId="110" xr:uid="{00000000-0005-0000-0000-000041050000}"/>
    <cellStyle name="d1," xfId="111" xr:uid="{00000000-0005-0000-0000-000042050000}"/>
    <cellStyle name="d2" xfId="112" xr:uid="{00000000-0005-0000-0000-000043050000}"/>
    <cellStyle name="d2," xfId="113" xr:uid="{00000000-0005-0000-0000-000044050000}"/>
    <cellStyle name="d3" xfId="114" xr:uid="{00000000-0005-0000-0000-000045050000}"/>
    <cellStyle name="Dash" xfId="115" xr:uid="{00000000-0005-0000-0000-000046050000}"/>
    <cellStyle name="Date" xfId="116" xr:uid="{00000000-0005-0000-0000-000047050000}"/>
    <cellStyle name="Date [Abbreviated]" xfId="117" xr:uid="{00000000-0005-0000-0000-000048050000}"/>
    <cellStyle name="Date [Long Europe]" xfId="118" xr:uid="{00000000-0005-0000-0000-000049050000}"/>
    <cellStyle name="Date [Long U.S.]" xfId="119" xr:uid="{00000000-0005-0000-0000-00004A050000}"/>
    <cellStyle name="Date [Short Europe]" xfId="120" xr:uid="{00000000-0005-0000-0000-00004B050000}"/>
    <cellStyle name="Date [Short U.S.]" xfId="121" xr:uid="{00000000-0005-0000-0000-00004C050000}"/>
    <cellStyle name="Date 2" xfId="2049" xr:uid="{00000000-0005-0000-0000-00004D050000}"/>
    <cellStyle name="Date_ITCM 2010 Template" xfId="122" xr:uid="{00000000-0005-0000-0000-00004E050000}"/>
    <cellStyle name="Define$0" xfId="123" xr:uid="{00000000-0005-0000-0000-00004F050000}"/>
    <cellStyle name="Define$1" xfId="124" xr:uid="{00000000-0005-0000-0000-000050050000}"/>
    <cellStyle name="Define$2" xfId="125" xr:uid="{00000000-0005-0000-0000-000051050000}"/>
    <cellStyle name="Define0" xfId="126" xr:uid="{00000000-0005-0000-0000-000052050000}"/>
    <cellStyle name="Define1" xfId="127" xr:uid="{00000000-0005-0000-0000-000053050000}"/>
    <cellStyle name="Define1x" xfId="128" xr:uid="{00000000-0005-0000-0000-000054050000}"/>
    <cellStyle name="Define2" xfId="129" xr:uid="{00000000-0005-0000-0000-000055050000}"/>
    <cellStyle name="Define2x" xfId="130" xr:uid="{00000000-0005-0000-0000-000056050000}"/>
    <cellStyle name="Dollar" xfId="131" xr:uid="{00000000-0005-0000-0000-000057050000}"/>
    <cellStyle name="e" xfId="132" xr:uid="{00000000-0005-0000-0000-000058050000}"/>
    <cellStyle name="e1" xfId="133" xr:uid="{00000000-0005-0000-0000-000059050000}"/>
    <cellStyle name="e2" xfId="134" xr:uid="{00000000-0005-0000-0000-00005A050000}"/>
    <cellStyle name="Euro" xfId="135" xr:uid="{00000000-0005-0000-0000-00005B050000}"/>
    <cellStyle name="Explanatory Text 2" xfId="591" xr:uid="{00000000-0005-0000-0000-00005C050000}"/>
    <cellStyle name="Explanatory Text 2 2" xfId="2050" xr:uid="{00000000-0005-0000-0000-00005D050000}"/>
    <cellStyle name="Explanatory Text 3" xfId="2051" xr:uid="{00000000-0005-0000-0000-00005E050000}"/>
    <cellStyle name="Explanatory Text 4" xfId="2052" xr:uid="{00000000-0005-0000-0000-00005F050000}"/>
    <cellStyle name="Explanatory Text 5" xfId="2053" xr:uid="{00000000-0005-0000-0000-000060050000}"/>
    <cellStyle name="Explanatory Text 6" xfId="2054" xr:uid="{00000000-0005-0000-0000-000061050000}"/>
    <cellStyle name="Explanatory Text 7" xfId="2055" xr:uid="{00000000-0005-0000-0000-000062050000}"/>
    <cellStyle name="Explanatory Text 8" xfId="2056" xr:uid="{00000000-0005-0000-0000-000063050000}"/>
    <cellStyle name="Explanatory Text 9" xfId="2057" xr:uid="{00000000-0005-0000-0000-000064050000}"/>
    <cellStyle name="Fixed" xfId="136" xr:uid="{00000000-0005-0000-0000-000065050000}"/>
    <cellStyle name="Fixed 2" xfId="2058" xr:uid="{00000000-0005-0000-0000-000066050000}"/>
    <cellStyle name="FOOTER - Style1" xfId="137" xr:uid="{00000000-0005-0000-0000-000067050000}"/>
    <cellStyle name="g" xfId="138" xr:uid="{00000000-0005-0000-0000-000068050000}"/>
    <cellStyle name="general" xfId="139" xr:uid="{00000000-0005-0000-0000-000069050000}"/>
    <cellStyle name="General [C]" xfId="140" xr:uid="{00000000-0005-0000-0000-00006A050000}"/>
    <cellStyle name="General [R]" xfId="141" xr:uid="{00000000-0005-0000-0000-00006B050000}"/>
    <cellStyle name="Good 2" xfId="592" xr:uid="{00000000-0005-0000-0000-00006C050000}"/>
    <cellStyle name="Good 2 2" xfId="2059" xr:uid="{00000000-0005-0000-0000-00006D050000}"/>
    <cellStyle name="Good 3" xfId="2060" xr:uid="{00000000-0005-0000-0000-00006E050000}"/>
    <cellStyle name="Good 4" xfId="2061" xr:uid="{00000000-0005-0000-0000-00006F050000}"/>
    <cellStyle name="Good 5" xfId="2062" xr:uid="{00000000-0005-0000-0000-000070050000}"/>
    <cellStyle name="Good 6" xfId="2063" xr:uid="{00000000-0005-0000-0000-000071050000}"/>
    <cellStyle name="Good 7" xfId="2064" xr:uid="{00000000-0005-0000-0000-000072050000}"/>
    <cellStyle name="Good 8" xfId="2065" xr:uid="{00000000-0005-0000-0000-000073050000}"/>
    <cellStyle name="Good 9" xfId="2066" xr:uid="{00000000-0005-0000-0000-000074050000}"/>
    <cellStyle name="Green" xfId="142" xr:uid="{00000000-0005-0000-0000-000075050000}"/>
    <cellStyle name="grey" xfId="143" xr:uid="{00000000-0005-0000-0000-000076050000}"/>
    <cellStyle name="Header1" xfId="144" xr:uid="{00000000-0005-0000-0000-000077050000}"/>
    <cellStyle name="Header2" xfId="145" xr:uid="{00000000-0005-0000-0000-000078050000}"/>
    <cellStyle name="Heading" xfId="146" xr:uid="{00000000-0005-0000-0000-000079050000}"/>
    <cellStyle name="Heading 1" xfId="147" builtinId="16" customBuiltin="1"/>
    <cellStyle name="Heading 1 2" xfId="2067" xr:uid="{00000000-0005-0000-0000-00007B050000}"/>
    <cellStyle name="Heading 1 2 2" xfId="2068" xr:uid="{00000000-0005-0000-0000-00007C050000}"/>
    <cellStyle name="Heading 1 3" xfId="2069" xr:uid="{00000000-0005-0000-0000-00007D050000}"/>
    <cellStyle name="Heading 1 4" xfId="2070" xr:uid="{00000000-0005-0000-0000-00007E050000}"/>
    <cellStyle name="Heading 1 5" xfId="2071" xr:uid="{00000000-0005-0000-0000-00007F050000}"/>
    <cellStyle name="Heading 1 6" xfId="2072" xr:uid="{00000000-0005-0000-0000-000080050000}"/>
    <cellStyle name="Heading 1 7" xfId="2073" xr:uid="{00000000-0005-0000-0000-000081050000}"/>
    <cellStyle name="Heading 1 8" xfId="2074" xr:uid="{00000000-0005-0000-0000-000082050000}"/>
    <cellStyle name="Heading 2" xfId="148" builtinId="17" customBuiltin="1"/>
    <cellStyle name="Heading 2 2" xfId="149" xr:uid="{00000000-0005-0000-0000-000084050000}"/>
    <cellStyle name="Heading 2 2 2" xfId="2075" xr:uid="{00000000-0005-0000-0000-000085050000}"/>
    <cellStyle name="Heading 2 3" xfId="2076" xr:uid="{00000000-0005-0000-0000-000086050000}"/>
    <cellStyle name="Heading 2 4" xfId="2077" xr:uid="{00000000-0005-0000-0000-000087050000}"/>
    <cellStyle name="Heading 2 5" xfId="2078" xr:uid="{00000000-0005-0000-0000-000088050000}"/>
    <cellStyle name="Heading 2 6" xfId="2079" xr:uid="{00000000-0005-0000-0000-000089050000}"/>
    <cellStyle name="Heading 2 7" xfId="2080" xr:uid="{00000000-0005-0000-0000-00008A050000}"/>
    <cellStyle name="Heading 2 8" xfId="2081" xr:uid="{00000000-0005-0000-0000-00008B050000}"/>
    <cellStyle name="Heading 3 2" xfId="594" xr:uid="{00000000-0005-0000-0000-00008C050000}"/>
    <cellStyle name="Heading 3 2 2" xfId="2082" xr:uid="{00000000-0005-0000-0000-00008D050000}"/>
    <cellStyle name="Heading 3 3" xfId="2083" xr:uid="{00000000-0005-0000-0000-00008E050000}"/>
    <cellStyle name="Heading 3 4" xfId="2084" xr:uid="{00000000-0005-0000-0000-00008F050000}"/>
    <cellStyle name="Heading 3 5" xfId="2085" xr:uid="{00000000-0005-0000-0000-000090050000}"/>
    <cellStyle name="Heading 3 6" xfId="2086" xr:uid="{00000000-0005-0000-0000-000091050000}"/>
    <cellStyle name="Heading 3 7" xfId="2087" xr:uid="{00000000-0005-0000-0000-000092050000}"/>
    <cellStyle name="Heading 3 8" xfId="2088" xr:uid="{00000000-0005-0000-0000-000093050000}"/>
    <cellStyle name="Heading 3 9" xfId="2089" xr:uid="{00000000-0005-0000-0000-000094050000}"/>
    <cellStyle name="Heading 4 2" xfId="595" xr:uid="{00000000-0005-0000-0000-000095050000}"/>
    <cellStyle name="Heading 4 2 2" xfId="2090" xr:uid="{00000000-0005-0000-0000-000096050000}"/>
    <cellStyle name="Heading 4 3" xfId="2091" xr:uid="{00000000-0005-0000-0000-000097050000}"/>
    <cellStyle name="Heading 4 4" xfId="2092" xr:uid="{00000000-0005-0000-0000-000098050000}"/>
    <cellStyle name="Heading 4 5" xfId="2093" xr:uid="{00000000-0005-0000-0000-000099050000}"/>
    <cellStyle name="Heading 4 6" xfId="2094" xr:uid="{00000000-0005-0000-0000-00009A050000}"/>
    <cellStyle name="Heading 4 7" xfId="2095" xr:uid="{00000000-0005-0000-0000-00009B050000}"/>
    <cellStyle name="Heading 4 8" xfId="2096" xr:uid="{00000000-0005-0000-0000-00009C050000}"/>
    <cellStyle name="Heading 4 9" xfId="2097" xr:uid="{00000000-0005-0000-0000-00009D050000}"/>
    <cellStyle name="Heading 5" xfId="9381" xr:uid="{00000000-0005-0000-0000-00009E050000}"/>
    <cellStyle name="Heading No Underline" xfId="150" xr:uid="{00000000-0005-0000-0000-00009F050000}"/>
    <cellStyle name="Heading With Underline" xfId="151" xr:uid="{00000000-0005-0000-0000-0000A0050000}"/>
    <cellStyle name="Heading1" xfId="152" xr:uid="{00000000-0005-0000-0000-0000A1050000}"/>
    <cellStyle name="Heading1 2" xfId="9382" xr:uid="{00000000-0005-0000-0000-0000A2050000}"/>
    <cellStyle name="Heading2" xfId="153" xr:uid="{00000000-0005-0000-0000-0000A3050000}"/>
    <cellStyle name="Headline" xfId="154" xr:uid="{00000000-0005-0000-0000-0000A4050000}"/>
    <cellStyle name="Highlight" xfId="155" xr:uid="{00000000-0005-0000-0000-0000A5050000}"/>
    <cellStyle name="Hyperlink 2" xfId="156" xr:uid="{00000000-0005-0000-0000-0000A6050000}"/>
    <cellStyle name="in" xfId="157" xr:uid="{00000000-0005-0000-0000-0000A7050000}"/>
    <cellStyle name="Indented [0]" xfId="158" xr:uid="{00000000-0005-0000-0000-0000A8050000}"/>
    <cellStyle name="Indented [2]" xfId="159" xr:uid="{00000000-0005-0000-0000-0000A9050000}"/>
    <cellStyle name="Indented [4]" xfId="160" xr:uid="{00000000-0005-0000-0000-0000AA050000}"/>
    <cellStyle name="Indented [6]" xfId="161" xr:uid="{00000000-0005-0000-0000-0000AB050000}"/>
    <cellStyle name="Input [yellow]" xfId="162" xr:uid="{00000000-0005-0000-0000-0000AC050000}"/>
    <cellStyle name="Input 2" xfId="596" xr:uid="{00000000-0005-0000-0000-0000AD050000}"/>
    <cellStyle name="Input 2 2" xfId="2098" xr:uid="{00000000-0005-0000-0000-0000AE050000}"/>
    <cellStyle name="Input 3" xfId="643" xr:uid="{00000000-0005-0000-0000-0000AF050000}"/>
    <cellStyle name="Input 4" xfId="636" xr:uid="{00000000-0005-0000-0000-0000B0050000}"/>
    <cellStyle name="Input 5" xfId="2099" xr:uid="{00000000-0005-0000-0000-0000B1050000}"/>
    <cellStyle name="Input 6" xfId="2100" xr:uid="{00000000-0005-0000-0000-0000B2050000}"/>
    <cellStyle name="Input 7" xfId="2101" xr:uid="{00000000-0005-0000-0000-0000B3050000}"/>
    <cellStyle name="Input 8" xfId="2102" xr:uid="{00000000-0005-0000-0000-0000B4050000}"/>
    <cellStyle name="Input 9" xfId="2103" xr:uid="{00000000-0005-0000-0000-0000B5050000}"/>
    <cellStyle name="Input$0" xfId="163" xr:uid="{00000000-0005-0000-0000-0000B6050000}"/>
    <cellStyle name="Input$1" xfId="164" xr:uid="{00000000-0005-0000-0000-0000B7050000}"/>
    <cellStyle name="Input$2" xfId="165" xr:uid="{00000000-0005-0000-0000-0000B8050000}"/>
    <cellStyle name="Input0" xfId="166" xr:uid="{00000000-0005-0000-0000-0000B9050000}"/>
    <cellStyle name="Input1" xfId="167" xr:uid="{00000000-0005-0000-0000-0000BA050000}"/>
    <cellStyle name="Input1x" xfId="168" xr:uid="{00000000-0005-0000-0000-0000BB050000}"/>
    <cellStyle name="Input2" xfId="169" xr:uid="{00000000-0005-0000-0000-0000BC050000}"/>
    <cellStyle name="Input2x" xfId="170" xr:uid="{00000000-0005-0000-0000-0000BD050000}"/>
    <cellStyle name="lborder" xfId="171" xr:uid="{00000000-0005-0000-0000-0000BE050000}"/>
    <cellStyle name="LeftSubtitle" xfId="172" xr:uid="{00000000-0005-0000-0000-0000BF050000}"/>
    <cellStyle name="Lines" xfId="173" xr:uid="{00000000-0005-0000-0000-0000C0050000}"/>
    <cellStyle name="Linked Cell 2" xfId="597" xr:uid="{00000000-0005-0000-0000-0000C1050000}"/>
    <cellStyle name="Linked Cell 2 2" xfId="2104" xr:uid="{00000000-0005-0000-0000-0000C2050000}"/>
    <cellStyle name="Linked Cell 3" xfId="2105" xr:uid="{00000000-0005-0000-0000-0000C3050000}"/>
    <cellStyle name="Linked Cell 4" xfId="2106" xr:uid="{00000000-0005-0000-0000-0000C4050000}"/>
    <cellStyle name="Linked Cell 5" xfId="2107" xr:uid="{00000000-0005-0000-0000-0000C5050000}"/>
    <cellStyle name="Linked Cell 6" xfId="2108" xr:uid="{00000000-0005-0000-0000-0000C6050000}"/>
    <cellStyle name="Linked Cell 7" xfId="2109" xr:uid="{00000000-0005-0000-0000-0000C7050000}"/>
    <cellStyle name="Linked Cell 8" xfId="2110" xr:uid="{00000000-0005-0000-0000-0000C8050000}"/>
    <cellStyle name="Linked Cell 9" xfId="2111" xr:uid="{00000000-0005-0000-0000-0000C9050000}"/>
    <cellStyle name="m" xfId="174" xr:uid="{00000000-0005-0000-0000-0000CA050000}"/>
    <cellStyle name="m1" xfId="175" xr:uid="{00000000-0005-0000-0000-0000CB050000}"/>
    <cellStyle name="m2" xfId="176" xr:uid="{00000000-0005-0000-0000-0000CC050000}"/>
    <cellStyle name="m3" xfId="177" xr:uid="{00000000-0005-0000-0000-0000CD050000}"/>
    <cellStyle name="Multiple" xfId="178" xr:uid="{00000000-0005-0000-0000-0000CE050000}"/>
    <cellStyle name="Negative" xfId="179" xr:uid="{00000000-0005-0000-0000-0000CF050000}"/>
    <cellStyle name="Neutral 2" xfId="598" xr:uid="{00000000-0005-0000-0000-0000D0050000}"/>
    <cellStyle name="Neutral 2 2" xfId="2112" xr:uid="{00000000-0005-0000-0000-0000D1050000}"/>
    <cellStyle name="Neutral 3" xfId="2113" xr:uid="{00000000-0005-0000-0000-0000D2050000}"/>
    <cellStyle name="Neutral 4" xfId="2114" xr:uid="{00000000-0005-0000-0000-0000D3050000}"/>
    <cellStyle name="Neutral 5" xfId="2115" xr:uid="{00000000-0005-0000-0000-0000D4050000}"/>
    <cellStyle name="Neutral 6" xfId="2116" xr:uid="{00000000-0005-0000-0000-0000D5050000}"/>
    <cellStyle name="Neutral 7" xfId="2117" xr:uid="{00000000-0005-0000-0000-0000D6050000}"/>
    <cellStyle name="Neutral 8" xfId="2118" xr:uid="{00000000-0005-0000-0000-0000D7050000}"/>
    <cellStyle name="Neutral 9" xfId="2119" xr:uid="{00000000-0005-0000-0000-0000D8050000}"/>
    <cellStyle name="no dec" xfId="180" xr:uid="{00000000-0005-0000-0000-0000D9050000}"/>
    <cellStyle name="Normal" xfId="0" builtinId="0"/>
    <cellStyle name="Normal - Style1" xfId="181" xr:uid="{00000000-0005-0000-0000-0000DB050000}"/>
    <cellStyle name="Normal 10" xfId="182" xr:uid="{00000000-0005-0000-0000-0000DC050000}"/>
    <cellStyle name="Normal 10 10" xfId="844" xr:uid="{00000000-0005-0000-0000-0000DD050000}"/>
    <cellStyle name="Normal 10 10 2" xfId="9601" xr:uid="{00000000-0005-0000-0000-0000DE050000}"/>
    <cellStyle name="Normal 10 11" xfId="9383" xr:uid="{00000000-0005-0000-0000-0000DF050000}"/>
    <cellStyle name="Normal 10 2" xfId="367" xr:uid="{00000000-0005-0000-0000-0000E0050000}"/>
    <cellStyle name="Normal 10 2 2" xfId="701" xr:uid="{00000000-0005-0000-0000-0000E1050000}"/>
    <cellStyle name="Normal 10 2 2 2" xfId="929" xr:uid="{00000000-0005-0000-0000-0000E2050000}"/>
    <cellStyle name="Normal 10 2 2 2 2" xfId="9686" xr:uid="{00000000-0005-0000-0000-0000E3050000}"/>
    <cellStyle name="Normal 10 2 2 3" xfId="9470" xr:uid="{00000000-0005-0000-0000-0000E4050000}"/>
    <cellStyle name="Normal 10 2 3" xfId="785" xr:uid="{00000000-0005-0000-0000-0000E5050000}"/>
    <cellStyle name="Normal 10 2 3 2" xfId="1001" xr:uid="{00000000-0005-0000-0000-0000E6050000}"/>
    <cellStyle name="Normal 10 2 3 2 2" xfId="9758" xr:uid="{00000000-0005-0000-0000-0000E7050000}"/>
    <cellStyle name="Normal 10 2 3 3" xfId="9542" xr:uid="{00000000-0005-0000-0000-0000E8050000}"/>
    <cellStyle name="Normal 10 2 4" xfId="857" xr:uid="{00000000-0005-0000-0000-0000E9050000}"/>
    <cellStyle name="Normal 10 2 4 2" xfId="9614" xr:uid="{00000000-0005-0000-0000-0000EA050000}"/>
    <cellStyle name="Normal 10 2 5" xfId="9398" xr:uid="{00000000-0005-0000-0000-0000EB050000}"/>
    <cellStyle name="Normal 10 3" xfId="399" xr:uid="{00000000-0005-0000-0000-0000EC050000}"/>
    <cellStyle name="Normal 10 3 2" xfId="714" xr:uid="{00000000-0005-0000-0000-0000ED050000}"/>
    <cellStyle name="Normal 10 3 2 2" xfId="942" xr:uid="{00000000-0005-0000-0000-0000EE050000}"/>
    <cellStyle name="Normal 10 3 2 2 2" xfId="9699" xr:uid="{00000000-0005-0000-0000-0000EF050000}"/>
    <cellStyle name="Normal 10 3 2 3" xfId="9483" xr:uid="{00000000-0005-0000-0000-0000F0050000}"/>
    <cellStyle name="Normal 10 3 3" xfId="798" xr:uid="{00000000-0005-0000-0000-0000F1050000}"/>
    <cellStyle name="Normal 10 3 3 2" xfId="1014" xr:uid="{00000000-0005-0000-0000-0000F2050000}"/>
    <cellStyle name="Normal 10 3 3 2 2" xfId="9771" xr:uid="{00000000-0005-0000-0000-0000F3050000}"/>
    <cellStyle name="Normal 10 3 3 3" xfId="9555" xr:uid="{00000000-0005-0000-0000-0000F4050000}"/>
    <cellStyle name="Normal 10 3 4" xfId="870" xr:uid="{00000000-0005-0000-0000-0000F5050000}"/>
    <cellStyle name="Normal 10 3 4 2" xfId="9627" xr:uid="{00000000-0005-0000-0000-0000F6050000}"/>
    <cellStyle name="Normal 10 3 5" xfId="9411" xr:uid="{00000000-0005-0000-0000-0000F7050000}"/>
    <cellStyle name="Normal 10 4" xfId="615" xr:uid="{00000000-0005-0000-0000-0000F8050000}"/>
    <cellStyle name="Normal 10 4 2" xfId="731" xr:uid="{00000000-0005-0000-0000-0000F9050000}"/>
    <cellStyle name="Normal 10 4 2 2" xfId="959" xr:uid="{00000000-0005-0000-0000-0000FA050000}"/>
    <cellStyle name="Normal 10 4 2 2 2" xfId="9716" xr:uid="{00000000-0005-0000-0000-0000FB050000}"/>
    <cellStyle name="Normal 10 4 2 3" xfId="9500" xr:uid="{00000000-0005-0000-0000-0000FC050000}"/>
    <cellStyle name="Normal 10 4 3" xfId="815" xr:uid="{00000000-0005-0000-0000-0000FD050000}"/>
    <cellStyle name="Normal 10 4 3 2" xfId="1031" xr:uid="{00000000-0005-0000-0000-0000FE050000}"/>
    <cellStyle name="Normal 10 4 3 2 2" xfId="9788" xr:uid="{00000000-0005-0000-0000-0000FF050000}"/>
    <cellStyle name="Normal 10 4 3 3" xfId="9572" xr:uid="{00000000-0005-0000-0000-000000060000}"/>
    <cellStyle name="Normal 10 4 4" xfId="887" xr:uid="{00000000-0005-0000-0000-000001060000}"/>
    <cellStyle name="Normal 10 4 4 2" xfId="9644" xr:uid="{00000000-0005-0000-0000-000002060000}"/>
    <cellStyle name="Normal 10 4 5" xfId="9428" xr:uid="{00000000-0005-0000-0000-000003060000}"/>
    <cellStyle name="Normal 10 5" xfId="629" xr:uid="{00000000-0005-0000-0000-000004060000}"/>
    <cellStyle name="Normal 10 5 2" xfId="737" xr:uid="{00000000-0005-0000-0000-000005060000}"/>
    <cellStyle name="Normal 10 5 2 2" xfId="965" xr:uid="{00000000-0005-0000-0000-000006060000}"/>
    <cellStyle name="Normal 10 5 2 2 2" xfId="9722" xr:uid="{00000000-0005-0000-0000-000007060000}"/>
    <cellStyle name="Normal 10 5 2 3" xfId="9506" xr:uid="{00000000-0005-0000-0000-000008060000}"/>
    <cellStyle name="Normal 10 5 3" xfId="821" xr:uid="{00000000-0005-0000-0000-000009060000}"/>
    <cellStyle name="Normal 10 5 3 2" xfId="1037" xr:uid="{00000000-0005-0000-0000-00000A060000}"/>
    <cellStyle name="Normal 10 5 3 2 2" xfId="9794" xr:uid="{00000000-0005-0000-0000-00000B060000}"/>
    <cellStyle name="Normal 10 5 3 3" xfId="9578" xr:uid="{00000000-0005-0000-0000-00000C060000}"/>
    <cellStyle name="Normal 10 5 4" xfId="893" xr:uid="{00000000-0005-0000-0000-00000D060000}"/>
    <cellStyle name="Normal 10 5 4 2" xfId="9650" xr:uid="{00000000-0005-0000-0000-00000E060000}"/>
    <cellStyle name="Normal 10 5 5" xfId="9434" xr:uid="{00000000-0005-0000-0000-00000F060000}"/>
    <cellStyle name="Normal 10 6" xfId="648" xr:uid="{00000000-0005-0000-0000-000010060000}"/>
    <cellStyle name="Normal 10 6 2" xfId="753" xr:uid="{00000000-0005-0000-0000-000011060000}"/>
    <cellStyle name="Normal 10 6 2 2" xfId="969" xr:uid="{00000000-0005-0000-0000-000012060000}"/>
    <cellStyle name="Normal 10 6 2 2 2" xfId="9726" xr:uid="{00000000-0005-0000-0000-000013060000}"/>
    <cellStyle name="Normal 10 6 2 3" xfId="9510" xr:uid="{00000000-0005-0000-0000-000014060000}"/>
    <cellStyle name="Normal 10 6 3" xfId="825" xr:uid="{00000000-0005-0000-0000-000015060000}"/>
    <cellStyle name="Normal 10 6 3 2" xfId="1041" xr:uid="{00000000-0005-0000-0000-000016060000}"/>
    <cellStyle name="Normal 10 6 3 2 2" xfId="9798" xr:uid="{00000000-0005-0000-0000-000017060000}"/>
    <cellStyle name="Normal 10 6 3 3" xfId="9582" xr:uid="{00000000-0005-0000-0000-000018060000}"/>
    <cellStyle name="Normal 10 6 4" xfId="897" xr:uid="{00000000-0005-0000-0000-000019060000}"/>
    <cellStyle name="Normal 10 6 4 2" xfId="9654" xr:uid="{00000000-0005-0000-0000-00001A060000}"/>
    <cellStyle name="Normal 10 6 5" xfId="9438" xr:uid="{00000000-0005-0000-0000-00001B060000}"/>
    <cellStyle name="Normal 10 7" xfId="673" xr:uid="{00000000-0005-0000-0000-00001C060000}"/>
    <cellStyle name="Normal 10 7 2" xfId="768" xr:uid="{00000000-0005-0000-0000-00001D060000}"/>
    <cellStyle name="Normal 10 7 2 2" xfId="984" xr:uid="{00000000-0005-0000-0000-00001E060000}"/>
    <cellStyle name="Normal 10 7 2 2 2" xfId="9741" xr:uid="{00000000-0005-0000-0000-00001F060000}"/>
    <cellStyle name="Normal 10 7 2 3" xfId="9525" xr:uid="{00000000-0005-0000-0000-000020060000}"/>
    <cellStyle name="Normal 10 7 3" xfId="840" xr:uid="{00000000-0005-0000-0000-000021060000}"/>
    <cellStyle name="Normal 10 7 3 2" xfId="1056" xr:uid="{00000000-0005-0000-0000-000022060000}"/>
    <cellStyle name="Normal 10 7 3 2 2" xfId="9813" xr:uid="{00000000-0005-0000-0000-000023060000}"/>
    <cellStyle name="Normal 10 7 3 3" xfId="9597" xr:uid="{00000000-0005-0000-0000-000024060000}"/>
    <cellStyle name="Normal 10 7 4" xfId="912" xr:uid="{00000000-0005-0000-0000-000025060000}"/>
    <cellStyle name="Normal 10 7 4 2" xfId="9669" xr:uid="{00000000-0005-0000-0000-000026060000}"/>
    <cellStyle name="Normal 10 7 5" xfId="9453" xr:uid="{00000000-0005-0000-0000-000027060000}"/>
    <cellStyle name="Normal 10 8" xfId="687" xr:uid="{00000000-0005-0000-0000-000028060000}"/>
    <cellStyle name="Normal 10 8 2" xfId="916" xr:uid="{00000000-0005-0000-0000-000029060000}"/>
    <cellStyle name="Normal 10 8 2 2" xfId="9673" xr:uid="{00000000-0005-0000-0000-00002A060000}"/>
    <cellStyle name="Normal 10 8 3" xfId="9457" xr:uid="{00000000-0005-0000-0000-00002B060000}"/>
    <cellStyle name="Normal 10 9" xfId="772" xr:uid="{00000000-0005-0000-0000-00002C060000}"/>
    <cellStyle name="Normal 10 9 2" xfId="988" xr:uid="{00000000-0005-0000-0000-00002D060000}"/>
    <cellStyle name="Normal 10 9 2 2" xfId="9745" xr:uid="{00000000-0005-0000-0000-00002E060000}"/>
    <cellStyle name="Normal 10 9 3" xfId="9529" xr:uid="{00000000-0005-0000-0000-00002F060000}"/>
    <cellStyle name="Normal 11" xfId="183" xr:uid="{00000000-0005-0000-0000-000030060000}"/>
    <cellStyle name="Normal 11 2" xfId="616" xr:uid="{00000000-0005-0000-0000-000031060000}"/>
    <cellStyle name="Normal 11 2 2" xfId="732" xr:uid="{00000000-0005-0000-0000-000032060000}"/>
    <cellStyle name="Normal 11 2 2 2" xfId="960" xr:uid="{00000000-0005-0000-0000-000033060000}"/>
    <cellStyle name="Normal 11 2 2 2 2" xfId="9717" xr:uid="{00000000-0005-0000-0000-000034060000}"/>
    <cellStyle name="Normal 11 2 2 3" xfId="9501" xr:uid="{00000000-0005-0000-0000-000035060000}"/>
    <cellStyle name="Normal 11 2 3" xfId="816" xr:uid="{00000000-0005-0000-0000-000036060000}"/>
    <cellStyle name="Normal 11 2 3 2" xfId="1032" xr:uid="{00000000-0005-0000-0000-000037060000}"/>
    <cellStyle name="Normal 11 2 3 2 2" xfId="9789" xr:uid="{00000000-0005-0000-0000-000038060000}"/>
    <cellStyle name="Normal 11 2 3 3" xfId="9573" xr:uid="{00000000-0005-0000-0000-000039060000}"/>
    <cellStyle name="Normal 11 2 4" xfId="888" xr:uid="{00000000-0005-0000-0000-00003A060000}"/>
    <cellStyle name="Normal 11 2 4 2" xfId="9645" xr:uid="{00000000-0005-0000-0000-00003B060000}"/>
    <cellStyle name="Normal 11 2 5" xfId="9429" xr:uid="{00000000-0005-0000-0000-00003C060000}"/>
    <cellStyle name="Normal 11 3" xfId="630" xr:uid="{00000000-0005-0000-0000-00003D060000}"/>
    <cellStyle name="Normal 11 3 2" xfId="738" xr:uid="{00000000-0005-0000-0000-00003E060000}"/>
    <cellStyle name="Normal 11 3 2 2" xfId="966" xr:uid="{00000000-0005-0000-0000-00003F060000}"/>
    <cellStyle name="Normal 11 3 2 2 2" xfId="9723" xr:uid="{00000000-0005-0000-0000-000040060000}"/>
    <cellStyle name="Normal 11 3 2 3" xfId="9507" xr:uid="{00000000-0005-0000-0000-000041060000}"/>
    <cellStyle name="Normal 11 3 3" xfId="822" xr:uid="{00000000-0005-0000-0000-000042060000}"/>
    <cellStyle name="Normal 11 3 3 2" xfId="1038" xr:uid="{00000000-0005-0000-0000-000043060000}"/>
    <cellStyle name="Normal 11 3 3 2 2" xfId="9795" xr:uid="{00000000-0005-0000-0000-000044060000}"/>
    <cellStyle name="Normal 11 3 3 3" xfId="9579" xr:uid="{00000000-0005-0000-0000-000045060000}"/>
    <cellStyle name="Normal 11 3 4" xfId="894" xr:uid="{00000000-0005-0000-0000-000046060000}"/>
    <cellStyle name="Normal 11 3 4 2" xfId="9651" xr:uid="{00000000-0005-0000-0000-000047060000}"/>
    <cellStyle name="Normal 11 3 5" xfId="9435" xr:uid="{00000000-0005-0000-0000-000048060000}"/>
    <cellStyle name="Normal 11 4" xfId="674" xr:uid="{00000000-0005-0000-0000-000049060000}"/>
    <cellStyle name="Normal 11 4 2" xfId="769" xr:uid="{00000000-0005-0000-0000-00004A060000}"/>
    <cellStyle name="Normal 11 4 2 2" xfId="985" xr:uid="{00000000-0005-0000-0000-00004B060000}"/>
    <cellStyle name="Normal 11 4 2 2 2" xfId="9742" xr:uid="{00000000-0005-0000-0000-00004C060000}"/>
    <cellStyle name="Normal 11 4 2 3" xfId="9526" xr:uid="{00000000-0005-0000-0000-00004D060000}"/>
    <cellStyle name="Normal 11 4 3" xfId="841" xr:uid="{00000000-0005-0000-0000-00004E060000}"/>
    <cellStyle name="Normal 11 4 3 2" xfId="1057" xr:uid="{00000000-0005-0000-0000-00004F060000}"/>
    <cellStyle name="Normal 11 4 3 2 2" xfId="9814" xr:uid="{00000000-0005-0000-0000-000050060000}"/>
    <cellStyle name="Normal 11 4 3 3" xfId="9598" xr:uid="{00000000-0005-0000-0000-000051060000}"/>
    <cellStyle name="Normal 11 4 4" xfId="913" xr:uid="{00000000-0005-0000-0000-000052060000}"/>
    <cellStyle name="Normal 11 4 4 2" xfId="9670" xr:uid="{00000000-0005-0000-0000-000053060000}"/>
    <cellStyle name="Normal 11 4 5" xfId="9454" xr:uid="{00000000-0005-0000-0000-000054060000}"/>
    <cellStyle name="Normal 12" xfId="365" xr:uid="{00000000-0005-0000-0000-000055060000}"/>
    <cellStyle name="Normal 12 2" xfId="617" xr:uid="{00000000-0005-0000-0000-000056060000}"/>
    <cellStyle name="Normal 12 3" xfId="700" xr:uid="{00000000-0005-0000-0000-000057060000}"/>
    <cellStyle name="Normal 12 4" xfId="1060" xr:uid="{00000000-0005-0000-0000-000058060000}"/>
    <cellStyle name="Normal 12 4 2" xfId="9817" xr:uid="{00000000-0005-0000-0000-000059060000}"/>
    <cellStyle name="Normal 13" xfId="467" xr:uid="{00000000-0005-0000-0000-00005A060000}"/>
    <cellStyle name="Normal 13 2" xfId="2120" xr:uid="{00000000-0005-0000-0000-00005B060000}"/>
    <cellStyle name="Normal 13 2 2" xfId="2121" xr:uid="{00000000-0005-0000-0000-00005C060000}"/>
    <cellStyle name="Normal 13 2 3" xfId="2122" xr:uid="{00000000-0005-0000-0000-00005D060000}"/>
    <cellStyle name="Normal 13 3" xfId="2123" xr:uid="{00000000-0005-0000-0000-00005E060000}"/>
    <cellStyle name="Normal 13 4" xfId="2124" xr:uid="{00000000-0005-0000-0000-00005F060000}"/>
    <cellStyle name="Normal 13 5" xfId="2125" xr:uid="{00000000-0005-0000-0000-000060060000}"/>
    <cellStyle name="Normal 14" xfId="466" xr:uid="{00000000-0005-0000-0000-000061060000}"/>
    <cellStyle name="Normal 14 2" xfId="2126" xr:uid="{00000000-0005-0000-0000-000062060000}"/>
    <cellStyle name="Normal 15" xfId="465" xr:uid="{00000000-0005-0000-0000-000063060000}"/>
    <cellStyle name="Normal 16" xfId="464" xr:uid="{00000000-0005-0000-0000-000064060000}"/>
    <cellStyle name="Normal 16 2" xfId="2127" xr:uid="{00000000-0005-0000-0000-000065060000}"/>
    <cellStyle name="Normal 17" xfId="463" xr:uid="{00000000-0005-0000-0000-000066060000}"/>
    <cellStyle name="Normal 17 2" xfId="2128" xr:uid="{00000000-0005-0000-0000-000067060000}"/>
    <cellStyle name="Normal 18" xfId="462" xr:uid="{00000000-0005-0000-0000-000068060000}"/>
    <cellStyle name="Normal 18 2" xfId="461" xr:uid="{00000000-0005-0000-0000-000069060000}"/>
    <cellStyle name="Normal 18 2 2" xfId="460" xr:uid="{00000000-0005-0000-0000-00006A060000}"/>
    <cellStyle name="Normal 18 3" xfId="459" xr:uid="{00000000-0005-0000-0000-00006B060000}"/>
    <cellStyle name="Normal 18 3 2" xfId="458" xr:uid="{00000000-0005-0000-0000-00006C060000}"/>
    <cellStyle name="Normal 18 4" xfId="457" xr:uid="{00000000-0005-0000-0000-00006D060000}"/>
    <cellStyle name="Normal 18 4 2" xfId="456" xr:uid="{00000000-0005-0000-0000-00006E060000}"/>
    <cellStyle name="Normal 18 5" xfId="455" xr:uid="{00000000-0005-0000-0000-00006F060000}"/>
    <cellStyle name="Normal 18 6" xfId="454" xr:uid="{00000000-0005-0000-0000-000070060000}"/>
    <cellStyle name="Normal 19" xfId="453" xr:uid="{00000000-0005-0000-0000-000071060000}"/>
    <cellStyle name="Normal 19 2" xfId="452" xr:uid="{00000000-0005-0000-0000-000072060000}"/>
    <cellStyle name="Normal 19 2 2" xfId="2129" xr:uid="{00000000-0005-0000-0000-000073060000}"/>
    <cellStyle name="Normal 19 3" xfId="2130" xr:uid="{00000000-0005-0000-0000-000074060000}"/>
    <cellStyle name="Normal 2" xfId="184" xr:uid="{00000000-0005-0000-0000-000075060000}"/>
    <cellStyle name="Normal 2 2" xfId="185" xr:uid="{00000000-0005-0000-0000-000076060000}"/>
    <cellStyle name="Normal 2 2 2" xfId="451" xr:uid="{00000000-0005-0000-0000-000077060000}"/>
    <cellStyle name="Normal 2 2 3" xfId="619" xr:uid="{00000000-0005-0000-0000-000078060000}"/>
    <cellStyle name="Normal 2 2 3 2" xfId="733" xr:uid="{00000000-0005-0000-0000-000079060000}"/>
    <cellStyle name="Normal 2 2 3 2 2" xfId="961" xr:uid="{00000000-0005-0000-0000-00007A060000}"/>
    <cellStyle name="Normal 2 2 3 2 2 2" xfId="9718" xr:uid="{00000000-0005-0000-0000-00007B060000}"/>
    <cellStyle name="Normal 2 2 3 2 3" xfId="9502" xr:uid="{00000000-0005-0000-0000-00007C060000}"/>
    <cellStyle name="Normal 2 2 3 3" xfId="817" xr:uid="{00000000-0005-0000-0000-00007D060000}"/>
    <cellStyle name="Normal 2 2 3 3 2" xfId="1033" xr:uid="{00000000-0005-0000-0000-00007E060000}"/>
    <cellStyle name="Normal 2 2 3 3 2 2" xfId="9790" xr:uid="{00000000-0005-0000-0000-00007F060000}"/>
    <cellStyle name="Normal 2 2 3 3 3" xfId="9574" xr:uid="{00000000-0005-0000-0000-000080060000}"/>
    <cellStyle name="Normal 2 2 3 4" xfId="889" xr:uid="{00000000-0005-0000-0000-000081060000}"/>
    <cellStyle name="Normal 2 2 3 4 2" xfId="9646" xr:uid="{00000000-0005-0000-0000-000082060000}"/>
    <cellStyle name="Normal 2 2 3 5" xfId="9430" xr:uid="{00000000-0005-0000-0000-000083060000}"/>
    <cellStyle name="Normal 2 2 4" xfId="631" xr:uid="{00000000-0005-0000-0000-000084060000}"/>
    <cellStyle name="Normal 2 2 4 2" xfId="739" xr:uid="{00000000-0005-0000-0000-000085060000}"/>
    <cellStyle name="Normal 2 2 4 2 2" xfId="967" xr:uid="{00000000-0005-0000-0000-000086060000}"/>
    <cellStyle name="Normal 2 2 4 2 2 2" xfId="9724" xr:uid="{00000000-0005-0000-0000-000087060000}"/>
    <cellStyle name="Normal 2 2 4 2 3" xfId="9508" xr:uid="{00000000-0005-0000-0000-000088060000}"/>
    <cellStyle name="Normal 2 2 4 3" xfId="823" xr:uid="{00000000-0005-0000-0000-000089060000}"/>
    <cellStyle name="Normal 2 2 4 3 2" xfId="1039" xr:uid="{00000000-0005-0000-0000-00008A060000}"/>
    <cellStyle name="Normal 2 2 4 3 2 2" xfId="9796" xr:uid="{00000000-0005-0000-0000-00008B060000}"/>
    <cellStyle name="Normal 2 2 4 3 3" xfId="9580" xr:uid="{00000000-0005-0000-0000-00008C060000}"/>
    <cellStyle name="Normal 2 2 4 4" xfId="895" xr:uid="{00000000-0005-0000-0000-00008D060000}"/>
    <cellStyle name="Normal 2 2 4 4 2" xfId="9652" xr:uid="{00000000-0005-0000-0000-00008E060000}"/>
    <cellStyle name="Normal 2 2 4 5" xfId="9436" xr:uid="{00000000-0005-0000-0000-00008F060000}"/>
    <cellStyle name="Normal 2 2 5" xfId="675" xr:uid="{00000000-0005-0000-0000-000090060000}"/>
    <cellStyle name="Normal 2 2 5 2" xfId="770" xr:uid="{00000000-0005-0000-0000-000091060000}"/>
    <cellStyle name="Normal 2 2 5 2 2" xfId="986" xr:uid="{00000000-0005-0000-0000-000092060000}"/>
    <cellStyle name="Normal 2 2 5 2 2 2" xfId="9743" xr:uid="{00000000-0005-0000-0000-000093060000}"/>
    <cellStyle name="Normal 2 2 5 2 3" xfId="9527" xr:uid="{00000000-0005-0000-0000-000094060000}"/>
    <cellStyle name="Normal 2 2 5 3" xfId="842" xr:uid="{00000000-0005-0000-0000-000095060000}"/>
    <cellStyle name="Normal 2 2 5 3 2" xfId="1058" xr:uid="{00000000-0005-0000-0000-000096060000}"/>
    <cellStyle name="Normal 2 2 5 3 2 2" xfId="9815" xr:uid="{00000000-0005-0000-0000-000097060000}"/>
    <cellStyle name="Normal 2 2 5 3 3" xfId="9599" xr:uid="{00000000-0005-0000-0000-000098060000}"/>
    <cellStyle name="Normal 2 2 5 4" xfId="914" xr:uid="{00000000-0005-0000-0000-000099060000}"/>
    <cellStyle name="Normal 2 2 5 4 2" xfId="9671" xr:uid="{00000000-0005-0000-0000-00009A060000}"/>
    <cellStyle name="Normal 2 2 5 5" xfId="9455" xr:uid="{00000000-0005-0000-0000-00009B060000}"/>
    <cellStyle name="Normal 2 3" xfId="450" xr:uid="{00000000-0005-0000-0000-00009C060000}"/>
    <cellStyle name="Normal 2 4" xfId="618" xr:uid="{00000000-0005-0000-0000-00009D060000}"/>
    <cellStyle name="Normal 20" xfId="449" xr:uid="{00000000-0005-0000-0000-00009E060000}"/>
    <cellStyle name="Normal 20 2" xfId="448" xr:uid="{00000000-0005-0000-0000-00009F060000}"/>
    <cellStyle name="Normal 21" xfId="447" xr:uid="{00000000-0005-0000-0000-0000A0060000}"/>
    <cellStyle name="Normal 21 2" xfId="446" xr:uid="{00000000-0005-0000-0000-0000A1060000}"/>
    <cellStyle name="Normal 22" xfId="556" xr:uid="{00000000-0005-0000-0000-0000A2060000}"/>
    <cellStyle name="Normal 23" xfId="634" xr:uid="{00000000-0005-0000-0000-0000A3060000}"/>
    <cellStyle name="Normal 23 2" xfId="741" xr:uid="{00000000-0005-0000-0000-0000A4060000}"/>
    <cellStyle name="Normal 24" xfId="647" xr:uid="{00000000-0005-0000-0000-0000A5060000}"/>
    <cellStyle name="Normal 24 2" xfId="752" xr:uid="{00000000-0005-0000-0000-0000A6060000}"/>
    <cellStyle name="Normal 25" xfId="2131" xr:uid="{00000000-0005-0000-0000-0000A7060000}"/>
    <cellStyle name="Normal 26" xfId="2132" xr:uid="{00000000-0005-0000-0000-0000A8060000}"/>
    <cellStyle name="Normal 26 2" xfId="2133" xr:uid="{00000000-0005-0000-0000-0000A9060000}"/>
    <cellStyle name="Normal 27" xfId="2134" xr:uid="{00000000-0005-0000-0000-0000AA060000}"/>
    <cellStyle name="Normal 28" xfId="2135" xr:uid="{00000000-0005-0000-0000-0000AB060000}"/>
    <cellStyle name="Normal 29" xfId="2136" xr:uid="{00000000-0005-0000-0000-0000AC060000}"/>
    <cellStyle name="Normal 29 2" xfId="2137" xr:uid="{00000000-0005-0000-0000-0000AD060000}"/>
    <cellStyle name="Normal 29 3" xfId="2138" xr:uid="{00000000-0005-0000-0000-0000AE060000}"/>
    <cellStyle name="Normal 3" xfId="186" xr:uid="{00000000-0005-0000-0000-0000AF060000}"/>
    <cellStyle name="Normal 3 2" xfId="187" xr:uid="{00000000-0005-0000-0000-0000B0060000}"/>
    <cellStyle name="Normal 3 3" xfId="620" xr:uid="{00000000-0005-0000-0000-0000B1060000}"/>
    <cellStyle name="Normal 3_Attach O, GG, Support -New Method 2-14-11" xfId="188" xr:uid="{00000000-0005-0000-0000-0000B2060000}"/>
    <cellStyle name="Normal 30" xfId="2139" xr:uid="{00000000-0005-0000-0000-0000B3060000}"/>
    <cellStyle name="Normal 30 2" xfId="2140" xr:uid="{00000000-0005-0000-0000-0000B4060000}"/>
    <cellStyle name="Normal 31" xfId="2141" xr:uid="{00000000-0005-0000-0000-0000B5060000}"/>
    <cellStyle name="Normal 31 2" xfId="2142" xr:uid="{00000000-0005-0000-0000-0000B6060000}"/>
    <cellStyle name="Normal 32" xfId="2143" xr:uid="{00000000-0005-0000-0000-0000B7060000}"/>
    <cellStyle name="Normal 32 2" xfId="2144" xr:uid="{00000000-0005-0000-0000-0000B8060000}"/>
    <cellStyle name="Normal 33" xfId="2145" xr:uid="{00000000-0005-0000-0000-0000B9060000}"/>
    <cellStyle name="Normal 33 2" xfId="2146" xr:uid="{00000000-0005-0000-0000-0000BA060000}"/>
    <cellStyle name="Normal 34" xfId="2147" xr:uid="{00000000-0005-0000-0000-0000BB060000}"/>
    <cellStyle name="Normal 34 2" xfId="2148" xr:uid="{00000000-0005-0000-0000-0000BC060000}"/>
    <cellStyle name="Normal 35" xfId="9380" xr:uid="{00000000-0005-0000-0000-0000BD060000}"/>
    <cellStyle name="Normal 35 2" xfId="9819" xr:uid="{00000000-0005-0000-0000-0000BE060000}"/>
    <cellStyle name="Normal 4" xfId="189" xr:uid="{00000000-0005-0000-0000-0000BF060000}"/>
    <cellStyle name="Normal 4 10" xfId="2149" xr:uid="{00000000-0005-0000-0000-0000C0060000}"/>
    <cellStyle name="Normal 4 10 2" xfId="2150" xr:uid="{00000000-0005-0000-0000-0000C1060000}"/>
    <cellStyle name="Normal 4 10 2 2" xfId="2151" xr:uid="{00000000-0005-0000-0000-0000C2060000}"/>
    <cellStyle name="Normal 4 10 2 2 2" xfId="2152" xr:uid="{00000000-0005-0000-0000-0000C3060000}"/>
    <cellStyle name="Normal 4 10 2 2 2 2" xfId="2153" xr:uid="{00000000-0005-0000-0000-0000C4060000}"/>
    <cellStyle name="Normal 4 10 2 2 2 3" xfId="2154" xr:uid="{00000000-0005-0000-0000-0000C5060000}"/>
    <cellStyle name="Normal 4 10 2 2 3" xfId="2155" xr:uid="{00000000-0005-0000-0000-0000C6060000}"/>
    <cellStyle name="Normal 4 10 2 2 4" xfId="2156" xr:uid="{00000000-0005-0000-0000-0000C7060000}"/>
    <cellStyle name="Normal 4 10 2 2 5" xfId="2157" xr:uid="{00000000-0005-0000-0000-0000C8060000}"/>
    <cellStyle name="Normal 4 10 2 3" xfId="2158" xr:uid="{00000000-0005-0000-0000-0000C9060000}"/>
    <cellStyle name="Normal 4 10 2 3 2" xfId="2159" xr:uid="{00000000-0005-0000-0000-0000CA060000}"/>
    <cellStyle name="Normal 4 10 2 3 2 2" xfId="2160" xr:uid="{00000000-0005-0000-0000-0000CB060000}"/>
    <cellStyle name="Normal 4 10 2 3 2 3" xfId="2161" xr:uid="{00000000-0005-0000-0000-0000CC060000}"/>
    <cellStyle name="Normal 4 10 2 3 3" xfId="2162" xr:uid="{00000000-0005-0000-0000-0000CD060000}"/>
    <cellStyle name="Normal 4 10 2 3 4" xfId="2163" xr:uid="{00000000-0005-0000-0000-0000CE060000}"/>
    <cellStyle name="Normal 4 10 2 3 5" xfId="2164" xr:uid="{00000000-0005-0000-0000-0000CF060000}"/>
    <cellStyle name="Normal 4 10 2 4" xfId="2165" xr:uid="{00000000-0005-0000-0000-0000D0060000}"/>
    <cellStyle name="Normal 4 10 2 4 2" xfId="2166" xr:uid="{00000000-0005-0000-0000-0000D1060000}"/>
    <cellStyle name="Normal 4 10 2 4 3" xfId="2167" xr:uid="{00000000-0005-0000-0000-0000D2060000}"/>
    <cellStyle name="Normal 4 10 2 5" xfId="2168" xr:uid="{00000000-0005-0000-0000-0000D3060000}"/>
    <cellStyle name="Normal 4 10 2 6" xfId="2169" xr:uid="{00000000-0005-0000-0000-0000D4060000}"/>
    <cellStyle name="Normal 4 10 2 7" xfId="2170" xr:uid="{00000000-0005-0000-0000-0000D5060000}"/>
    <cellStyle name="Normal 4 10 3" xfId="2171" xr:uid="{00000000-0005-0000-0000-0000D6060000}"/>
    <cellStyle name="Normal 4 10 3 2" xfId="2172" xr:uid="{00000000-0005-0000-0000-0000D7060000}"/>
    <cellStyle name="Normal 4 10 3 2 2" xfId="2173" xr:uid="{00000000-0005-0000-0000-0000D8060000}"/>
    <cellStyle name="Normal 4 10 3 2 3" xfId="2174" xr:uid="{00000000-0005-0000-0000-0000D9060000}"/>
    <cellStyle name="Normal 4 10 3 3" xfId="2175" xr:uid="{00000000-0005-0000-0000-0000DA060000}"/>
    <cellStyle name="Normal 4 10 3 4" xfId="2176" xr:uid="{00000000-0005-0000-0000-0000DB060000}"/>
    <cellStyle name="Normal 4 10 3 5" xfId="2177" xr:uid="{00000000-0005-0000-0000-0000DC060000}"/>
    <cellStyle name="Normal 4 10 4" xfId="2178" xr:uid="{00000000-0005-0000-0000-0000DD060000}"/>
    <cellStyle name="Normal 4 10 4 2" xfId="2179" xr:uid="{00000000-0005-0000-0000-0000DE060000}"/>
    <cellStyle name="Normal 4 10 4 2 2" xfId="2180" xr:uid="{00000000-0005-0000-0000-0000DF060000}"/>
    <cellStyle name="Normal 4 10 4 2 3" xfId="2181" xr:uid="{00000000-0005-0000-0000-0000E0060000}"/>
    <cellStyle name="Normal 4 10 4 3" xfId="2182" xr:uid="{00000000-0005-0000-0000-0000E1060000}"/>
    <cellStyle name="Normal 4 10 4 4" xfId="2183" xr:uid="{00000000-0005-0000-0000-0000E2060000}"/>
    <cellStyle name="Normal 4 10 4 5" xfId="2184" xr:uid="{00000000-0005-0000-0000-0000E3060000}"/>
    <cellStyle name="Normal 4 10 5" xfId="2185" xr:uid="{00000000-0005-0000-0000-0000E4060000}"/>
    <cellStyle name="Normal 4 10 5 2" xfId="2186" xr:uid="{00000000-0005-0000-0000-0000E5060000}"/>
    <cellStyle name="Normal 4 10 5 3" xfId="2187" xr:uid="{00000000-0005-0000-0000-0000E6060000}"/>
    <cellStyle name="Normal 4 10 6" xfId="2188" xr:uid="{00000000-0005-0000-0000-0000E7060000}"/>
    <cellStyle name="Normal 4 10 7" xfId="2189" xr:uid="{00000000-0005-0000-0000-0000E8060000}"/>
    <cellStyle name="Normal 4 10 8" xfId="2190" xr:uid="{00000000-0005-0000-0000-0000E9060000}"/>
    <cellStyle name="Normal 4 11" xfId="2191" xr:uid="{00000000-0005-0000-0000-0000EA060000}"/>
    <cellStyle name="Normal 4 11 2" xfId="2192" xr:uid="{00000000-0005-0000-0000-0000EB060000}"/>
    <cellStyle name="Normal 4 11 2 2" xfId="2193" xr:uid="{00000000-0005-0000-0000-0000EC060000}"/>
    <cellStyle name="Normal 4 11 2 2 2" xfId="2194" xr:uid="{00000000-0005-0000-0000-0000ED060000}"/>
    <cellStyle name="Normal 4 11 2 2 3" xfId="2195" xr:uid="{00000000-0005-0000-0000-0000EE060000}"/>
    <cellStyle name="Normal 4 11 2 3" xfId="2196" xr:uid="{00000000-0005-0000-0000-0000EF060000}"/>
    <cellStyle name="Normal 4 11 2 4" xfId="2197" xr:uid="{00000000-0005-0000-0000-0000F0060000}"/>
    <cellStyle name="Normal 4 11 2 5" xfId="2198" xr:uid="{00000000-0005-0000-0000-0000F1060000}"/>
    <cellStyle name="Normal 4 11 3" xfId="2199" xr:uid="{00000000-0005-0000-0000-0000F2060000}"/>
    <cellStyle name="Normal 4 11 3 2" xfId="2200" xr:uid="{00000000-0005-0000-0000-0000F3060000}"/>
    <cellStyle name="Normal 4 11 3 2 2" xfId="2201" xr:uid="{00000000-0005-0000-0000-0000F4060000}"/>
    <cellStyle name="Normal 4 11 3 2 3" xfId="2202" xr:uid="{00000000-0005-0000-0000-0000F5060000}"/>
    <cellStyle name="Normal 4 11 3 3" xfId="2203" xr:uid="{00000000-0005-0000-0000-0000F6060000}"/>
    <cellStyle name="Normal 4 11 3 4" xfId="2204" xr:uid="{00000000-0005-0000-0000-0000F7060000}"/>
    <cellStyle name="Normal 4 11 3 5" xfId="2205" xr:uid="{00000000-0005-0000-0000-0000F8060000}"/>
    <cellStyle name="Normal 4 11 4" xfId="2206" xr:uid="{00000000-0005-0000-0000-0000F9060000}"/>
    <cellStyle name="Normal 4 11 4 2" xfId="2207" xr:uid="{00000000-0005-0000-0000-0000FA060000}"/>
    <cellStyle name="Normal 4 11 4 3" xfId="2208" xr:uid="{00000000-0005-0000-0000-0000FB060000}"/>
    <cellStyle name="Normal 4 11 5" xfId="2209" xr:uid="{00000000-0005-0000-0000-0000FC060000}"/>
    <cellStyle name="Normal 4 11 6" xfId="2210" xr:uid="{00000000-0005-0000-0000-0000FD060000}"/>
    <cellStyle name="Normal 4 11 7" xfId="2211" xr:uid="{00000000-0005-0000-0000-0000FE060000}"/>
    <cellStyle name="Normal 4 12" xfId="2212" xr:uid="{00000000-0005-0000-0000-0000FF060000}"/>
    <cellStyle name="Normal 4 12 2" xfId="2213" xr:uid="{00000000-0005-0000-0000-000000070000}"/>
    <cellStyle name="Normal 4 12 2 2" xfId="2214" xr:uid="{00000000-0005-0000-0000-000001070000}"/>
    <cellStyle name="Normal 4 12 2 2 2" xfId="2215" xr:uid="{00000000-0005-0000-0000-000002070000}"/>
    <cellStyle name="Normal 4 12 2 2 3" xfId="2216" xr:uid="{00000000-0005-0000-0000-000003070000}"/>
    <cellStyle name="Normal 4 12 2 3" xfId="2217" xr:uid="{00000000-0005-0000-0000-000004070000}"/>
    <cellStyle name="Normal 4 12 2 4" xfId="2218" xr:uid="{00000000-0005-0000-0000-000005070000}"/>
    <cellStyle name="Normal 4 12 2 5" xfId="2219" xr:uid="{00000000-0005-0000-0000-000006070000}"/>
    <cellStyle name="Normal 4 12 3" xfId="2220" xr:uid="{00000000-0005-0000-0000-000007070000}"/>
    <cellStyle name="Normal 4 12 3 2" xfId="2221" xr:uid="{00000000-0005-0000-0000-000008070000}"/>
    <cellStyle name="Normal 4 12 3 2 2" xfId="2222" xr:uid="{00000000-0005-0000-0000-000009070000}"/>
    <cellStyle name="Normal 4 12 3 2 3" xfId="2223" xr:uid="{00000000-0005-0000-0000-00000A070000}"/>
    <cellStyle name="Normal 4 12 3 3" xfId="2224" xr:uid="{00000000-0005-0000-0000-00000B070000}"/>
    <cellStyle name="Normal 4 12 3 4" xfId="2225" xr:uid="{00000000-0005-0000-0000-00000C070000}"/>
    <cellStyle name="Normal 4 12 3 5" xfId="2226" xr:uid="{00000000-0005-0000-0000-00000D070000}"/>
    <cellStyle name="Normal 4 12 4" xfId="2227" xr:uid="{00000000-0005-0000-0000-00000E070000}"/>
    <cellStyle name="Normal 4 12 4 2" xfId="2228" xr:uid="{00000000-0005-0000-0000-00000F070000}"/>
    <cellStyle name="Normal 4 12 4 3" xfId="2229" xr:uid="{00000000-0005-0000-0000-000010070000}"/>
    <cellStyle name="Normal 4 12 5" xfId="2230" xr:uid="{00000000-0005-0000-0000-000011070000}"/>
    <cellStyle name="Normal 4 12 6" xfId="2231" xr:uid="{00000000-0005-0000-0000-000012070000}"/>
    <cellStyle name="Normal 4 12 7" xfId="2232" xr:uid="{00000000-0005-0000-0000-000013070000}"/>
    <cellStyle name="Normal 4 13" xfId="2233" xr:uid="{00000000-0005-0000-0000-000014070000}"/>
    <cellStyle name="Normal 4 13 2" xfId="2234" xr:uid="{00000000-0005-0000-0000-000015070000}"/>
    <cellStyle name="Normal 4 13 2 2" xfId="2235" xr:uid="{00000000-0005-0000-0000-000016070000}"/>
    <cellStyle name="Normal 4 13 2 3" xfId="2236" xr:uid="{00000000-0005-0000-0000-000017070000}"/>
    <cellStyle name="Normal 4 13 3" xfId="2237" xr:uid="{00000000-0005-0000-0000-000018070000}"/>
    <cellStyle name="Normal 4 13 4" xfId="2238" xr:uid="{00000000-0005-0000-0000-000019070000}"/>
    <cellStyle name="Normal 4 13 5" xfId="2239" xr:uid="{00000000-0005-0000-0000-00001A070000}"/>
    <cellStyle name="Normal 4 14" xfId="2240" xr:uid="{00000000-0005-0000-0000-00001B070000}"/>
    <cellStyle name="Normal 4 14 2" xfId="2241" xr:uid="{00000000-0005-0000-0000-00001C070000}"/>
    <cellStyle name="Normal 4 14 2 2" xfId="2242" xr:uid="{00000000-0005-0000-0000-00001D070000}"/>
    <cellStyle name="Normal 4 14 2 3" xfId="2243" xr:uid="{00000000-0005-0000-0000-00001E070000}"/>
    <cellStyle name="Normal 4 14 3" xfId="2244" xr:uid="{00000000-0005-0000-0000-00001F070000}"/>
    <cellStyle name="Normal 4 14 4" xfId="2245" xr:uid="{00000000-0005-0000-0000-000020070000}"/>
    <cellStyle name="Normal 4 14 5" xfId="2246" xr:uid="{00000000-0005-0000-0000-000021070000}"/>
    <cellStyle name="Normal 4 2" xfId="190" xr:uid="{00000000-0005-0000-0000-000022070000}"/>
    <cellStyle name="Normal 4 2 10" xfId="2247" xr:uid="{00000000-0005-0000-0000-000023070000}"/>
    <cellStyle name="Normal 4 2 10 2" xfId="2248" xr:uid="{00000000-0005-0000-0000-000024070000}"/>
    <cellStyle name="Normal 4 2 10 2 2" xfId="2249" xr:uid="{00000000-0005-0000-0000-000025070000}"/>
    <cellStyle name="Normal 4 2 10 2 2 2" xfId="2250" xr:uid="{00000000-0005-0000-0000-000026070000}"/>
    <cellStyle name="Normal 4 2 10 2 2 3" xfId="2251" xr:uid="{00000000-0005-0000-0000-000027070000}"/>
    <cellStyle name="Normal 4 2 10 2 3" xfId="2252" xr:uid="{00000000-0005-0000-0000-000028070000}"/>
    <cellStyle name="Normal 4 2 10 2 4" xfId="2253" xr:uid="{00000000-0005-0000-0000-000029070000}"/>
    <cellStyle name="Normal 4 2 10 2 5" xfId="2254" xr:uid="{00000000-0005-0000-0000-00002A070000}"/>
    <cellStyle name="Normal 4 2 10 3" xfId="2255" xr:uid="{00000000-0005-0000-0000-00002B070000}"/>
    <cellStyle name="Normal 4 2 10 3 2" xfId="2256" xr:uid="{00000000-0005-0000-0000-00002C070000}"/>
    <cellStyle name="Normal 4 2 10 3 2 2" xfId="2257" xr:uid="{00000000-0005-0000-0000-00002D070000}"/>
    <cellStyle name="Normal 4 2 10 3 2 3" xfId="2258" xr:uid="{00000000-0005-0000-0000-00002E070000}"/>
    <cellStyle name="Normal 4 2 10 3 3" xfId="2259" xr:uid="{00000000-0005-0000-0000-00002F070000}"/>
    <cellStyle name="Normal 4 2 10 3 4" xfId="2260" xr:uid="{00000000-0005-0000-0000-000030070000}"/>
    <cellStyle name="Normal 4 2 10 3 5" xfId="2261" xr:uid="{00000000-0005-0000-0000-000031070000}"/>
    <cellStyle name="Normal 4 2 10 4" xfId="2262" xr:uid="{00000000-0005-0000-0000-000032070000}"/>
    <cellStyle name="Normal 4 2 10 4 2" xfId="2263" xr:uid="{00000000-0005-0000-0000-000033070000}"/>
    <cellStyle name="Normal 4 2 10 4 3" xfId="2264" xr:uid="{00000000-0005-0000-0000-000034070000}"/>
    <cellStyle name="Normal 4 2 10 5" xfId="2265" xr:uid="{00000000-0005-0000-0000-000035070000}"/>
    <cellStyle name="Normal 4 2 10 6" xfId="2266" xr:uid="{00000000-0005-0000-0000-000036070000}"/>
    <cellStyle name="Normal 4 2 10 7" xfId="2267" xr:uid="{00000000-0005-0000-0000-000037070000}"/>
    <cellStyle name="Normal 4 2 11" xfId="2268" xr:uid="{00000000-0005-0000-0000-000038070000}"/>
    <cellStyle name="Normal 4 2 11 2" xfId="2269" xr:uid="{00000000-0005-0000-0000-000039070000}"/>
    <cellStyle name="Normal 4 2 11 2 2" xfId="2270" xr:uid="{00000000-0005-0000-0000-00003A070000}"/>
    <cellStyle name="Normal 4 2 11 2 3" xfId="2271" xr:uid="{00000000-0005-0000-0000-00003B070000}"/>
    <cellStyle name="Normal 4 2 11 3" xfId="2272" xr:uid="{00000000-0005-0000-0000-00003C070000}"/>
    <cellStyle name="Normal 4 2 11 4" xfId="2273" xr:uid="{00000000-0005-0000-0000-00003D070000}"/>
    <cellStyle name="Normal 4 2 11 5" xfId="2274" xr:uid="{00000000-0005-0000-0000-00003E070000}"/>
    <cellStyle name="Normal 4 2 12" xfId="2275" xr:uid="{00000000-0005-0000-0000-00003F070000}"/>
    <cellStyle name="Normal 4 2 12 2" xfId="2276" xr:uid="{00000000-0005-0000-0000-000040070000}"/>
    <cellStyle name="Normal 4 2 12 2 2" xfId="2277" xr:uid="{00000000-0005-0000-0000-000041070000}"/>
    <cellStyle name="Normal 4 2 12 2 3" xfId="2278" xr:uid="{00000000-0005-0000-0000-000042070000}"/>
    <cellStyle name="Normal 4 2 12 3" xfId="2279" xr:uid="{00000000-0005-0000-0000-000043070000}"/>
    <cellStyle name="Normal 4 2 12 4" xfId="2280" xr:uid="{00000000-0005-0000-0000-000044070000}"/>
    <cellStyle name="Normal 4 2 12 5" xfId="2281" xr:uid="{00000000-0005-0000-0000-000045070000}"/>
    <cellStyle name="Normal 4 2 2" xfId="445" xr:uid="{00000000-0005-0000-0000-000046070000}"/>
    <cellStyle name="Normal 4 2 2 10" xfId="2282" xr:uid="{00000000-0005-0000-0000-000047070000}"/>
    <cellStyle name="Normal 4 2 2 10 2" xfId="2283" xr:uid="{00000000-0005-0000-0000-000048070000}"/>
    <cellStyle name="Normal 4 2 2 10 2 2" xfId="2284" xr:uid="{00000000-0005-0000-0000-000049070000}"/>
    <cellStyle name="Normal 4 2 2 10 2 3" xfId="2285" xr:uid="{00000000-0005-0000-0000-00004A070000}"/>
    <cellStyle name="Normal 4 2 2 10 3" xfId="2286" xr:uid="{00000000-0005-0000-0000-00004B070000}"/>
    <cellStyle name="Normal 4 2 2 10 4" xfId="2287" xr:uid="{00000000-0005-0000-0000-00004C070000}"/>
    <cellStyle name="Normal 4 2 2 10 5" xfId="2288" xr:uid="{00000000-0005-0000-0000-00004D070000}"/>
    <cellStyle name="Normal 4 2 2 11" xfId="2289" xr:uid="{00000000-0005-0000-0000-00004E070000}"/>
    <cellStyle name="Normal 4 2 2 11 2" xfId="2290" xr:uid="{00000000-0005-0000-0000-00004F070000}"/>
    <cellStyle name="Normal 4 2 2 11 3" xfId="2291" xr:uid="{00000000-0005-0000-0000-000050070000}"/>
    <cellStyle name="Normal 4 2 2 12" xfId="2292" xr:uid="{00000000-0005-0000-0000-000051070000}"/>
    <cellStyle name="Normal 4 2 2 13" xfId="2293" xr:uid="{00000000-0005-0000-0000-000052070000}"/>
    <cellStyle name="Normal 4 2 2 14" xfId="2294" xr:uid="{00000000-0005-0000-0000-000053070000}"/>
    <cellStyle name="Normal 4 2 2 2" xfId="2295" xr:uid="{00000000-0005-0000-0000-000054070000}"/>
    <cellStyle name="Normal 4 2 2 2 10" xfId="2296" xr:uid="{00000000-0005-0000-0000-000055070000}"/>
    <cellStyle name="Normal 4 2 2 2 10 2" xfId="2297" xr:uid="{00000000-0005-0000-0000-000056070000}"/>
    <cellStyle name="Normal 4 2 2 2 10 3" xfId="2298" xr:uid="{00000000-0005-0000-0000-000057070000}"/>
    <cellStyle name="Normal 4 2 2 2 11" xfId="2299" xr:uid="{00000000-0005-0000-0000-000058070000}"/>
    <cellStyle name="Normal 4 2 2 2 12" xfId="2300" xr:uid="{00000000-0005-0000-0000-000059070000}"/>
    <cellStyle name="Normal 4 2 2 2 13" xfId="2301" xr:uid="{00000000-0005-0000-0000-00005A070000}"/>
    <cellStyle name="Normal 4 2 2 2 2" xfId="2302" xr:uid="{00000000-0005-0000-0000-00005B070000}"/>
    <cellStyle name="Normal 4 2 2 2 2 2" xfId="2303" xr:uid="{00000000-0005-0000-0000-00005C070000}"/>
    <cellStyle name="Normal 4 2 2 2 2 2 2" xfId="2304" xr:uid="{00000000-0005-0000-0000-00005D070000}"/>
    <cellStyle name="Normal 4 2 2 2 2 2 2 2" xfId="2305" xr:uid="{00000000-0005-0000-0000-00005E070000}"/>
    <cellStyle name="Normal 4 2 2 2 2 2 2 2 2" xfId="2306" xr:uid="{00000000-0005-0000-0000-00005F070000}"/>
    <cellStyle name="Normal 4 2 2 2 2 2 2 2 2 2" xfId="2307" xr:uid="{00000000-0005-0000-0000-000060070000}"/>
    <cellStyle name="Normal 4 2 2 2 2 2 2 2 2 3" xfId="2308" xr:uid="{00000000-0005-0000-0000-000061070000}"/>
    <cellStyle name="Normal 4 2 2 2 2 2 2 2 3" xfId="2309" xr:uid="{00000000-0005-0000-0000-000062070000}"/>
    <cellStyle name="Normal 4 2 2 2 2 2 2 2 4" xfId="2310" xr:uid="{00000000-0005-0000-0000-000063070000}"/>
    <cellStyle name="Normal 4 2 2 2 2 2 2 2 5" xfId="2311" xr:uid="{00000000-0005-0000-0000-000064070000}"/>
    <cellStyle name="Normal 4 2 2 2 2 2 2 3" xfId="2312" xr:uid="{00000000-0005-0000-0000-000065070000}"/>
    <cellStyle name="Normal 4 2 2 2 2 2 2 3 2" xfId="2313" xr:uid="{00000000-0005-0000-0000-000066070000}"/>
    <cellStyle name="Normal 4 2 2 2 2 2 2 3 2 2" xfId="2314" xr:uid="{00000000-0005-0000-0000-000067070000}"/>
    <cellStyle name="Normal 4 2 2 2 2 2 2 3 2 3" xfId="2315" xr:uid="{00000000-0005-0000-0000-000068070000}"/>
    <cellStyle name="Normal 4 2 2 2 2 2 2 3 3" xfId="2316" xr:uid="{00000000-0005-0000-0000-000069070000}"/>
    <cellStyle name="Normal 4 2 2 2 2 2 2 3 4" xfId="2317" xr:uid="{00000000-0005-0000-0000-00006A070000}"/>
    <cellStyle name="Normal 4 2 2 2 2 2 2 3 5" xfId="2318" xr:uid="{00000000-0005-0000-0000-00006B070000}"/>
    <cellStyle name="Normal 4 2 2 2 2 2 2 4" xfId="2319" xr:uid="{00000000-0005-0000-0000-00006C070000}"/>
    <cellStyle name="Normal 4 2 2 2 2 2 2 4 2" xfId="2320" xr:uid="{00000000-0005-0000-0000-00006D070000}"/>
    <cellStyle name="Normal 4 2 2 2 2 2 2 4 3" xfId="2321" xr:uid="{00000000-0005-0000-0000-00006E070000}"/>
    <cellStyle name="Normal 4 2 2 2 2 2 2 5" xfId="2322" xr:uid="{00000000-0005-0000-0000-00006F070000}"/>
    <cellStyle name="Normal 4 2 2 2 2 2 2 6" xfId="2323" xr:uid="{00000000-0005-0000-0000-000070070000}"/>
    <cellStyle name="Normal 4 2 2 2 2 2 2 7" xfId="2324" xr:uid="{00000000-0005-0000-0000-000071070000}"/>
    <cellStyle name="Normal 4 2 2 2 2 2 3" xfId="2325" xr:uid="{00000000-0005-0000-0000-000072070000}"/>
    <cellStyle name="Normal 4 2 2 2 2 2 3 2" xfId="2326" xr:uid="{00000000-0005-0000-0000-000073070000}"/>
    <cellStyle name="Normal 4 2 2 2 2 2 3 2 2" xfId="2327" xr:uid="{00000000-0005-0000-0000-000074070000}"/>
    <cellStyle name="Normal 4 2 2 2 2 2 3 2 3" xfId="2328" xr:uid="{00000000-0005-0000-0000-000075070000}"/>
    <cellStyle name="Normal 4 2 2 2 2 2 3 3" xfId="2329" xr:uid="{00000000-0005-0000-0000-000076070000}"/>
    <cellStyle name="Normal 4 2 2 2 2 2 3 4" xfId="2330" xr:uid="{00000000-0005-0000-0000-000077070000}"/>
    <cellStyle name="Normal 4 2 2 2 2 2 3 5" xfId="2331" xr:uid="{00000000-0005-0000-0000-000078070000}"/>
    <cellStyle name="Normal 4 2 2 2 2 2 4" xfId="2332" xr:uid="{00000000-0005-0000-0000-000079070000}"/>
    <cellStyle name="Normal 4 2 2 2 2 2 4 2" xfId="2333" xr:uid="{00000000-0005-0000-0000-00007A070000}"/>
    <cellStyle name="Normal 4 2 2 2 2 2 4 2 2" xfId="2334" xr:uid="{00000000-0005-0000-0000-00007B070000}"/>
    <cellStyle name="Normal 4 2 2 2 2 2 4 2 3" xfId="2335" xr:uid="{00000000-0005-0000-0000-00007C070000}"/>
    <cellStyle name="Normal 4 2 2 2 2 2 4 3" xfId="2336" xr:uid="{00000000-0005-0000-0000-00007D070000}"/>
    <cellStyle name="Normal 4 2 2 2 2 2 4 4" xfId="2337" xr:uid="{00000000-0005-0000-0000-00007E070000}"/>
    <cellStyle name="Normal 4 2 2 2 2 2 4 5" xfId="2338" xr:uid="{00000000-0005-0000-0000-00007F070000}"/>
    <cellStyle name="Normal 4 2 2 2 2 2 5" xfId="2339" xr:uid="{00000000-0005-0000-0000-000080070000}"/>
    <cellStyle name="Normal 4 2 2 2 2 2 5 2" xfId="2340" xr:uid="{00000000-0005-0000-0000-000081070000}"/>
    <cellStyle name="Normal 4 2 2 2 2 2 5 3" xfId="2341" xr:uid="{00000000-0005-0000-0000-000082070000}"/>
    <cellStyle name="Normal 4 2 2 2 2 2 6" xfId="2342" xr:uid="{00000000-0005-0000-0000-000083070000}"/>
    <cellStyle name="Normal 4 2 2 2 2 2 7" xfId="2343" xr:uid="{00000000-0005-0000-0000-000084070000}"/>
    <cellStyle name="Normal 4 2 2 2 2 2 8" xfId="2344" xr:uid="{00000000-0005-0000-0000-000085070000}"/>
    <cellStyle name="Normal 4 2 2 2 2 3" xfId="2345" xr:uid="{00000000-0005-0000-0000-000086070000}"/>
    <cellStyle name="Normal 4 2 2 2 2 3 2" xfId="2346" xr:uid="{00000000-0005-0000-0000-000087070000}"/>
    <cellStyle name="Normal 4 2 2 2 2 3 2 2" xfId="2347" xr:uid="{00000000-0005-0000-0000-000088070000}"/>
    <cellStyle name="Normal 4 2 2 2 2 3 2 2 2" xfId="2348" xr:uid="{00000000-0005-0000-0000-000089070000}"/>
    <cellStyle name="Normal 4 2 2 2 2 3 2 2 3" xfId="2349" xr:uid="{00000000-0005-0000-0000-00008A070000}"/>
    <cellStyle name="Normal 4 2 2 2 2 3 2 3" xfId="2350" xr:uid="{00000000-0005-0000-0000-00008B070000}"/>
    <cellStyle name="Normal 4 2 2 2 2 3 2 4" xfId="2351" xr:uid="{00000000-0005-0000-0000-00008C070000}"/>
    <cellStyle name="Normal 4 2 2 2 2 3 2 5" xfId="2352" xr:uid="{00000000-0005-0000-0000-00008D070000}"/>
    <cellStyle name="Normal 4 2 2 2 2 3 3" xfId="2353" xr:uid="{00000000-0005-0000-0000-00008E070000}"/>
    <cellStyle name="Normal 4 2 2 2 2 3 3 2" xfId="2354" xr:uid="{00000000-0005-0000-0000-00008F070000}"/>
    <cellStyle name="Normal 4 2 2 2 2 3 3 2 2" xfId="2355" xr:uid="{00000000-0005-0000-0000-000090070000}"/>
    <cellStyle name="Normal 4 2 2 2 2 3 3 2 3" xfId="2356" xr:uid="{00000000-0005-0000-0000-000091070000}"/>
    <cellStyle name="Normal 4 2 2 2 2 3 3 3" xfId="2357" xr:uid="{00000000-0005-0000-0000-000092070000}"/>
    <cellStyle name="Normal 4 2 2 2 2 3 3 4" xfId="2358" xr:uid="{00000000-0005-0000-0000-000093070000}"/>
    <cellStyle name="Normal 4 2 2 2 2 3 3 5" xfId="2359" xr:uid="{00000000-0005-0000-0000-000094070000}"/>
    <cellStyle name="Normal 4 2 2 2 2 3 4" xfId="2360" xr:uid="{00000000-0005-0000-0000-000095070000}"/>
    <cellStyle name="Normal 4 2 2 2 2 3 4 2" xfId="2361" xr:uid="{00000000-0005-0000-0000-000096070000}"/>
    <cellStyle name="Normal 4 2 2 2 2 3 4 3" xfId="2362" xr:uid="{00000000-0005-0000-0000-000097070000}"/>
    <cellStyle name="Normal 4 2 2 2 2 3 5" xfId="2363" xr:uid="{00000000-0005-0000-0000-000098070000}"/>
    <cellStyle name="Normal 4 2 2 2 2 3 6" xfId="2364" xr:uid="{00000000-0005-0000-0000-000099070000}"/>
    <cellStyle name="Normal 4 2 2 2 2 3 7" xfId="2365" xr:uid="{00000000-0005-0000-0000-00009A070000}"/>
    <cellStyle name="Normal 4 2 2 2 2 4" xfId="2366" xr:uid="{00000000-0005-0000-0000-00009B070000}"/>
    <cellStyle name="Normal 4 2 2 2 2 4 2" xfId="2367" xr:uid="{00000000-0005-0000-0000-00009C070000}"/>
    <cellStyle name="Normal 4 2 2 2 2 4 2 2" xfId="2368" xr:uid="{00000000-0005-0000-0000-00009D070000}"/>
    <cellStyle name="Normal 4 2 2 2 2 4 2 3" xfId="2369" xr:uid="{00000000-0005-0000-0000-00009E070000}"/>
    <cellStyle name="Normal 4 2 2 2 2 4 3" xfId="2370" xr:uid="{00000000-0005-0000-0000-00009F070000}"/>
    <cellStyle name="Normal 4 2 2 2 2 4 4" xfId="2371" xr:uid="{00000000-0005-0000-0000-0000A0070000}"/>
    <cellStyle name="Normal 4 2 2 2 2 4 5" xfId="2372" xr:uid="{00000000-0005-0000-0000-0000A1070000}"/>
    <cellStyle name="Normal 4 2 2 2 2 5" xfId="2373" xr:uid="{00000000-0005-0000-0000-0000A2070000}"/>
    <cellStyle name="Normal 4 2 2 2 2 5 2" xfId="2374" xr:uid="{00000000-0005-0000-0000-0000A3070000}"/>
    <cellStyle name="Normal 4 2 2 2 2 5 2 2" xfId="2375" xr:uid="{00000000-0005-0000-0000-0000A4070000}"/>
    <cellStyle name="Normal 4 2 2 2 2 5 2 3" xfId="2376" xr:uid="{00000000-0005-0000-0000-0000A5070000}"/>
    <cellStyle name="Normal 4 2 2 2 2 5 3" xfId="2377" xr:uid="{00000000-0005-0000-0000-0000A6070000}"/>
    <cellStyle name="Normal 4 2 2 2 2 5 4" xfId="2378" xr:uid="{00000000-0005-0000-0000-0000A7070000}"/>
    <cellStyle name="Normal 4 2 2 2 2 5 5" xfId="2379" xr:uid="{00000000-0005-0000-0000-0000A8070000}"/>
    <cellStyle name="Normal 4 2 2 2 2 6" xfId="2380" xr:uid="{00000000-0005-0000-0000-0000A9070000}"/>
    <cellStyle name="Normal 4 2 2 2 2 6 2" xfId="2381" xr:uid="{00000000-0005-0000-0000-0000AA070000}"/>
    <cellStyle name="Normal 4 2 2 2 2 6 3" xfId="2382" xr:uid="{00000000-0005-0000-0000-0000AB070000}"/>
    <cellStyle name="Normal 4 2 2 2 2 7" xfId="2383" xr:uid="{00000000-0005-0000-0000-0000AC070000}"/>
    <cellStyle name="Normal 4 2 2 2 2 8" xfId="2384" xr:uid="{00000000-0005-0000-0000-0000AD070000}"/>
    <cellStyle name="Normal 4 2 2 2 2 9" xfId="2385" xr:uid="{00000000-0005-0000-0000-0000AE070000}"/>
    <cellStyle name="Normal 4 2 2 2 3" xfId="2386" xr:uid="{00000000-0005-0000-0000-0000AF070000}"/>
    <cellStyle name="Normal 4 2 2 2 3 2" xfId="2387" xr:uid="{00000000-0005-0000-0000-0000B0070000}"/>
    <cellStyle name="Normal 4 2 2 2 3 2 2" xfId="2388" xr:uid="{00000000-0005-0000-0000-0000B1070000}"/>
    <cellStyle name="Normal 4 2 2 2 3 2 2 2" xfId="2389" xr:uid="{00000000-0005-0000-0000-0000B2070000}"/>
    <cellStyle name="Normal 4 2 2 2 3 2 2 2 2" xfId="2390" xr:uid="{00000000-0005-0000-0000-0000B3070000}"/>
    <cellStyle name="Normal 4 2 2 2 3 2 2 2 2 2" xfId="2391" xr:uid="{00000000-0005-0000-0000-0000B4070000}"/>
    <cellStyle name="Normal 4 2 2 2 3 2 2 2 2 3" xfId="2392" xr:uid="{00000000-0005-0000-0000-0000B5070000}"/>
    <cellStyle name="Normal 4 2 2 2 3 2 2 2 3" xfId="2393" xr:uid="{00000000-0005-0000-0000-0000B6070000}"/>
    <cellStyle name="Normal 4 2 2 2 3 2 2 2 4" xfId="2394" xr:uid="{00000000-0005-0000-0000-0000B7070000}"/>
    <cellStyle name="Normal 4 2 2 2 3 2 2 2 5" xfId="2395" xr:uid="{00000000-0005-0000-0000-0000B8070000}"/>
    <cellStyle name="Normal 4 2 2 2 3 2 2 3" xfId="2396" xr:uid="{00000000-0005-0000-0000-0000B9070000}"/>
    <cellStyle name="Normal 4 2 2 2 3 2 2 3 2" xfId="2397" xr:uid="{00000000-0005-0000-0000-0000BA070000}"/>
    <cellStyle name="Normal 4 2 2 2 3 2 2 3 2 2" xfId="2398" xr:uid="{00000000-0005-0000-0000-0000BB070000}"/>
    <cellStyle name="Normal 4 2 2 2 3 2 2 3 2 3" xfId="2399" xr:uid="{00000000-0005-0000-0000-0000BC070000}"/>
    <cellStyle name="Normal 4 2 2 2 3 2 2 3 3" xfId="2400" xr:uid="{00000000-0005-0000-0000-0000BD070000}"/>
    <cellStyle name="Normal 4 2 2 2 3 2 2 3 4" xfId="2401" xr:uid="{00000000-0005-0000-0000-0000BE070000}"/>
    <cellStyle name="Normal 4 2 2 2 3 2 2 3 5" xfId="2402" xr:uid="{00000000-0005-0000-0000-0000BF070000}"/>
    <cellStyle name="Normal 4 2 2 2 3 2 2 4" xfId="2403" xr:uid="{00000000-0005-0000-0000-0000C0070000}"/>
    <cellStyle name="Normal 4 2 2 2 3 2 2 4 2" xfId="2404" xr:uid="{00000000-0005-0000-0000-0000C1070000}"/>
    <cellStyle name="Normal 4 2 2 2 3 2 2 4 3" xfId="2405" xr:uid="{00000000-0005-0000-0000-0000C2070000}"/>
    <cellStyle name="Normal 4 2 2 2 3 2 2 5" xfId="2406" xr:uid="{00000000-0005-0000-0000-0000C3070000}"/>
    <cellStyle name="Normal 4 2 2 2 3 2 2 6" xfId="2407" xr:uid="{00000000-0005-0000-0000-0000C4070000}"/>
    <cellStyle name="Normal 4 2 2 2 3 2 2 7" xfId="2408" xr:uid="{00000000-0005-0000-0000-0000C5070000}"/>
    <cellStyle name="Normal 4 2 2 2 3 2 3" xfId="2409" xr:uid="{00000000-0005-0000-0000-0000C6070000}"/>
    <cellStyle name="Normal 4 2 2 2 3 2 3 2" xfId="2410" xr:uid="{00000000-0005-0000-0000-0000C7070000}"/>
    <cellStyle name="Normal 4 2 2 2 3 2 3 2 2" xfId="2411" xr:uid="{00000000-0005-0000-0000-0000C8070000}"/>
    <cellStyle name="Normal 4 2 2 2 3 2 3 2 3" xfId="2412" xr:uid="{00000000-0005-0000-0000-0000C9070000}"/>
    <cellStyle name="Normal 4 2 2 2 3 2 3 3" xfId="2413" xr:uid="{00000000-0005-0000-0000-0000CA070000}"/>
    <cellStyle name="Normal 4 2 2 2 3 2 3 4" xfId="2414" xr:uid="{00000000-0005-0000-0000-0000CB070000}"/>
    <cellStyle name="Normal 4 2 2 2 3 2 3 5" xfId="2415" xr:uid="{00000000-0005-0000-0000-0000CC070000}"/>
    <cellStyle name="Normal 4 2 2 2 3 2 4" xfId="2416" xr:uid="{00000000-0005-0000-0000-0000CD070000}"/>
    <cellStyle name="Normal 4 2 2 2 3 2 4 2" xfId="2417" xr:uid="{00000000-0005-0000-0000-0000CE070000}"/>
    <cellStyle name="Normal 4 2 2 2 3 2 4 2 2" xfId="2418" xr:uid="{00000000-0005-0000-0000-0000CF070000}"/>
    <cellStyle name="Normal 4 2 2 2 3 2 4 2 3" xfId="2419" xr:uid="{00000000-0005-0000-0000-0000D0070000}"/>
    <cellStyle name="Normal 4 2 2 2 3 2 4 3" xfId="2420" xr:uid="{00000000-0005-0000-0000-0000D1070000}"/>
    <cellStyle name="Normal 4 2 2 2 3 2 4 4" xfId="2421" xr:uid="{00000000-0005-0000-0000-0000D2070000}"/>
    <cellStyle name="Normal 4 2 2 2 3 2 4 5" xfId="2422" xr:uid="{00000000-0005-0000-0000-0000D3070000}"/>
    <cellStyle name="Normal 4 2 2 2 3 2 5" xfId="2423" xr:uid="{00000000-0005-0000-0000-0000D4070000}"/>
    <cellStyle name="Normal 4 2 2 2 3 2 5 2" xfId="2424" xr:uid="{00000000-0005-0000-0000-0000D5070000}"/>
    <cellStyle name="Normal 4 2 2 2 3 2 5 3" xfId="2425" xr:uid="{00000000-0005-0000-0000-0000D6070000}"/>
    <cellStyle name="Normal 4 2 2 2 3 2 6" xfId="2426" xr:uid="{00000000-0005-0000-0000-0000D7070000}"/>
    <cellStyle name="Normal 4 2 2 2 3 2 7" xfId="2427" xr:uid="{00000000-0005-0000-0000-0000D8070000}"/>
    <cellStyle name="Normal 4 2 2 2 3 2 8" xfId="2428" xr:uid="{00000000-0005-0000-0000-0000D9070000}"/>
    <cellStyle name="Normal 4 2 2 2 3 3" xfId="2429" xr:uid="{00000000-0005-0000-0000-0000DA070000}"/>
    <cellStyle name="Normal 4 2 2 2 3 3 2" xfId="2430" xr:uid="{00000000-0005-0000-0000-0000DB070000}"/>
    <cellStyle name="Normal 4 2 2 2 3 3 2 2" xfId="2431" xr:uid="{00000000-0005-0000-0000-0000DC070000}"/>
    <cellStyle name="Normal 4 2 2 2 3 3 2 2 2" xfId="2432" xr:uid="{00000000-0005-0000-0000-0000DD070000}"/>
    <cellStyle name="Normal 4 2 2 2 3 3 2 2 3" xfId="2433" xr:uid="{00000000-0005-0000-0000-0000DE070000}"/>
    <cellStyle name="Normal 4 2 2 2 3 3 2 3" xfId="2434" xr:uid="{00000000-0005-0000-0000-0000DF070000}"/>
    <cellStyle name="Normal 4 2 2 2 3 3 2 4" xfId="2435" xr:uid="{00000000-0005-0000-0000-0000E0070000}"/>
    <cellStyle name="Normal 4 2 2 2 3 3 2 5" xfId="2436" xr:uid="{00000000-0005-0000-0000-0000E1070000}"/>
    <cellStyle name="Normal 4 2 2 2 3 3 3" xfId="2437" xr:uid="{00000000-0005-0000-0000-0000E2070000}"/>
    <cellStyle name="Normal 4 2 2 2 3 3 3 2" xfId="2438" xr:uid="{00000000-0005-0000-0000-0000E3070000}"/>
    <cellStyle name="Normal 4 2 2 2 3 3 3 2 2" xfId="2439" xr:uid="{00000000-0005-0000-0000-0000E4070000}"/>
    <cellStyle name="Normal 4 2 2 2 3 3 3 2 3" xfId="2440" xr:uid="{00000000-0005-0000-0000-0000E5070000}"/>
    <cellStyle name="Normal 4 2 2 2 3 3 3 3" xfId="2441" xr:uid="{00000000-0005-0000-0000-0000E6070000}"/>
    <cellStyle name="Normal 4 2 2 2 3 3 3 4" xfId="2442" xr:uid="{00000000-0005-0000-0000-0000E7070000}"/>
    <cellStyle name="Normal 4 2 2 2 3 3 3 5" xfId="2443" xr:uid="{00000000-0005-0000-0000-0000E8070000}"/>
    <cellStyle name="Normal 4 2 2 2 3 3 4" xfId="2444" xr:uid="{00000000-0005-0000-0000-0000E9070000}"/>
    <cellStyle name="Normal 4 2 2 2 3 3 4 2" xfId="2445" xr:uid="{00000000-0005-0000-0000-0000EA070000}"/>
    <cellStyle name="Normal 4 2 2 2 3 3 4 3" xfId="2446" xr:uid="{00000000-0005-0000-0000-0000EB070000}"/>
    <cellStyle name="Normal 4 2 2 2 3 3 5" xfId="2447" xr:uid="{00000000-0005-0000-0000-0000EC070000}"/>
    <cellStyle name="Normal 4 2 2 2 3 3 6" xfId="2448" xr:uid="{00000000-0005-0000-0000-0000ED070000}"/>
    <cellStyle name="Normal 4 2 2 2 3 3 7" xfId="2449" xr:uid="{00000000-0005-0000-0000-0000EE070000}"/>
    <cellStyle name="Normal 4 2 2 2 3 4" xfId="2450" xr:uid="{00000000-0005-0000-0000-0000EF070000}"/>
    <cellStyle name="Normal 4 2 2 2 3 4 2" xfId="2451" xr:uid="{00000000-0005-0000-0000-0000F0070000}"/>
    <cellStyle name="Normal 4 2 2 2 3 4 2 2" xfId="2452" xr:uid="{00000000-0005-0000-0000-0000F1070000}"/>
    <cellStyle name="Normal 4 2 2 2 3 4 2 3" xfId="2453" xr:uid="{00000000-0005-0000-0000-0000F2070000}"/>
    <cellStyle name="Normal 4 2 2 2 3 4 3" xfId="2454" xr:uid="{00000000-0005-0000-0000-0000F3070000}"/>
    <cellStyle name="Normal 4 2 2 2 3 4 4" xfId="2455" xr:uid="{00000000-0005-0000-0000-0000F4070000}"/>
    <cellStyle name="Normal 4 2 2 2 3 4 5" xfId="2456" xr:uid="{00000000-0005-0000-0000-0000F5070000}"/>
    <cellStyle name="Normal 4 2 2 2 3 5" xfId="2457" xr:uid="{00000000-0005-0000-0000-0000F6070000}"/>
    <cellStyle name="Normal 4 2 2 2 3 5 2" xfId="2458" xr:uid="{00000000-0005-0000-0000-0000F7070000}"/>
    <cellStyle name="Normal 4 2 2 2 3 5 2 2" xfId="2459" xr:uid="{00000000-0005-0000-0000-0000F8070000}"/>
    <cellStyle name="Normal 4 2 2 2 3 5 2 3" xfId="2460" xr:uid="{00000000-0005-0000-0000-0000F9070000}"/>
    <cellStyle name="Normal 4 2 2 2 3 5 3" xfId="2461" xr:uid="{00000000-0005-0000-0000-0000FA070000}"/>
    <cellStyle name="Normal 4 2 2 2 3 5 4" xfId="2462" xr:uid="{00000000-0005-0000-0000-0000FB070000}"/>
    <cellStyle name="Normal 4 2 2 2 3 5 5" xfId="2463" xr:uid="{00000000-0005-0000-0000-0000FC070000}"/>
    <cellStyle name="Normal 4 2 2 2 3 6" xfId="2464" xr:uid="{00000000-0005-0000-0000-0000FD070000}"/>
    <cellStyle name="Normal 4 2 2 2 3 6 2" xfId="2465" xr:uid="{00000000-0005-0000-0000-0000FE070000}"/>
    <cellStyle name="Normal 4 2 2 2 3 6 3" xfId="2466" xr:uid="{00000000-0005-0000-0000-0000FF070000}"/>
    <cellStyle name="Normal 4 2 2 2 3 7" xfId="2467" xr:uid="{00000000-0005-0000-0000-000000080000}"/>
    <cellStyle name="Normal 4 2 2 2 3 8" xfId="2468" xr:uid="{00000000-0005-0000-0000-000001080000}"/>
    <cellStyle name="Normal 4 2 2 2 3 9" xfId="2469" xr:uid="{00000000-0005-0000-0000-000002080000}"/>
    <cellStyle name="Normal 4 2 2 2 4" xfId="2470" xr:uid="{00000000-0005-0000-0000-000003080000}"/>
    <cellStyle name="Normal 4 2 2 2 4 2" xfId="2471" xr:uid="{00000000-0005-0000-0000-000004080000}"/>
    <cellStyle name="Normal 4 2 2 2 4 2 2" xfId="2472" xr:uid="{00000000-0005-0000-0000-000005080000}"/>
    <cellStyle name="Normal 4 2 2 2 4 2 2 2" xfId="2473" xr:uid="{00000000-0005-0000-0000-000006080000}"/>
    <cellStyle name="Normal 4 2 2 2 4 2 2 2 2" xfId="2474" xr:uid="{00000000-0005-0000-0000-000007080000}"/>
    <cellStyle name="Normal 4 2 2 2 4 2 2 2 2 2" xfId="2475" xr:uid="{00000000-0005-0000-0000-000008080000}"/>
    <cellStyle name="Normal 4 2 2 2 4 2 2 2 2 3" xfId="2476" xr:uid="{00000000-0005-0000-0000-000009080000}"/>
    <cellStyle name="Normal 4 2 2 2 4 2 2 2 3" xfId="2477" xr:uid="{00000000-0005-0000-0000-00000A080000}"/>
    <cellStyle name="Normal 4 2 2 2 4 2 2 2 4" xfId="2478" xr:uid="{00000000-0005-0000-0000-00000B080000}"/>
    <cellStyle name="Normal 4 2 2 2 4 2 2 2 5" xfId="2479" xr:uid="{00000000-0005-0000-0000-00000C080000}"/>
    <cellStyle name="Normal 4 2 2 2 4 2 2 3" xfId="2480" xr:uid="{00000000-0005-0000-0000-00000D080000}"/>
    <cellStyle name="Normal 4 2 2 2 4 2 2 3 2" xfId="2481" xr:uid="{00000000-0005-0000-0000-00000E080000}"/>
    <cellStyle name="Normal 4 2 2 2 4 2 2 3 2 2" xfId="2482" xr:uid="{00000000-0005-0000-0000-00000F080000}"/>
    <cellStyle name="Normal 4 2 2 2 4 2 2 3 2 3" xfId="2483" xr:uid="{00000000-0005-0000-0000-000010080000}"/>
    <cellStyle name="Normal 4 2 2 2 4 2 2 3 3" xfId="2484" xr:uid="{00000000-0005-0000-0000-000011080000}"/>
    <cellStyle name="Normal 4 2 2 2 4 2 2 3 4" xfId="2485" xr:uid="{00000000-0005-0000-0000-000012080000}"/>
    <cellStyle name="Normal 4 2 2 2 4 2 2 3 5" xfId="2486" xr:uid="{00000000-0005-0000-0000-000013080000}"/>
    <cellStyle name="Normal 4 2 2 2 4 2 2 4" xfId="2487" xr:uid="{00000000-0005-0000-0000-000014080000}"/>
    <cellStyle name="Normal 4 2 2 2 4 2 2 4 2" xfId="2488" xr:uid="{00000000-0005-0000-0000-000015080000}"/>
    <cellStyle name="Normal 4 2 2 2 4 2 2 4 3" xfId="2489" xr:uid="{00000000-0005-0000-0000-000016080000}"/>
    <cellStyle name="Normal 4 2 2 2 4 2 2 5" xfId="2490" xr:uid="{00000000-0005-0000-0000-000017080000}"/>
    <cellStyle name="Normal 4 2 2 2 4 2 2 6" xfId="2491" xr:uid="{00000000-0005-0000-0000-000018080000}"/>
    <cellStyle name="Normal 4 2 2 2 4 2 2 7" xfId="2492" xr:uid="{00000000-0005-0000-0000-000019080000}"/>
    <cellStyle name="Normal 4 2 2 2 4 2 3" xfId="2493" xr:uid="{00000000-0005-0000-0000-00001A080000}"/>
    <cellStyle name="Normal 4 2 2 2 4 2 3 2" xfId="2494" xr:uid="{00000000-0005-0000-0000-00001B080000}"/>
    <cellStyle name="Normal 4 2 2 2 4 2 3 2 2" xfId="2495" xr:uid="{00000000-0005-0000-0000-00001C080000}"/>
    <cellStyle name="Normal 4 2 2 2 4 2 3 2 3" xfId="2496" xr:uid="{00000000-0005-0000-0000-00001D080000}"/>
    <cellStyle name="Normal 4 2 2 2 4 2 3 3" xfId="2497" xr:uid="{00000000-0005-0000-0000-00001E080000}"/>
    <cellStyle name="Normal 4 2 2 2 4 2 3 4" xfId="2498" xr:uid="{00000000-0005-0000-0000-00001F080000}"/>
    <cellStyle name="Normal 4 2 2 2 4 2 3 5" xfId="2499" xr:uid="{00000000-0005-0000-0000-000020080000}"/>
    <cellStyle name="Normal 4 2 2 2 4 2 4" xfId="2500" xr:uid="{00000000-0005-0000-0000-000021080000}"/>
    <cellStyle name="Normal 4 2 2 2 4 2 4 2" xfId="2501" xr:uid="{00000000-0005-0000-0000-000022080000}"/>
    <cellStyle name="Normal 4 2 2 2 4 2 4 2 2" xfId="2502" xr:uid="{00000000-0005-0000-0000-000023080000}"/>
    <cellStyle name="Normal 4 2 2 2 4 2 4 2 3" xfId="2503" xr:uid="{00000000-0005-0000-0000-000024080000}"/>
    <cellStyle name="Normal 4 2 2 2 4 2 4 3" xfId="2504" xr:uid="{00000000-0005-0000-0000-000025080000}"/>
    <cellStyle name="Normal 4 2 2 2 4 2 4 4" xfId="2505" xr:uid="{00000000-0005-0000-0000-000026080000}"/>
    <cellStyle name="Normal 4 2 2 2 4 2 4 5" xfId="2506" xr:uid="{00000000-0005-0000-0000-000027080000}"/>
    <cellStyle name="Normal 4 2 2 2 4 2 5" xfId="2507" xr:uid="{00000000-0005-0000-0000-000028080000}"/>
    <cellStyle name="Normal 4 2 2 2 4 2 5 2" xfId="2508" xr:uid="{00000000-0005-0000-0000-000029080000}"/>
    <cellStyle name="Normal 4 2 2 2 4 2 5 3" xfId="2509" xr:uid="{00000000-0005-0000-0000-00002A080000}"/>
    <cellStyle name="Normal 4 2 2 2 4 2 6" xfId="2510" xr:uid="{00000000-0005-0000-0000-00002B080000}"/>
    <cellStyle name="Normal 4 2 2 2 4 2 7" xfId="2511" xr:uid="{00000000-0005-0000-0000-00002C080000}"/>
    <cellStyle name="Normal 4 2 2 2 4 2 8" xfId="2512" xr:uid="{00000000-0005-0000-0000-00002D080000}"/>
    <cellStyle name="Normal 4 2 2 2 4 3" xfId="2513" xr:uid="{00000000-0005-0000-0000-00002E080000}"/>
    <cellStyle name="Normal 4 2 2 2 4 3 2" xfId="2514" xr:uid="{00000000-0005-0000-0000-00002F080000}"/>
    <cellStyle name="Normal 4 2 2 2 4 3 2 2" xfId="2515" xr:uid="{00000000-0005-0000-0000-000030080000}"/>
    <cellStyle name="Normal 4 2 2 2 4 3 2 2 2" xfId="2516" xr:uid="{00000000-0005-0000-0000-000031080000}"/>
    <cellStyle name="Normal 4 2 2 2 4 3 2 2 3" xfId="2517" xr:uid="{00000000-0005-0000-0000-000032080000}"/>
    <cellStyle name="Normal 4 2 2 2 4 3 2 3" xfId="2518" xr:uid="{00000000-0005-0000-0000-000033080000}"/>
    <cellStyle name="Normal 4 2 2 2 4 3 2 4" xfId="2519" xr:uid="{00000000-0005-0000-0000-000034080000}"/>
    <cellStyle name="Normal 4 2 2 2 4 3 2 5" xfId="2520" xr:uid="{00000000-0005-0000-0000-000035080000}"/>
    <cellStyle name="Normal 4 2 2 2 4 3 3" xfId="2521" xr:uid="{00000000-0005-0000-0000-000036080000}"/>
    <cellStyle name="Normal 4 2 2 2 4 3 3 2" xfId="2522" xr:uid="{00000000-0005-0000-0000-000037080000}"/>
    <cellStyle name="Normal 4 2 2 2 4 3 3 2 2" xfId="2523" xr:uid="{00000000-0005-0000-0000-000038080000}"/>
    <cellStyle name="Normal 4 2 2 2 4 3 3 2 3" xfId="2524" xr:uid="{00000000-0005-0000-0000-000039080000}"/>
    <cellStyle name="Normal 4 2 2 2 4 3 3 3" xfId="2525" xr:uid="{00000000-0005-0000-0000-00003A080000}"/>
    <cellStyle name="Normal 4 2 2 2 4 3 3 4" xfId="2526" xr:uid="{00000000-0005-0000-0000-00003B080000}"/>
    <cellStyle name="Normal 4 2 2 2 4 3 3 5" xfId="2527" xr:uid="{00000000-0005-0000-0000-00003C080000}"/>
    <cellStyle name="Normal 4 2 2 2 4 3 4" xfId="2528" xr:uid="{00000000-0005-0000-0000-00003D080000}"/>
    <cellStyle name="Normal 4 2 2 2 4 3 4 2" xfId="2529" xr:uid="{00000000-0005-0000-0000-00003E080000}"/>
    <cellStyle name="Normal 4 2 2 2 4 3 4 3" xfId="2530" xr:uid="{00000000-0005-0000-0000-00003F080000}"/>
    <cellStyle name="Normal 4 2 2 2 4 3 5" xfId="2531" xr:uid="{00000000-0005-0000-0000-000040080000}"/>
    <cellStyle name="Normal 4 2 2 2 4 3 6" xfId="2532" xr:uid="{00000000-0005-0000-0000-000041080000}"/>
    <cellStyle name="Normal 4 2 2 2 4 3 7" xfId="2533" xr:uid="{00000000-0005-0000-0000-000042080000}"/>
    <cellStyle name="Normal 4 2 2 2 4 4" xfId="2534" xr:uid="{00000000-0005-0000-0000-000043080000}"/>
    <cellStyle name="Normal 4 2 2 2 4 4 2" xfId="2535" xr:uid="{00000000-0005-0000-0000-000044080000}"/>
    <cellStyle name="Normal 4 2 2 2 4 4 2 2" xfId="2536" xr:uid="{00000000-0005-0000-0000-000045080000}"/>
    <cellStyle name="Normal 4 2 2 2 4 4 2 3" xfId="2537" xr:uid="{00000000-0005-0000-0000-000046080000}"/>
    <cellStyle name="Normal 4 2 2 2 4 4 3" xfId="2538" xr:uid="{00000000-0005-0000-0000-000047080000}"/>
    <cellStyle name="Normal 4 2 2 2 4 4 4" xfId="2539" xr:uid="{00000000-0005-0000-0000-000048080000}"/>
    <cellStyle name="Normal 4 2 2 2 4 4 5" xfId="2540" xr:uid="{00000000-0005-0000-0000-000049080000}"/>
    <cellStyle name="Normal 4 2 2 2 4 5" xfId="2541" xr:uid="{00000000-0005-0000-0000-00004A080000}"/>
    <cellStyle name="Normal 4 2 2 2 4 5 2" xfId="2542" xr:uid="{00000000-0005-0000-0000-00004B080000}"/>
    <cellStyle name="Normal 4 2 2 2 4 5 2 2" xfId="2543" xr:uid="{00000000-0005-0000-0000-00004C080000}"/>
    <cellStyle name="Normal 4 2 2 2 4 5 2 3" xfId="2544" xr:uid="{00000000-0005-0000-0000-00004D080000}"/>
    <cellStyle name="Normal 4 2 2 2 4 5 3" xfId="2545" xr:uid="{00000000-0005-0000-0000-00004E080000}"/>
    <cellStyle name="Normal 4 2 2 2 4 5 4" xfId="2546" xr:uid="{00000000-0005-0000-0000-00004F080000}"/>
    <cellStyle name="Normal 4 2 2 2 4 5 5" xfId="2547" xr:uid="{00000000-0005-0000-0000-000050080000}"/>
    <cellStyle name="Normal 4 2 2 2 4 6" xfId="2548" xr:uid="{00000000-0005-0000-0000-000051080000}"/>
    <cellStyle name="Normal 4 2 2 2 4 6 2" xfId="2549" xr:uid="{00000000-0005-0000-0000-000052080000}"/>
    <cellStyle name="Normal 4 2 2 2 4 6 3" xfId="2550" xr:uid="{00000000-0005-0000-0000-000053080000}"/>
    <cellStyle name="Normal 4 2 2 2 4 7" xfId="2551" xr:uid="{00000000-0005-0000-0000-000054080000}"/>
    <cellStyle name="Normal 4 2 2 2 4 8" xfId="2552" xr:uid="{00000000-0005-0000-0000-000055080000}"/>
    <cellStyle name="Normal 4 2 2 2 4 9" xfId="2553" xr:uid="{00000000-0005-0000-0000-000056080000}"/>
    <cellStyle name="Normal 4 2 2 2 5" xfId="2554" xr:uid="{00000000-0005-0000-0000-000057080000}"/>
    <cellStyle name="Normal 4 2 2 2 5 2" xfId="2555" xr:uid="{00000000-0005-0000-0000-000058080000}"/>
    <cellStyle name="Normal 4 2 2 2 5 2 2" xfId="2556" xr:uid="{00000000-0005-0000-0000-000059080000}"/>
    <cellStyle name="Normal 4 2 2 2 5 2 2 2" xfId="2557" xr:uid="{00000000-0005-0000-0000-00005A080000}"/>
    <cellStyle name="Normal 4 2 2 2 5 2 2 2 2" xfId="2558" xr:uid="{00000000-0005-0000-0000-00005B080000}"/>
    <cellStyle name="Normal 4 2 2 2 5 2 2 2 3" xfId="2559" xr:uid="{00000000-0005-0000-0000-00005C080000}"/>
    <cellStyle name="Normal 4 2 2 2 5 2 2 3" xfId="2560" xr:uid="{00000000-0005-0000-0000-00005D080000}"/>
    <cellStyle name="Normal 4 2 2 2 5 2 2 4" xfId="2561" xr:uid="{00000000-0005-0000-0000-00005E080000}"/>
    <cellStyle name="Normal 4 2 2 2 5 2 2 5" xfId="2562" xr:uid="{00000000-0005-0000-0000-00005F080000}"/>
    <cellStyle name="Normal 4 2 2 2 5 2 3" xfId="2563" xr:uid="{00000000-0005-0000-0000-000060080000}"/>
    <cellStyle name="Normal 4 2 2 2 5 2 3 2" xfId="2564" xr:uid="{00000000-0005-0000-0000-000061080000}"/>
    <cellStyle name="Normal 4 2 2 2 5 2 3 2 2" xfId="2565" xr:uid="{00000000-0005-0000-0000-000062080000}"/>
    <cellStyle name="Normal 4 2 2 2 5 2 3 2 3" xfId="2566" xr:uid="{00000000-0005-0000-0000-000063080000}"/>
    <cellStyle name="Normal 4 2 2 2 5 2 3 3" xfId="2567" xr:uid="{00000000-0005-0000-0000-000064080000}"/>
    <cellStyle name="Normal 4 2 2 2 5 2 3 4" xfId="2568" xr:uid="{00000000-0005-0000-0000-000065080000}"/>
    <cellStyle name="Normal 4 2 2 2 5 2 3 5" xfId="2569" xr:uid="{00000000-0005-0000-0000-000066080000}"/>
    <cellStyle name="Normal 4 2 2 2 5 2 4" xfId="2570" xr:uid="{00000000-0005-0000-0000-000067080000}"/>
    <cellStyle name="Normal 4 2 2 2 5 2 4 2" xfId="2571" xr:uid="{00000000-0005-0000-0000-000068080000}"/>
    <cellStyle name="Normal 4 2 2 2 5 2 4 3" xfId="2572" xr:uid="{00000000-0005-0000-0000-000069080000}"/>
    <cellStyle name="Normal 4 2 2 2 5 2 5" xfId="2573" xr:uid="{00000000-0005-0000-0000-00006A080000}"/>
    <cellStyle name="Normal 4 2 2 2 5 2 6" xfId="2574" xr:uid="{00000000-0005-0000-0000-00006B080000}"/>
    <cellStyle name="Normal 4 2 2 2 5 2 7" xfId="2575" xr:uid="{00000000-0005-0000-0000-00006C080000}"/>
    <cellStyle name="Normal 4 2 2 2 5 3" xfId="2576" xr:uid="{00000000-0005-0000-0000-00006D080000}"/>
    <cellStyle name="Normal 4 2 2 2 5 3 2" xfId="2577" xr:uid="{00000000-0005-0000-0000-00006E080000}"/>
    <cellStyle name="Normal 4 2 2 2 5 3 2 2" xfId="2578" xr:uid="{00000000-0005-0000-0000-00006F080000}"/>
    <cellStyle name="Normal 4 2 2 2 5 3 2 3" xfId="2579" xr:uid="{00000000-0005-0000-0000-000070080000}"/>
    <cellStyle name="Normal 4 2 2 2 5 3 3" xfId="2580" xr:uid="{00000000-0005-0000-0000-000071080000}"/>
    <cellStyle name="Normal 4 2 2 2 5 3 4" xfId="2581" xr:uid="{00000000-0005-0000-0000-000072080000}"/>
    <cellStyle name="Normal 4 2 2 2 5 3 5" xfId="2582" xr:uid="{00000000-0005-0000-0000-000073080000}"/>
    <cellStyle name="Normal 4 2 2 2 5 4" xfId="2583" xr:uid="{00000000-0005-0000-0000-000074080000}"/>
    <cellStyle name="Normal 4 2 2 2 5 4 2" xfId="2584" xr:uid="{00000000-0005-0000-0000-000075080000}"/>
    <cellStyle name="Normal 4 2 2 2 5 4 2 2" xfId="2585" xr:uid="{00000000-0005-0000-0000-000076080000}"/>
    <cellStyle name="Normal 4 2 2 2 5 4 2 3" xfId="2586" xr:uid="{00000000-0005-0000-0000-000077080000}"/>
    <cellStyle name="Normal 4 2 2 2 5 4 3" xfId="2587" xr:uid="{00000000-0005-0000-0000-000078080000}"/>
    <cellStyle name="Normal 4 2 2 2 5 4 4" xfId="2588" xr:uid="{00000000-0005-0000-0000-000079080000}"/>
    <cellStyle name="Normal 4 2 2 2 5 4 5" xfId="2589" xr:uid="{00000000-0005-0000-0000-00007A080000}"/>
    <cellStyle name="Normal 4 2 2 2 5 5" xfId="2590" xr:uid="{00000000-0005-0000-0000-00007B080000}"/>
    <cellStyle name="Normal 4 2 2 2 5 5 2" xfId="2591" xr:uid="{00000000-0005-0000-0000-00007C080000}"/>
    <cellStyle name="Normal 4 2 2 2 5 5 3" xfId="2592" xr:uid="{00000000-0005-0000-0000-00007D080000}"/>
    <cellStyle name="Normal 4 2 2 2 5 6" xfId="2593" xr:uid="{00000000-0005-0000-0000-00007E080000}"/>
    <cellStyle name="Normal 4 2 2 2 5 7" xfId="2594" xr:uid="{00000000-0005-0000-0000-00007F080000}"/>
    <cellStyle name="Normal 4 2 2 2 5 8" xfId="2595" xr:uid="{00000000-0005-0000-0000-000080080000}"/>
    <cellStyle name="Normal 4 2 2 2 6" xfId="2596" xr:uid="{00000000-0005-0000-0000-000081080000}"/>
    <cellStyle name="Normal 4 2 2 2 6 2" xfId="2597" xr:uid="{00000000-0005-0000-0000-000082080000}"/>
    <cellStyle name="Normal 4 2 2 2 6 2 2" xfId="2598" xr:uid="{00000000-0005-0000-0000-000083080000}"/>
    <cellStyle name="Normal 4 2 2 2 6 2 2 2" xfId="2599" xr:uid="{00000000-0005-0000-0000-000084080000}"/>
    <cellStyle name="Normal 4 2 2 2 6 2 2 3" xfId="2600" xr:uid="{00000000-0005-0000-0000-000085080000}"/>
    <cellStyle name="Normal 4 2 2 2 6 2 3" xfId="2601" xr:uid="{00000000-0005-0000-0000-000086080000}"/>
    <cellStyle name="Normal 4 2 2 2 6 2 4" xfId="2602" xr:uid="{00000000-0005-0000-0000-000087080000}"/>
    <cellStyle name="Normal 4 2 2 2 6 2 5" xfId="2603" xr:uid="{00000000-0005-0000-0000-000088080000}"/>
    <cellStyle name="Normal 4 2 2 2 6 3" xfId="2604" xr:uid="{00000000-0005-0000-0000-000089080000}"/>
    <cellStyle name="Normal 4 2 2 2 6 3 2" xfId="2605" xr:uid="{00000000-0005-0000-0000-00008A080000}"/>
    <cellStyle name="Normal 4 2 2 2 6 3 2 2" xfId="2606" xr:uid="{00000000-0005-0000-0000-00008B080000}"/>
    <cellStyle name="Normal 4 2 2 2 6 3 2 3" xfId="2607" xr:uid="{00000000-0005-0000-0000-00008C080000}"/>
    <cellStyle name="Normal 4 2 2 2 6 3 3" xfId="2608" xr:uid="{00000000-0005-0000-0000-00008D080000}"/>
    <cellStyle name="Normal 4 2 2 2 6 3 4" xfId="2609" xr:uid="{00000000-0005-0000-0000-00008E080000}"/>
    <cellStyle name="Normal 4 2 2 2 6 3 5" xfId="2610" xr:uid="{00000000-0005-0000-0000-00008F080000}"/>
    <cellStyle name="Normal 4 2 2 2 6 4" xfId="2611" xr:uid="{00000000-0005-0000-0000-000090080000}"/>
    <cellStyle name="Normal 4 2 2 2 6 4 2" xfId="2612" xr:uid="{00000000-0005-0000-0000-000091080000}"/>
    <cellStyle name="Normal 4 2 2 2 6 4 3" xfId="2613" xr:uid="{00000000-0005-0000-0000-000092080000}"/>
    <cellStyle name="Normal 4 2 2 2 6 5" xfId="2614" xr:uid="{00000000-0005-0000-0000-000093080000}"/>
    <cellStyle name="Normal 4 2 2 2 6 6" xfId="2615" xr:uid="{00000000-0005-0000-0000-000094080000}"/>
    <cellStyle name="Normal 4 2 2 2 6 7" xfId="2616" xr:uid="{00000000-0005-0000-0000-000095080000}"/>
    <cellStyle name="Normal 4 2 2 2 7" xfId="2617" xr:uid="{00000000-0005-0000-0000-000096080000}"/>
    <cellStyle name="Normal 4 2 2 2 7 2" xfId="2618" xr:uid="{00000000-0005-0000-0000-000097080000}"/>
    <cellStyle name="Normal 4 2 2 2 7 2 2" xfId="2619" xr:uid="{00000000-0005-0000-0000-000098080000}"/>
    <cellStyle name="Normal 4 2 2 2 7 2 2 2" xfId="2620" xr:uid="{00000000-0005-0000-0000-000099080000}"/>
    <cellStyle name="Normal 4 2 2 2 7 2 2 3" xfId="2621" xr:uid="{00000000-0005-0000-0000-00009A080000}"/>
    <cellStyle name="Normal 4 2 2 2 7 2 3" xfId="2622" xr:uid="{00000000-0005-0000-0000-00009B080000}"/>
    <cellStyle name="Normal 4 2 2 2 7 2 4" xfId="2623" xr:uid="{00000000-0005-0000-0000-00009C080000}"/>
    <cellStyle name="Normal 4 2 2 2 7 2 5" xfId="2624" xr:uid="{00000000-0005-0000-0000-00009D080000}"/>
    <cellStyle name="Normal 4 2 2 2 7 3" xfId="2625" xr:uid="{00000000-0005-0000-0000-00009E080000}"/>
    <cellStyle name="Normal 4 2 2 2 7 3 2" xfId="2626" xr:uid="{00000000-0005-0000-0000-00009F080000}"/>
    <cellStyle name="Normal 4 2 2 2 7 3 2 2" xfId="2627" xr:uid="{00000000-0005-0000-0000-0000A0080000}"/>
    <cellStyle name="Normal 4 2 2 2 7 3 2 3" xfId="2628" xr:uid="{00000000-0005-0000-0000-0000A1080000}"/>
    <cellStyle name="Normal 4 2 2 2 7 3 3" xfId="2629" xr:uid="{00000000-0005-0000-0000-0000A2080000}"/>
    <cellStyle name="Normal 4 2 2 2 7 3 4" xfId="2630" xr:uid="{00000000-0005-0000-0000-0000A3080000}"/>
    <cellStyle name="Normal 4 2 2 2 7 3 5" xfId="2631" xr:uid="{00000000-0005-0000-0000-0000A4080000}"/>
    <cellStyle name="Normal 4 2 2 2 7 4" xfId="2632" xr:uid="{00000000-0005-0000-0000-0000A5080000}"/>
    <cellStyle name="Normal 4 2 2 2 7 4 2" xfId="2633" xr:uid="{00000000-0005-0000-0000-0000A6080000}"/>
    <cellStyle name="Normal 4 2 2 2 7 4 3" xfId="2634" xr:uid="{00000000-0005-0000-0000-0000A7080000}"/>
    <cellStyle name="Normal 4 2 2 2 7 5" xfId="2635" xr:uid="{00000000-0005-0000-0000-0000A8080000}"/>
    <cellStyle name="Normal 4 2 2 2 7 6" xfId="2636" xr:uid="{00000000-0005-0000-0000-0000A9080000}"/>
    <cellStyle name="Normal 4 2 2 2 7 7" xfId="2637" xr:uid="{00000000-0005-0000-0000-0000AA080000}"/>
    <cellStyle name="Normal 4 2 2 2 8" xfId="2638" xr:uid="{00000000-0005-0000-0000-0000AB080000}"/>
    <cellStyle name="Normal 4 2 2 2 8 2" xfId="2639" xr:uid="{00000000-0005-0000-0000-0000AC080000}"/>
    <cellStyle name="Normal 4 2 2 2 8 2 2" xfId="2640" xr:uid="{00000000-0005-0000-0000-0000AD080000}"/>
    <cellStyle name="Normal 4 2 2 2 8 2 3" xfId="2641" xr:uid="{00000000-0005-0000-0000-0000AE080000}"/>
    <cellStyle name="Normal 4 2 2 2 8 3" xfId="2642" xr:uid="{00000000-0005-0000-0000-0000AF080000}"/>
    <cellStyle name="Normal 4 2 2 2 8 4" xfId="2643" xr:uid="{00000000-0005-0000-0000-0000B0080000}"/>
    <cellStyle name="Normal 4 2 2 2 8 5" xfId="2644" xr:uid="{00000000-0005-0000-0000-0000B1080000}"/>
    <cellStyle name="Normal 4 2 2 2 9" xfId="2645" xr:uid="{00000000-0005-0000-0000-0000B2080000}"/>
    <cellStyle name="Normal 4 2 2 2 9 2" xfId="2646" xr:uid="{00000000-0005-0000-0000-0000B3080000}"/>
    <cellStyle name="Normal 4 2 2 2 9 2 2" xfId="2647" xr:uid="{00000000-0005-0000-0000-0000B4080000}"/>
    <cellStyle name="Normal 4 2 2 2 9 2 3" xfId="2648" xr:uid="{00000000-0005-0000-0000-0000B5080000}"/>
    <cellStyle name="Normal 4 2 2 2 9 3" xfId="2649" xr:uid="{00000000-0005-0000-0000-0000B6080000}"/>
    <cellStyle name="Normal 4 2 2 2 9 4" xfId="2650" xr:uid="{00000000-0005-0000-0000-0000B7080000}"/>
    <cellStyle name="Normal 4 2 2 2 9 5" xfId="2651" xr:uid="{00000000-0005-0000-0000-0000B8080000}"/>
    <cellStyle name="Normal 4 2 2 3" xfId="2652" xr:uid="{00000000-0005-0000-0000-0000B9080000}"/>
    <cellStyle name="Normal 4 2 2 3 2" xfId="2653" xr:uid="{00000000-0005-0000-0000-0000BA080000}"/>
    <cellStyle name="Normal 4 2 2 3 2 2" xfId="2654" xr:uid="{00000000-0005-0000-0000-0000BB080000}"/>
    <cellStyle name="Normal 4 2 2 3 2 2 2" xfId="2655" xr:uid="{00000000-0005-0000-0000-0000BC080000}"/>
    <cellStyle name="Normal 4 2 2 3 2 2 2 2" xfId="2656" xr:uid="{00000000-0005-0000-0000-0000BD080000}"/>
    <cellStyle name="Normal 4 2 2 3 2 2 2 2 2" xfId="2657" xr:uid="{00000000-0005-0000-0000-0000BE080000}"/>
    <cellStyle name="Normal 4 2 2 3 2 2 2 2 3" xfId="2658" xr:uid="{00000000-0005-0000-0000-0000BF080000}"/>
    <cellStyle name="Normal 4 2 2 3 2 2 2 3" xfId="2659" xr:uid="{00000000-0005-0000-0000-0000C0080000}"/>
    <cellStyle name="Normal 4 2 2 3 2 2 2 4" xfId="2660" xr:uid="{00000000-0005-0000-0000-0000C1080000}"/>
    <cellStyle name="Normal 4 2 2 3 2 2 2 5" xfId="2661" xr:uid="{00000000-0005-0000-0000-0000C2080000}"/>
    <cellStyle name="Normal 4 2 2 3 2 2 3" xfId="2662" xr:uid="{00000000-0005-0000-0000-0000C3080000}"/>
    <cellStyle name="Normal 4 2 2 3 2 2 3 2" xfId="2663" xr:uid="{00000000-0005-0000-0000-0000C4080000}"/>
    <cellStyle name="Normal 4 2 2 3 2 2 3 2 2" xfId="2664" xr:uid="{00000000-0005-0000-0000-0000C5080000}"/>
    <cellStyle name="Normal 4 2 2 3 2 2 3 2 3" xfId="2665" xr:uid="{00000000-0005-0000-0000-0000C6080000}"/>
    <cellStyle name="Normal 4 2 2 3 2 2 3 3" xfId="2666" xr:uid="{00000000-0005-0000-0000-0000C7080000}"/>
    <cellStyle name="Normal 4 2 2 3 2 2 3 4" xfId="2667" xr:uid="{00000000-0005-0000-0000-0000C8080000}"/>
    <cellStyle name="Normal 4 2 2 3 2 2 3 5" xfId="2668" xr:uid="{00000000-0005-0000-0000-0000C9080000}"/>
    <cellStyle name="Normal 4 2 2 3 2 2 4" xfId="2669" xr:uid="{00000000-0005-0000-0000-0000CA080000}"/>
    <cellStyle name="Normal 4 2 2 3 2 2 4 2" xfId="2670" xr:uid="{00000000-0005-0000-0000-0000CB080000}"/>
    <cellStyle name="Normal 4 2 2 3 2 2 4 3" xfId="2671" xr:uid="{00000000-0005-0000-0000-0000CC080000}"/>
    <cellStyle name="Normal 4 2 2 3 2 2 5" xfId="2672" xr:uid="{00000000-0005-0000-0000-0000CD080000}"/>
    <cellStyle name="Normal 4 2 2 3 2 2 6" xfId="2673" xr:uid="{00000000-0005-0000-0000-0000CE080000}"/>
    <cellStyle name="Normal 4 2 2 3 2 2 7" xfId="2674" xr:uid="{00000000-0005-0000-0000-0000CF080000}"/>
    <cellStyle name="Normal 4 2 2 3 2 3" xfId="2675" xr:uid="{00000000-0005-0000-0000-0000D0080000}"/>
    <cellStyle name="Normal 4 2 2 3 2 3 2" xfId="2676" xr:uid="{00000000-0005-0000-0000-0000D1080000}"/>
    <cellStyle name="Normal 4 2 2 3 2 3 2 2" xfId="2677" xr:uid="{00000000-0005-0000-0000-0000D2080000}"/>
    <cellStyle name="Normal 4 2 2 3 2 3 2 3" xfId="2678" xr:uid="{00000000-0005-0000-0000-0000D3080000}"/>
    <cellStyle name="Normal 4 2 2 3 2 3 3" xfId="2679" xr:uid="{00000000-0005-0000-0000-0000D4080000}"/>
    <cellStyle name="Normal 4 2 2 3 2 3 4" xfId="2680" xr:uid="{00000000-0005-0000-0000-0000D5080000}"/>
    <cellStyle name="Normal 4 2 2 3 2 3 5" xfId="2681" xr:uid="{00000000-0005-0000-0000-0000D6080000}"/>
    <cellStyle name="Normal 4 2 2 3 2 4" xfId="2682" xr:uid="{00000000-0005-0000-0000-0000D7080000}"/>
    <cellStyle name="Normal 4 2 2 3 2 4 2" xfId="2683" xr:uid="{00000000-0005-0000-0000-0000D8080000}"/>
    <cellStyle name="Normal 4 2 2 3 2 4 2 2" xfId="2684" xr:uid="{00000000-0005-0000-0000-0000D9080000}"/>
    <cellStyle name="Normal 4 2 2 3 2 4 2 3" xfId="2685" xr:uid="{00000000-0005-0000-0000-0000DA080000}"/>
    <cellStyle name="Normal 4 2 2 3 2 4 3" xfId="2686" xr:uid="{00000000-0005-0000-0000-0000DB080000}"/>
    <cellStyle name="Normal 4 2 2 3 2 4 4" xfId="2687" xr:uid="{00000000-0005-0000-0000-0000DC080000}"/>
    <cellStyle name="Normal 4 2 2 3 2 4 5" xfId="2688" xr:uid="{00000000-0005-0000-0000-0000DD080000}"/>
    <cellStyle name="Normal 4 2 2 3 2 5" xfId="2689" xr:uid="{00000000-0005-0000-0000-0000DE080000}"/>
    <cellStyle name="Normal 4 2 2 3 2 5 2" xfId="2690" xr:uid="{00000000-0005-0000-0000-0000DF080000}"/>
    <cellStyle name="Normal 4 2 2 3 2 5 3" xfId="2691" xr:uid="{00000000-0005-0000-0000-0000E0080000}"/>
    <cellStyle name="Normal 4 2 2 3 2 6" xfId="2692" xr:uid="{00000000-0005-0000-0000-0000E1080000}"/>
    <cellStyle name="Normal 4 2 2 3 2 7" xfId="2693" xr:uid="{00000000-0005-0000-0000-0000E2080000}"/>
    <cellStyle name="Normal 4 2 2 3 2 8" xfId="2694" xr:uid="{00000000-0005-0000-0000-0000E3080000}"/>
    <cellStyle name="Normal 4 2 2 3 3" xfId="2695" xr:uid="{00000000-0005-0000-0000-0000E4080000}"/>
    <cellStyle name="Normal 4 2 2 3 3 2" xfId="2696" xr:uid="{00000000-0005-0000-0000-0000E5080000}"/>
    <cellStyle name="Normal 4 2 2 3 3 2 2" xfId="2697" xr:uid="{00000000-0005-0000-0000-0000E6080000}"/>
    <cellStyle name="Normal 4 2 2 3 3 2 2 2" xfId="2698" xr:uid="{00000000-0005-0000-0000-0000E7080000}"/>
    <cellStyle name="Normal 4 2 2 3 3 2 2 3" xfId="2699" xr:uid="{00000000-0005-0000-0000-0000E8080000}"/>
    <cellStyle name="Normal 4 2 2 3 3 2 3" xfId="2700" xr:uid="{00000000-0005-0000-0000-0000E9080000}"/>
    <cellStyle name="Normal 4 2 2 3 3 2 4" xfId="2701" xr:uid="{00000000-0005-0000-0000-0000EA080000}"/>
    <cellStyle name="Normal 4 2 2 3 3 2 5" xfId="2702" xr:uid="{00000000-0005-0000-0000-0000EB080000}"/>
    <cellStyle name="Normal 4 2 2 3 3 3" xfId="2703" xr:uid="{00000000-0005-0000-0000-0000EC080000}"/>
    <cellStyle name="Normal 4 2 2 3 3 3 2" xfId="2704" xr:uid="{00000000-0005-0000-0000-0000ED080000}"/>
    <cellStyle name="Normal 4 2 2 3 3 3 2 2" xfId="2705" xr:uid="{00000000-0005-0000-0000-0000EE080000}"/>
    <cellStyle name="Normal 4 2 2 3 3 3 2 3" xfId="2706" xr:uid="{00000000-0005-0000-0000-0000EF080000}"/>
    <cellStyle name="Normal 4 2 2 3 3 3 3" xfId="2707" xr:uid="{00000000-0005-0000-0000-0000F0080000}"/>
    <cellStyle name="Normal 4 2 2 3 3 3 4" xfId="2708" xr:uid="{00000000-0005-0000-0000-0000F1080000}"/>
    <cellStyle name="Normal 4 2 2 3 3 3 5" xfId="2709" xr:uid="{00000000-0005-0000-0000-0000F2080000}"/>
    <cellStyle name="Normal 4 2 2 3 3 4" xfId="2710" xr:uid="{00000000-0005-0000-0000-0000F3080000}"/>
    <cellStyle name="Normal 4 2 2 3 3 4 2" xfId="2711" xr:uid="{00000000-0005-0000-0000-0000F4080000}"/>
    <cellStyle name="Normal 4 2 2 3 3 4 3" xfId="2712" xr:uid="{00000000-0005-0000-0000-0000F5080000}"/>
    <cellStyle name="Normal 4 2 2 3 3 5" xfId="2713" xr:uid="{00000000-0005-0000-0000-0000F6080000}"/>
    <cellStyle name="Normal 4 2 2 3 3 6" xfId="2714" xr:uid="{00000000-0005-0000-0000-0000F7080000}"/>
    <cellStyle name="Normal 4 2 2 3 3 7" xfId="2715" xr:uid="{00000000-0005-0000-0000-0000F8080000}"/>
    <cellStyle name="Normal 4 2 2 3 4" xfId="2716" xr:uid="{00000000-0005-0000-0000-0000F9080000}"/>
    <cellStyle name="Normal 4 2 2 3 4 2" xfId="2717" xr:uid="{00000000-0005-0000-0000-0000FA080000}"/>
    <cellStyle name="Normal 4 2 2 3 4 2 2" xfId="2718" xr:uid="{00000000-0005-0000-0000-0000FB080000}"/>
    <cellStyle name="Normal 4 2 2 3 4 2 3" xfId="2719" xr:uid="{00000000-0005-0000-0000-0000FC080000}"/>
    <cellStyle name="Normal 4 2 2 3 4 3" xfId="2720" xr:uid="{00000000-0005-0000-0000-0000FD080000}"/>
    <cellStyle name="Normal 4 2 2 3 4 4" xfId="2721" xr:uid="{00000000-0005-0000-0000-0000FE080000}"/>
    <cellStyle name="Normal 4 2 2 3 4 5" xfId="2722" xr:uid="{00000000-0005-0000-0000-0000FF080000}"/>
    <cellStyle name="Normal 4 2 2 3 5" xfId="2723" xr:uid="{00000000-0005-0000-0000-000000090000}"/>
    <cellStyle name="Normal 4 2 2 3 5 2" xfId="2724" xr:uid="{00000000-0005-0000-0000-000001090000}"/>
    <cellStyle name="Normal 4 2 2 3 5 2 2" xfId="2725" xr:uid="{00000000-0005-0000-0000-000002090000}"/>
    <cellStyle name="Normal 4 2 2 3 5 2 3" xfId="2726" xr:uid="{00000000-0005-0000-0000-000003090000}"/>
    <cellStyle name="Normal 4 2 2 3 5 3" xfId="2727" xr:uid="{00000000-0005-0000-0000-000004090000}"/>
    <cellStyle name="Normal 4 2 2 3 5 4" xfId="2728" xr:uid="{00000000-0005-0000-0000-000005090000}"/>
    <cellStyle name="Normal 4 2 2 3 5 5" xfId="2729" xr:uid="{00000000-0005-0000-0000-000006090000}"/>
    <cellStyle name="Normal 4 2 2 3 6" xfId="2730" xr:uid="{00000000-0005-0000-0000-000007090000}"/>
    <cellStyle name="Normal 4 2 2 3 6 2" xfId="2731" xr:uid="{00000000-0005-0000-0000-000008090000}"/>
    <cellStyle name="Normal 4 2 2 3 6 3" xfId="2732" xr:uid="{00000000-0005-0000-0000-000009090000}"/>
    <cellStyle name="Normal 4 2 2 3 7" xfId="2733" xr:uid="{00000000-0005-0000-0000-00000A090000}"/>
    <cellStyle name="Normal 4 2 2 3 8" xfId="2734" xr:uid="{00000000-0005-0000-0000-00000B090000}"/>
    <cellStyle name="Normal 4 2 2 3 9" xfId="2735" xr:uid="{00000000-0005-0000-0000-00000C090000}"/>
    <cellStyle name="Normal 4 2 2 4" xfId="2736" xr:uid="{00000000-0005-0000-0000-00000D090000}"/>
    <cellStyle name="Normal 4 2 2 4 2" xfId="2737" xr:uid="{00000000-0005-0000-0000-00000E090000}"/>
    <cellStyle name="Normal 4 2 2 4 2 2" xfId="2738" xr:uid="{00000000-0005-0000-0000-00000F090000}"/>
    <cellStyle name="Normal 4 2 2 4 2 2 2" xfId="2739" xr:uid="{00000000-0005-0000-0000-000010090000}"/>
    <cellStyle name="Normal 4 2 2 4 2 2 2 2" xfId="2740" xr:uid="{00000000-0005-0000-0000-000011090000}"/>
    <cellStyle name="Normal 4 2 2 4 2 2 2 2 2" xfId="2741" xr:uid="{00000000-0005-0000-0000-000012090000}"/>
    <cellStyle name="Normal 4 2 2 4 2 2 2 2 3" xfId="2742" xr:uid="{00000000-0005-0000-0000-000013090000}"/>
    <cellStyle name="Normal 4 2 2 4 2 2 2 3" xfId="2743" xr:uid="{00000000-0005-0000-0000-000014090000}"/>
    <cellStyle name="Normal 4 2 2 4 2 2 2 4" xfId="2744" xr:uid="{00000000-0005-0000-0000-000015090000}"/>
    <cellStyle name="Normal 4 2 2 4 2 2 2 5" xfId="2745" xr:uid="{00000000-0005-0000-0000-000016090000}"/>
    <cellStyle name="Normal 4 2 2 4 2 2 3" xfId="2746" xr:uid="{00000000-0005-0000-0000-000017090000}"/>
    <cellStyle name="Normal 4 2 2 4 2 2 3 2" xfId="2747" xr:uid="{00000000-0005-0000-0000-000018090000}"/>
    <cellStyle name="Normal 4 2 2 4 2 2 3 2 2" xfId="2748" xr:uid="{00000000-0005-0000-0000-000019090000}"/>
    <cellStyle name="Normal 4 2 2 4 2 2 3 2 3" xfId="2749" xr:uid="{00000000-0005-0000-0000-00001A090000}"/>
    <cellStyle name="Normal 4 2 2 4 2 2 3 3" xfId="2750" xr:uid="{00000000-0005-0000-0000-00001B090000}"/>
    <cellStyle name="Normal 4 2 2 4 2 2 3 4" xfId="2751" xr:uid="{00000000-0005-0000-0000-00001C090000}"/>
    <cellStyle name="Normal 4 2 2 4 2 2 3 5" xfId="2752" xr:uid="{00000000-0005-0000-0000-00001D090000}"/>
    <cellStyle name="Normal 4 2 2 4 2 2 4" xfId="2753" xr:uid="{00000000-0005-0000-0000-00001E090000}"/>
    <cellStyle name="Normal 4 2 2 4 2 2 4 2" xfId="2754" xr:uid="{00000000-0005-0000-0000-00001F090000}"/>
    <cellStyle name="Normal 4 2 2 4 2 2 4 3" xfId="2755" xr:uid="{00000000-0005-0000-0000-000020090000}"/>
    <cellStyle name="Normal 4 2 2 4 2 2 5" xfId="2756" xr:uid="{00000000-0005-0000-0000-000021090000}"/>
    <cellStyle name="Normal 4 2 2 4 2 2 6" xfId="2757" xr:uid="{00000000-0005-0000-0000-000022090000}"/>
    <cellStyle name="Normal 4 2 2 4 2 2 7" xfId="2758" xr:uid="{00000000-0005-0000-0000-000023090000}"/>
    <cellStyle name="Normal 4 2 2 4 2 3" xfId="2759" xr:uid="{00000000-0005-0000-0000-000024090000}"/>
    <cellStyle name="Normal 4 2 2 4 2 3 2" xfId="2760" xr:uid="{00000000-0005-0000-0000-000025090000}"/>
    <cellStyle name="Normal 4 2 2 4 2 3 2 2" xfId="2761" xr:uid="{00000000-0005-0000-0000-000026090000}"/>
    <cellStyle name="Normal 4 2 2 4 2 3 2 3" xfId="2762" xr:uid="{00000000-0005-0000-0000-000027090000}"/>
    <cellStyle name="Normal 4 2 2 4 2 3 3" xfId="2763" xr:uid="{00000000-0005-0000-0000-000028090000}"/>
    <cellStyle name="Normal 4 2 2 4 2 3 4" xfId="2764" xr:uid="{00000000-0005-0000-0000-000029090000}"/>
    <cellStyle name="Normal 4 2 2 4 2 3 5" xfId="2765" xr:uid="{00000000-0005-0000-0000-00002A090000}"/>
    <cellStyle name="Normal 4 2 2 4 2 4" xfId="2766" xr:uid="{00000000-0005-0000-0000-00002B090000}"/>
    <cellStyle name="Normal 4 2 2 4 2 4 2" xfId="2767" xr:uid="{00000000-0005-0000-0000-00002C090000}"/>
    <cellStyle name="Normal 4 2 2 4 2 4 2 2" xfId="2768" xr:uid="{00000000-0005-0000-0000-00002D090000}"/>
    <cellStyle name="Normal 4 2 2 4 2 4 2 3" xfId="2769" xr:uid="{00000000-0005-0000-0000-00002E090000}"/>
    <cellStyle name="Normal 4 2 2 4 2 4 3" xfId="2770" xr:uid="{00000000-0005-0000-0000-00002F090000}"/>
    <cellStyle name="Normal 4 2 2 4 2 4 4" xfId="2771" xr:uid="{00000000-0005-0000-0000-000030090000}"/>
    <cellStyle name="Normal 4 2 2 4 2 4 5" xfId="2772" xr:uid="{00000000-0005-0000-0000-000031090000}"/>
    <cellStyle name="Normal 4 2 2 4 2 5" xfId="2773" xr:uid="{00000000-0005-0000-0000-000032090000}"/>
    <cellStyle name="Normal 4 2 2 4 2 5 2" xfId="2774" xr:uid="{00000000-0005-0000-0000-000033090000}"/>
    <cellStyle name="Normal 4 2 2 4 2 5 3" xfId="2775" xr:uid="{00000000-0005-0000-0000-000034090000}"/>
    <cellStyle name="Normal 4 2 2 4 2 6" xfId="2776" xr:uid="{00000000-0005-0000-0000-000035090000}"/>
    <cellStyle name="Normal 4 2 2 4 2 7" xfId="2777" xr:uid="{00000000-0005-0000-0000-000036090000}"/>
    <cellStyle name="Normal 4 2 2 4 2 8" xfId="2778" xr:uid="{00000000-0005-0000-0000-000037090000}"/>
    <cellStyle name="Normal 4 2 2 4 3" xfId="2779" xr:uid="{00000000-0005-0000-0000-000038090000}"/>
    <cellStyle name="Normal 4 2 2 4 3 2" xfId="2780" xr:uid="{00000000-0005-0000-0000-000039090000}"/>
    <cellStyle name="Normal 4 2 2 4 3 2 2" xfId="2781" xr:uid="{00000000-0005-0000-0000-00003A090000}"/>
    <cellStyle name="Normal 4 2 2 4 3 2 2 2" xfId="2782" xr:uid="{00000000-0005-0000-0000-00003B090000}"/>
    <cellStyle name="Normal 4 2 2 4 3 2 2 3" xfId="2783" xr:uid="{00000000-0005-0000-0000-00003C090000}"/>
    <cellStyle name="Normal 4 2 2 4 3 2 3" xfId="2784" xr:uid="{00000000-0005-0000-0000-00003D090000}"/>
    <cellStyle name="Normal 4 2 2 4 3 2 4" xfId="2785" xr:uid="{00000000-0005-0000-0000-00003E090000}"/>
    <cellStyle name="Normal 4 2 2 4 3 2 5" xfId="2786" xr:uid="{00000000-0005-0000-0000-00003F090000}"/>
    <cellStyle name="Normal 4 2 2 4 3 3" xfId="2787" xr:uid="{00000000-0005-0000-0000-000040090000}"/>
    <cellStyle name="Normal 4 2 2 4 3 3 2" xfId="2788" xr:uid="{00000000-0005-0000-0000-000041090000}"/>
    <cellStyle name="Normal 4 2 2 4 3 3 2 2" xfId="2789" xr:uid="{00000000-0005-0000-0000-000042090000}"/>
    <cellStyle name="Normal 4 2 2 4 3 3 2 3" xfId="2790" xr:uid="{00000000-0005-0000-0000-000043090000}"/>
    <cellStyle name="Normal 4 2 2 4 3 3 3" xfId="2791" xr:uid="{00000000-0005-0000-0000-000044090000}"/>
    <cellStyle name="Normal 4 2 2 4 3 3 4" xfId="2792" xr:uid="{00000000-0005-0000-0000-000045090000}"/>
    <cellStyle name="Normal 4 2 2 4 3 3 5" xfId="2793" xr:uid="{00000000-0005-0000-0000-000046090000}"/>
    <cellStyle name="Normal 4 2 2 4 3 4" xfId="2794" xr:uid="{00000000-0005-0000-0000-000047090000}"/>
    <cellStyle name="Normal 4 2 2 4 3 4 2" xfId="2795" xr:uid="{00000000-0005-0000-0000-000048090000}"/>
    <cellStyle name="Normal 4 2 2 4 3 4 3" xfId="2796" xr:uid="{00000000-0005-0000-0000-000049090000}"/>
    <cellStyle name="Normal 4 2 2 4 3 5" xfId="2797" xr:uid="{00000000-0005-0000-0000-00004A090000}"/>
    <cellStyle name="Normal 4 2 2 4 3 6" xfId="2798" xr:uid="{00000000-0005-0000-0000-00004B090000}"/>
    <cellStyle name="Normal 4 2 2 4 3 7" xfId="2799" xr:uid="{00000000-0005-0000-0000-00004C090000}"/>
    <cellStyle name="Normal 4 2 2 4 4" xfId="2800" xr:uid="{00000000-0005-0000-0000-00004D090000}"/>
    <cellStyle name="Normal 4 2 2 4 4 2" xfId="2801" xr:uid="{00000000-0005-0000-0000-00004E090000}"/>
    <cellStyle name="Normal 4 2 2 4 4 2 2" xfId="2802" xr:uid="{00000000-0005-0000-0000-00004F090000}"/>
    <cellStyle name="Normal 4 2 2 4 4 2 3" xfId="2803" xr:uid="{00000000-0005-0000-0000-000050090000}"/>
    <cellStyle name="Normal 4 2 2 4 4 3" xfId="2804" xr:uid="{00000000-0005-0000-0000-000051090000}"/>
    <cellStyle name="Normal 4 2 2 4 4 4" xfId="2805" xr:uid="{00000000-0005-0000-0000-000052090000}"/>
    <cellStyle name="Normal 4 2 2 4 4 5" xfId="2806" xr:uid="{00000000-0005-0000-0000-000053090000}"/>
    <cellStyle name="Normal 4 2 2 4 5" xfId="2807" xr:uid="{00000000-0005-0000-0000-000054090000}"/>
    <cellStyle name="Normal 4 2 2 4 5 2" xfId="2808" xr:uid="{00000000-0005-0000-0000-000055090000}"/>
    <cellStyle name="Normal 4 2 2 4 5 2 2" xfId="2809" xr:uid="{00000000-0005-0000-0000-000056090000}"/>
    <cellStyle name="Normal 4 2 2 4 5 2 3" xfId="2810" xr:uid="{00000000-0005-0000-0000-000057090000}"/>
    <cellStyle name="Normal 4 2 2 4 5 3" xfId="2811" xr:uid="{00000000-0005-0000-0000-000058090000}"/>
    <cellStyle name="Normal 4 2 2 4 5 4" xfId="2812" xr:uid="{00000000-0005-0000-0000-000059090000}"/>
    <cellStyle name="Normal 4 2 2 4 5 5" xfId="2813" xr:uid="{00000000-0005-0000-0000-00005A090000}"/>
    <cellStyle name="Normal 4 2 2 4 6" xfId="2814" xr:uid="{00000000-0005-0000-0000-00005B090000}"/>
    <cellStyle name="Normal 4 2 2 4 6 2" xfId="2815" xr:uid="{00000000-0005-0000-0000-00005C090000}"/>
    <cellStyle name="Normal 4 2 2 4 6 3" xfId="2816" xr:uid="{00000000-0005-0000-0000-00005D090000}"/>
    <cellStyle name="Normal 4 2 2 4 7" xfId="2817" xr:uid="{00000000-0005-0000-0000-00005E090000}"/>
    <cellStyle name="Normal 4 2 2 4 8" xfId="2818" xr:uid="{00000000-0005-0000-0000-00005F090000}"/>
    <cellStyle name="Normal 4 2 2 4 9" xfId="2819" xr:uid="{00000000-0005-0000-0000-000060090000}"/>
    <cellStyle name="Normal 4 2 2 5" xfId="2820" xr:uid="{00000000-0005-0000-0000-000061090000}"/>
    <cellStyle name="Normal 4 2 2 5 2" xfId="2821" xr:uid="{00000000-0005-0000-0000-000062090000}"/>
    <cellStyle name="Normal 4 2 2 5 2 2" xfId="2822" xr:uid="{00000000-0005-0000-0000-000063090000}"/>
    <cellStyle name="Normal 4 2 2 5 2 2 2" xfId="2823" xr:uid="{00000000-0005-0000-0000-000064090000}"/>
    <cellStyle name="Normal 4 2 2 5 2 2 2 2" xfId="2824" xr:uid="{00000000-0005-0000-0000-000065090000}"/>
    <cellStyle name="Normal 4 2 2 5 2 2 2 2 2" xfId="2825" xr:uid="{00000000-0005-0000-0000-000066090000}"/>
    <cellStyle name="Normal 4 2 2 5 2 2 2 2 3" xfId="2826" xr:uid="{00000000-0005-0000-0000-000067090000}"/>
    <cellStyle name="Normal 4 2 2 5 2 2 2 3" xfId="2827" xr:uid="{00000000-0005-0000-0000-000068090000}"/>
    <cellStyle name="Normal 4 2 2 5 2 2 2 4" xfId="2828" xr:uid="{00000000-0005-0000-0000-000069090000}"/>
    <cellStyle name="Normal 4 2 2 5 2 2 2 5" xfId="2829" xr:uid="{00000000-0005-0000-0000-00006A090000}"/>
    <cellStyle name="Normal 4 2 2 5 2 2 3" xfId="2830" xr:uid="{00000000-0005-0000-0000-00006B090000}"/>
    <cellStyle name="Normal 4 2 2 5 2 2 3 2" xfId="2831" xr:uid="{00000000-0005-0000-0000-00006C090000}"/>
    <cellStyle name="Normal 4 2 2 5 2 2 3 2 2" xfId="2832" xr:uid="{00000000-0005-0000-0000-00006D090000}"/>
    <cellStyle name="Normal 4 2 2 5 2 2 3 2 3" xfId="2833" xr:uid="{00000000-0005-0000-0000-00006E090000}"/>
    <cellStyle name="Normal 4 2 2 5 2 2 3 3" xfId="2834" xr:uid="{00000000-0005-0000-0000-00006F090000}"/>
    <cellStyle name="Normal 4 2 2 5 2 2 3 4" xfId="2835" xr:uid="{00000000-0005-0000-0000-000070090000}"/>
    <cellStyle name="Normal 4 2 2 5 2 2 3 5" xfId="2836" xr:uid="{00000000-0005-0000-0000-000071090000}"/>
    <cellStyle name="Normal 4 2 2 5 2 2 4" xfId="2837" xr:uid="{00000000-0005-0000-0000-000072090000}"/>
    <cellStyle name="Normal 4 2 2 5 2 2 4 2" xfId="2838" xr:uid="{00000000-0005-0000-0000-000073090000}"/>
    <cellStyle name="Normal 4 2 2 5 2 2 4 3" xfId="2839" xr:uid="{00000000-0005-0000-0000-000074090000}"/>
    <cellStyle name="Normal 4 2 2 5 2 2 5" xfId="2840" xr:uid="{00000000-0005-0000-0000-000075090000}"/>
    <cellStyle name="Normal 4 2 2 5 2 2 6" xfId="2841" xr:uid="{00000000-0005-0000-0000-000076090000}"/>
    <cellStyle name="Normal 4 2 2 5 2 2 7" xfId="2842" xr:uid="{00000000-0005-0000-0000-000077090000}"/>
    <cellStyle name="Normal 4 2 2 5 2 3" xfId="2843" xr:uid="{00000000-0005-0000-0000-000078090000}"/>
    <cellStyle name="Normal 4 2 2 5 2 3 2" xfId="2844" xr:uid="{00000000-0005-0000-0000-000079090000}"/>
    <cellStyle name="Normal 4 2 2 5 2 3 2 2" xfId="2845" xr:uid="{00000000-0005-0000-0000-00007A090000}"/>
    <cellStyle name="Normal 4 2 2 5 2 3 2 3" xfId="2846" xr:uid="{00000000-0005-0000-0000-00007B090000}"/>
    <cellStyle name="Normal 4 2 2 5 2 3 3" xfId="2847" xr:uid="{00000000-0005-0000-0000-00007C090000}"/>
    <cellStyle name="Normal 4 2 2 5 2 3 4" xfId="2848" xr:uid="{00000000-0005-0000-0000-00007D090000}"/>
    <cellStyle name="Normal 4 2 2 5 2 3 5" xfId="2849" xr:uid="{00000000-0005-0000-0000-00007E090000}"/>
    <cellStyle name="Normal 4 2 2 5 2 4" xfId="2850" xr:uid="{00000000-0005-0000-0000-00007F090000}"/>
    <cellStyle name="Normal 4 2 2 5 2 4 2" xfId="2851" xr:uid="{00000000-0005-0000-0000-000080090000}"/>
    <cellStyle name="Normal 4 2 2 5 2 4 2 2" xfId="2852" xr:uid="{00000000-0005-0000-0000-000081090000}"/>
    <cellStyle name="Normal 4 2 2 5 2 4 2 3" xfId="2853" xr:uid="{00000000-0005-0000-0000-000082090000}"/>
    <cellStyle name="Normal 4 2 2 5 2 4 3" xfId="2854" xr:uid="{00000000-0005-0000-0000-000083090000}"/>
    <cellStyle name="Normal 4 2 2 5 2 4 4" xfId="2855" xr:uid="{00000000-0005-0000-0000-000084090000}"/>
    <cellStyle name="Normal 4 2 2 5 2 4 5" xfId="2856" xr:uid="{00000000-0005-0000-0000-000085090000}"/>
    <cellStyle name="Normal 4 2 2 5 2 5" xfId="2857" xr:uid="{00000000-0005-0000-0000-000086090000}"/>
    <cellStyle name="Normal 4 2 2 5 2 5 2" xfId="2858" xr:uid="{00000000-0005-0000-0000-000087090000}"/>
    <cellStyle name="Normal 4 2 2 5 2 5 3" xfId="2859" xr:uid="{00000000-0005-0000-0000-000088090000}"/>
    <cellStyle name="Normal 4 2 2 5 2 6" xfId="2860" xr:uid="{00000000-0005-0000-0000-000089090000}"/>
    <cellStyle name="Normal 4 2 2 5 2 7" xfId="2861" xr:uid="{00000000-0005-0000-0000-00008A090000}"/>
    <cellStyle name="Normal 4 2 2 5 2 8" xfId="2862" xr:uid="{00000000-0005-0000-0000-00008B090000}"/>
    <cellStyle name="Normal 4 2 2 5 3" xfId="2863" xr:uid="{00000000-0005-0000-0000-00008C090000}"/>
    <cellStyle name="Normal 4 2 2 5 3 2" xfId="2864" xr:uid="{00000000-0005-0000-0000-00008D090000}"/>
    <cellStyle name="Normal 4 2 2 5 3 2 2" xfId="2865" xr:uid="{00000000-0005-0000-0000-00008E090000}"/>
    <cellStyle name="Normal 4 2 2 5 3 2 2 2" xfId="2866" xr:uid="{00000000-0005-0000-0000-00008F090000}"/>
    <cellStyle name="Normal 4 2 2 5 3 2 2 3" xfId="2867" xr:uid="{00000000-0005-0000-0000-000090090000}"/>
    <cellStyle name="Normal 4 2 2 5 3 2 3" xfId="2868" xr:uid="{00000000-0005-0000-0000-000091090000}"/>
    <cellStyle name="Normal 4 2 2 5 3 2 4" xfId="2869" xr:uid="{00000000-0005-0000-0000-000092090000}"/>
    <cellStyle name="Normal 4 2 2 5 3 2 5" xfId="2870" xr:uid="{00000000-0005-0000-0000-000093090000}"/>
    <cellStyle name="Normal 4 2 2 5 3 3" xfId="2871" xr:uid="{00000000-0005-0000-0000-000094090000}"/>
    <cellStyle name="Normal 4 2 2 5 3 3 2" xfId="2872" xr:uid="{00000000-0005-0000-0000-000095090000}"/>
    <cellStyle name="Normal 4 2 2 5 3 3 2 2" xfId="2873" xr:uid="{00000000-0005-0000-0000-000096090000}"/>
    <cellStyle name="Normal 4 2 2 5 3 3 2 3" xfId="2874" xr:uid="{00000000-0005-0000-0000-000097090000}"/>
    <cellStyle name="Normal 4 2 2 5 3 3 3" xfId="2875" xr:uid="{00000000-0005-0000-0000-000098090000}"/>
    <cellStyle name="Normal 4 2 2 5 3 3 4" xfId="2876" xr:uid="{00000000-0005-0000-0000-000099090000}"/>
    <cellStyle name="Normal 4 2 2 5 3 3 5" xfId="2877" xr:uid="{00000000-0005-0000-0000-00009A090000}"/>
    <cellStyle name="Normal 4 2 2 5 3 4" xfId="2878" xr:uid="{00000000-0005-0000-0000-00009B090000}"/>
    <cellStyle name="Normal 4 2 2 5 3 4 2" xfId="2879" xr:uid="{00000000-0005-0000-0000-00009C090000}"/>
    <cellStyle name="Normal 4 2 2 5 3 4 3" xfId="2880" xr:uid="{00000000-0005-0000-0000-00009D090000}"/>
    <cellStyle name="Normal 4 2 2 5 3 5" xfId="2881" xr:uid="{00000000-0005-0000-0000-00009E090000}"/>
    <cellStyle name="Normal 4 2 2 5 3 6" xfId="2882" xr:uid="{00000000-0005-0000-0000-00009F090000}"/>
    <cellStyle name="Normal 4 2 2 5 3 7" xfId="2883" xr:uid="{00000000-0005-0000-0000-0000A0090000}"/>
    <cellStyle name="Normal 4 2 2 5 4" xfId="2884" xr:uid="{00000000-0005-0000-0000-0000A1090000}"/>
    <cellStyle name="Normal 4 2 2 5 4 2" xfId="2885" xr:uid="{00000000-0005-0000-0000-0000A2090000}"/>
    <cellStyle name="Normal 4 2 2 5 4 2 2" xfId="2886" xr:uid="{00000000-0005-0000-0000-0000A3090000}"/>
    <cellStyle name="Normal 4 2 2 5 4 2 3" xfId="2887" xr:uid="{00000000-0005-0000-0000-0000A4090000}"/>
    <cellStyle name="Normal 4 2 2 5 4 3" xfId="2888" xr:uid="{00000000-0005-0000-0000-0000A5090000}"/>
    <cellStyle name="Normal 4 2 2 5 4 4" xfId="2889" xr:uid="{00000000-0005-0000-0000-0000A6090000}"/>
    <cellStyle name="Normal 4 2 2 5 4 5" xfId="2890" xr:uid="{00000000-0005-0000-0000-0000A7090000}"/>
    <cellStyle name="Normal 4 2 2 5 5" xfId="2891" xr:uid="{00000000-0005-0000-0000-0000A8090000}"/>
    <cellStyle name="Normal 4 2 2 5 5 2" xfId="2892" xr:uid="{00000000-0005-0000-0000-0000A9090000}"/>
    <cellStyle name="Normal 4 2 2 5 5 2 2" xfId="2893" xr:uid="{00000000-0005-0000-0000-0000AA090000}"/>
    <cellStyle name="Normal 4 2 2 5 5 2 3" xfId="2894" xr:uid="{00000000-0005-0000-0000-0000AB090000}"/>
    <cellStyle name="Normal 4 2 2 5 5 3" xfId="2895" xr:uid="{00000000-0005-0000-0000-0000AC090000}"/>
    <cellStyle name="Normal 4 2 2 5 5 4" xfId="2896" xr:uid="{00000000-0005-0000-0000-0000AD090000}"/>
    <cellStyle name="Normal 4 2 2 5 5 5" xfId="2897" xr:uid="{00000000-0005-0000-0000-0000AE090000}"/>
    <cellStyle name="Normal 4 2 2 5 6" xfId="2898" xr:uid="{00000000-0005-0000-0000-0000AF090000}"/>
    <cellStyle name="Normal 4 2 2 5 6 2" xfId="2899" xr:uid="{00000000-0005-0000-0000-0000B0090000}"/>
    <cellStyle name="Normal 4 2 2 5 6 3" xfId="2900" xr:uid="{00000000-0005-0000-0000-0000B1090000}"/>
    <cellStyle name="Normal 4 2 2 5 7" xfId="2901" xr:uid="{00000000-0005-0000-0000-0000B2090000}"/>
    <cellStyle name="Normal 4 2 2 5 8" xfId="2902" xr:uid="{00000000-0005-0000-0000-0000B3090000}"/>
    <cellStyle name="Normal 4 2 2 5 9" xfId="2903" xr:uid="{00000000-0005-0000-0000-0000B4090000}"/>
    <cellStyle name="Normal 4 2 2 6" xfId="2904" xr:uid="{00000000-0005-0000-0000-0000B5090000}"/>
    <cellStyle name="Normal 4 2 2 6 2" xfId="2905" xr:uid="{00000000-0005-0000-0000-0000B6090000}"/>
    <cellStyle name="Normal 4 2 2 6 2 2" xfId="2906" xr:uid="{00000000-0005-0000-0000-0000B7090000}"/>
    <cellStyle name="Normal 4 2 2 6 2 2 2" xfId="2907" xr:uid="{00000000-0005-0000-0000-0000B8090000}"/>
    <cellStyle name="Normal 4 2 2 6 2 2 2 2" xfId="2908" xr:uid="{00000000-0005-0000-0000-0000B9090000}"/>
    <cellStyle name="Normal 4 2 2 6 2 2 2 3" xfId="2909" xr:uid="{00000000-0005-0000-0000-0000BA090000}"/>
    <cellStyle name="Normal 4 2 2 6 2 2 3" xfId="2910" xr:uid="{00000000-0005-0000-0000-0000BB090000}"/>
    <cellStyle name="Normal 4 2 2 6 2 2 4" xfId="2911" xr:uid="{00000000-0005-0000-0000-0000BC090000}"/>
    <cellStyle name="Normal 4 2 2 6 2 2 5" xfId="2912" xr:uid="{00000000-0005-0000-0000-0000BD090000}"/>
    <cellStyle name="Normal 4 2 2 6 2 3" xfId="2913" xr:uid="{00000000-0005-0000-0000-0000BE090000}"/>
    <cellStyle name="Normal 4 2 2 6 2 3 2" xfId="2914" xr:uid="{00000000-0005-0000-0000-0000BF090000}"/>
    <cellStyle name="Normal 4 2 2 6 2 3 2 2" xfId="2915" xr:uid="{00000000-0005-0000-0000-0000C0090000}"/>
    <cellStyle name="Normal 4 2 2 6 2 3 2 3" xfId="2916" xr:uid="{00000000-0005-0000-0000-0000C1090000}"/>
    <cellStyle name="Normal 4 2 2 6 2 3 3" xfId="2917" xr:uid="{00000000-0005-0000-0000-0000C2090000}"/>
    <cellStyle name="Normal 4 2 2 6 2 3 4" xfId="2918" xr:uid="{00000000-0005-0000-0000-0000C3090000}"/>
    <cellStyle name="Normal 4 2 2 6 2 3 5" xfId="2919" xr:uid="{00000000-0005-0000-0000-0000C4090000}"/>
    <cellStyle name="Normal 4 2 2 6 2 4" xfId="2920" xr:uid="{00000000-0005-0000-0000-0000C5090000}"/>
    <cellStyle name="Normal 4 2 2 6 2 4 2" xfId="2921" xr:uid="{00000000-0005-0000-0000-0000C6090000}"/>
    <cellStyle name="Normal 4 2 2 6 2 4 3" xfId="2922" xr:uid="{00000000-0005-0000-0000-0000C7090000}"/>
    <cellStyle name="Normal 4 2 2 6 2 5" xfId="2923" xr:uid="{00000000-0005-0000-0000-0000C8090000}"/>
    <cellStyle name="Normal 4 2 2 6 2 6" xfId="2924" xr:uid="{00000000-0005-0000-0000-0000C9090000}"/>
    <cellStyle name="Normal 4 2 2 6 2 7" xfId="2925" xr:uid="{00000000-0005-0000-0000-0000CA090000}"/>
    <cellStyle name="Normal 4 2 2 6 3" xfId="2926" xr:uid="{00000000-0005-0000-0000-0000CB090000}"/>
    <cellStyle name="Normal 4 2 2 6 3 2" xfId="2927" xr:uid="{00000000-0005-0000-0000-0000CC090000}"/>
    <cellStyle name="Normal 4 2 2 6 3 2 2" xfId="2928" xr:uid="{00000000-0005-0000-0000-0000CD090000}"/>
    <cellStyle name="Normal 4 2 2 6 3 2 3" xfId="2929" xr:uid="{00000000-0005-0000-0000-0000CE090000}"/>
    <cellStyle name="Normal 4 2 2 6 3 3" xfId="2930" xr:uid="{00000000-0005-0000-0000-0000CF090000}"/>
    <cellStyle name="Normal 4 2 2 6 3 4" xfId="2931" xr:uid="{00000000-0005-0000-0000-0000D0090000}"/>
    <cellStyle name="Normal 4 2 2 6 3 5" xfId="2932" xr:uid="{00000000-0005-0000-0000-0000D1090000}"/>
    <cellStyle name="Normal 4 2 2 6 4" xfId="2933" xr:uid="{00000000-0005-0000-0000-0000D2090000}"/>
    <cellStyle name="Normal 4 2 2 6 4 2" xfId="2934" xr:uid="{00000000-0005-0000-0000-0000D3090000}"/>
    <cellStyle name="Normal 4 2 2 6 4 2 2" xfId="2935" xr:uid="{00000000-0005-0000-0000-0000D4090000}"/>
    <cellStyle name="Normal 4 2 2 6 4 2 3" xfId="2936" xr:uid="{00000000-0005-0000-0000-0000D5090000}"/>
    <cellStyle name="Normal 4 2 2 6 4 3" xfId="2937" xr:uid="{00000000-0005-0000-0000-0000D6090000}"/>
    <cellStyle name="Normal 4 2 2 6 4 4" xfId="2938" xr:uid="{00000000-0005-0000-0000-0000D7090000}"/>
    <cellStyle name="Normal 4 2 2 6 4 5" xfId="2939" xr:uid="{00000000-0005-0000-0000-0000D8090000}"/>
    <cellStyle name="Normal 4 2 2 6 5" xfId="2940" xr:uid="{00000000-0005-0000-0000-0000D9090000}"/>
    <cellStyle name="Normal 4 2 2 6 5 2" xfId="2941" xr:uid="{00000000-0005-0000-0000-0000DA090000}"/>
    <cellStyle name="Normal 4 2 2 6 5 3" xfId="2942" xr:uid="{00000000-0005-0000-0000-0000DB090000}"/>
    <cellStyle name="Normal 4 2 2 6 6" xfId="2943" xr:uid="{00000000-0005-0000-0000-0000DC090000}"/>
    <cellStyle name="Normal 4 2 2 6 7" xfId="2944" xr:uid="{00000000-0005-0000-0000-0000DD090000}"/>
    <cellStyle name="Normal 4 2 2 6 8" xfId="2945" xr:uid="{00000000-0005-0000-0000-0000DE090000}"/>
    <cellStyle name="Normal 4 2 2 7" xfId="2946" xr:uid="{00000000-0005-0000-0000-0000DF090000}"/>
    <cellStyle name="Normal 4 2 2 7 2" xfId="2947" xr:uid="{00000000-0005-0000-0000-0000E0090000}"/>
    <cellStyle name="Normal 4 2 2 7 2 2" xfId="2948" xr:uid="{00000000-0005-0000-0000-0000E1090000}"/>
    <cellStyle name="Normal 4 2 2 7 2 2 2" xfId="2949" xr:uid="{00000000-0005-0000-0000-0000E2090000}"/>
    <cellStyle name="Normal 4 2 2 7 2 2 3" xfId="2950" xr:uid="{00000000-0005-0000-0000-0000E3090000}"/>
    <cellStyle name="Normal 4 2 2 7 2 3" xfId="2951" xr:uid="{00000000-0005-0000-0000-0000E4090000}"/>
    <cellStyle name="Normal 4 2 2 7 2 4" xfId="2952" xr:uid="{00000000-0005-0000-0000-0000E5090000}"/>
    <cellStyle name="Normal 4 2 2 7 2 5" xfId="2953" xr:uid="{00000000-0005-0000-0000-0000E6090000}"/>
    <cellStyle name="Normal 4 2 2 7 3" xfId="2954" xr:uid="{00000000-0005-0000-0000-0000E7090000}"/>
    <cellStyle name="Normal 4 2 2 7 3 2" xfId="2955" xr:uid="{00000000-0005-0000-0000-0000E8090000}"/>
    <cellStyle name="Normal 4 2 2 7 3 2 2" xfId="2956" xr:uid="{00000000-0005-0000-0000-0000E9090000}"/>
    <cellStyle name="Normal 4 2 2 7 3 2 3" xfId="2957" xr:uid="{00000000-0005-0000-0000-0000EA090000}"/>
    <cellStyle name="Normal 4 2 2 7 3 3" xfId="2958" xr:uid="{00000000-0005-0000-0000-0000EB090000}"/>
    <cellStyle name="Normal 4 2 2 7 3 4" xfId="2959" xr:uid="{00000000-0005-0000-0000-0000EC090000}"/>
    <cellStyle name="Normal 4 2 2 7 3 5" xfId="2960" xr:uid="{00000000-0005-0000-0000-0000ED090000}"/>
    <cellStyle name="Normal 4 2 2 7 4" xfId="2961" xr:uid="{00000000-0005-0000-0000-0000EE090000}"/>
    <cellStyle name="Normal 4 2 2 7 4 2" xfId="2962" xr:uid="{00000000-0005-0000-0000-0000EF090000}"/>
    <cellStyle name="Normal 4 2 2 7 4 3" xfId="2963" xr:uid="{00000000-0005-0000-0000-0000F0090000}"/>
    <cellStyle name="Normal 4 2 2 7 5" xfId="2964" xr:uid="{00000000-0005-0000-0000-0000F1090000}"/>
    <cellStyle name="Normal 4 2 2 7 6" xfId="2965" xr:uid="{00000000-0005-0000-0000-0000F2090000}"/>
    <cellStyle name="Normal 4 2 2 7 7" xfId="2966" xr:uid="{00000000-0005-0000-0000-0000F3090000}"/>
    <cellStyle name="Normal 4 2 2 8" xfId="2967" xr:uid="{00000000-0005-0000-0000-0000F4090000}"/>
    <cellStyle name="Normal 4 2 2 8 2" xfId="2968" xr:uid="{00000000-0005-0000-0000-0000F5090000}"/>
    <cellStyle name="Normal 4 2 2 8 2 2" xfId="2969" xr:uid="{00000000-0005-0000-0000-0000F6090000}"/>
    <cellStyle name="Normal 4 2 2 8 2 2 2" xfId="2970" xr:uid="{00000000-0005-0000-0000-0000F7090000}"/>
    <cellStyle name="Normal 4 2 2 8 2 2 3" xfId="2971" xr:uid="{00000000-0005-0000-0000-0000F8090000}"/>
    <cellStyle name="Normal 4 2 2 8 2 3" xfId="2972" xr:uid="{00000000-0005-0000-0000-0000F9090000}"/>
    <cellStyle name="Normal 4 2 2 8 2 4" xfId="2973" xr:uid="{00000000-0005-0000-0000-0000FA090000}"/>
    <cellStyle name="Normal 4 2 2 8 2 5" xfId="2974" xr:uid="{00000000-0005-0000-0000-0000FB090000}"/>
    <cellStyle name="Normal 4 2 2 8 3" xfId="2975" xr:uid="{00000000-0005-0000-0000-0000FC090000}"/>
    <cellStyle name="Normal 4 2 2 8 3 2" xfId="2976" xr:uid="{00000000-0005-0000-0000-0000FD090000}"/>
    <cellStyle name="Normal 4 2 2 8 3 2 2" xfId="2977" xr:uid="{00000000-0005-0000-0000-0000FE090000}"/>
    <cellStyle name="Normal 4 2 2 8 3 2 3" xfId="2978" xr:uid="{00000000-0005-0000-0000-0000FF090000}"/>
    <cellStyle name="Normal 4 2 2 8 3 3" xfId="2979" xr:uid="{00000000-0005-0000-0000-0000000A0000}"/>
    <cellStyle name="Normal 4 2 2 8 3 4" xfId="2980" xr:uid="{00000000-0005-0000-0000-0000010A0000}"/>
    <cellStyle name="Normal 4 2 2 8 3 5" xfId="2981" xr:uid="{00000000-0005-0000-0000-0000020A0000}"/>
    <cellStyle name="Normal 4 2 2 8 4" xfId="2982" xr:uid="{00000000-0005-0000-0000-0000030A0000}"/>
    <cellStyle name="Normal 4 2 2 8 4 2" xfId="2983" xr:uid="{00000000-0005-0000-0000-0000040A0000}"/>
    <cellStyle name="Normal 4 2 2 8 4 3" xfId="2984" xr:uid="{00000000-0005-0000-0000-0000050A0000}"/>
    <cellStyle name="Normal 4 2 2 8 5" xfId="2985" xr:uid="{00000000-0005-0000-0000-0000060A0000}"/>
    <cellStyle name="Normal 4 2 2 8 6" xfId="2986" xr:uid="{00000000-0005-0000-0000-0000070A0000}"/>
    <cellStyle name="Normal 4 2 2 8 7" xfId="2987" xr:uid="{00000000-0005-0000-0000-0000080A0000}"/>
    <cellStyle name="Normal 4 2 2 9" xfId="2988" xr:uid="{00000000-0005-0000-0000-0000090A0000}"/>
    <cellStyle name="Normal 4 2 2 9 2" xfId="2989" xr:uid="{00000000-0005-0000-0000-00000A0A0000}"/>
    <cellStyle name="Normal 4 2 2 9 2 2" xfId="2990" xr:uid="{00000000-0005-0000-0000-00000B0A0000}"/>
    <cellStyle name="Normal 4 2 2 9 2 3" xfId="2991" xr:uid="{00000000-0005-0000-0000-00000C0A0000}"/>
    <cellStyle name="Normal 4 2 2 9 3" xfId="2992" xr:uid="{00000000-0005-0000-0000-00000D0A0000}"/>
    <cellStyle name="Normal 4 2 2 9 4" xfId="2993" xr:uid="{00000000-0005-0000-0000-00000E0A0000}"/>
    <cellStyle name="Normal 4 2 2 9 5" xfId="2994" xr:uid="{00000000-0005-0000-0000-00000F0A0000}"/>
    <cellStyle name="Normal 4 2 3" xfId="2995" xr:uid="{00000000-0005-0000-0000-0000100A0000}"/>
    <cellStyle name="Normal 4 2 3 10" xfId="2996" xr:uid="{00000000-0005-0000-0000-0000110A0000}"/>
    <cellStyle name="Normal 4 2 3 10 2" xfId="2997" xr:uid="{00000000-0005-0000-0000-0000120A0000}"/>
    <cellStyle name="Normal 4 2 3 10 2 2" xfId="2998" xr:uid="{00000000-0005-0000-0000-0000130A0000}"/>
    <cellStyle name="Normal 4 2 3 10 2 3" xfId="2999" xr:uid="{00000000-0005-0000-0000-0000140A0000}"/>
    <cellStyle name="Normal 4 2 3 10 3" xfId="3000" xr:uid="{00000000-0005-0000-0000-0000150A0000}"/>
    <cellStyle name="Normal 4 2 3 10 4" xfId="3001" xr:uid="{00000000-0005-0000-0000-0000160A0000}"/>
    <cellStyle name="Normal 4 2 3 10 5" xfId="3002" xr:uid="{00000000-0005-0000-0000-0000170A0000}"/>
    <cellStyle name="Normal 4 2 3 11" xfId="3003" xr:uid="{00000000-0005-0000-0000-0000180A0000}"/>
    <cellStyle name="Normal 4 2 3 11 2" xfId="3004" xr:uid="{00000000-0005-0000-0000-0000190A0000}"/>
    <cellStyle name="Normal 4 2 3 11 3" xfId="3005" xr:uid="{00000000-0005-0000-0000-00001A0A0000}"/>
    <cellStyle name="Normal 4 2 3 12" xfId="3006" xr:uid="{00000000-0005-0000-0000-00001B0A0000}"/>
    <cellStyle name="Normal 4 2 3 13" xfId="3007" xr:uid="{00000000-0005-0000-0000-00001C0A0000}"/>
    <cellStyle name="Normal 4 2 3 14" xfId="3008" xr:uid="{00000000-0005-0000-0000-00001D0A0000}"/>
    <cellStyle name="Normal 4 2 3 2" xfId="3009" xr:uid="{00000000-0005-0000-0000-00001E0A0000}"/>
    <cellStyle name="Normal 4 2 3 2 10" xfId="3010" xr:uid="{00000000-0005-0000-0000-00001F0A0000}"/>
    <cellStyle name="Normal 4 2 3 2 11" xfId="3011" xr:uid="{00000000-0005-0000-0000-0000200A0000}"/>
    <cellStyle name="Normal 4 2 3 2 12" xfId="3012" xr:uid="{00000000-0005-0000-0000-0000210A0000}"/>
    <cellStyle name="Normal 4 2 3 2 2" xfId="3013" xr:uid="{00000000-0005-0000-0000-0000220A0000}"/>
    <cellStyle name="Normal 4 2 3 2 2 2" xfId="3014" xr:uid="{00000000-0005-0000-0000-0000230A0000}"/>
    <cellStyle name="Normal 4 2 3 2 2 2 2" xfId="3015" xr:uid="{00000000-0005-0000-0000-0000240A0000}"/>
    <cellStyle name="Normal 4 2 3 2 2 2 2 2" xfId="3016" xr:uid="{00000000-0005-0000-0000-0000250A0000}"/>
    <cellStyle name="Normal 4 2 3 2 2 2 2 2 2" xfId="3017" xr:uid="{00000000-0005-0000-0000-0000260A0000}"/>
    <cellStyle name="Normal 4 2 3 2 2 2 2 2 2 2" xfId="3018" xr:uid="{00000000-0005-0000-0000-0000270A0000}"/>
    <cellStyle name="Normal 4 2 3 2 2 2 2 2 2 3" xfId="3019" xr:uid="{00000000-0005-0000-0000-0000280A0000}"/>
    <cellStyle name="Normal 4 2 3 2 2 2 2 2 3" xfId="3020" xr:uid="{00000000-0005-0000-0000-0000290A0000}"/>
    <cellStyle name="Normal 4 2 3 2 2 2 2 2 4" xfId="3021" xr:uid="{00000000-0005-0000-0000-00002A0A0000}"/>
    <cellStyle name="Normal 4 2 3 2 2 2 2 2 5" xfId="3022" xr:uid="{00000000-0005-0000-0000-00002B0A0000}"/>
    <cellStyle name="Normal 4 2 3 2 2 2 2 3" xfId="3023" xr:uid="{00000000-0005-0000-0000-00002C0A0000}"/>
    <cellStyle name="Normal 4 2 3 2 2 2 2 3 2" xfId="3024" xr:uid="{00000000-0005-0000-0000-00002D0A0000}"/>
    <cellStyle name="Normal 4 2 3 2 2 2 2 3 2 2" xfId="3025" xr:uid="{00000000-0005-0000-0000-00002E0A0000}"/>
    <cellStyle name="Normal 4 2 3 2 2 2 2 3 2 3" xfId="3026" xr:uid="{00000000-0005-0000-0000-00002F0A0000}"/>
    <cellStyle name="Normal 4 2 3 2 2 2 2 3 3" xfId="3027" xr:uid="{00000000-0005-0000-0000-0000300A0000}"/>
    <cellStyle name="Normal 4 2 3 2 2 2 2 3 4" xfId="3028" xr:uid="{00000000-0005-0000-0000-0000310A0000}"/>
    <cellStyle name="Normal 4 2 3 2 2 2 2 3 5" xfId="3029" xr:uid="{00000000-0005-0000-0000-0000320A0000}"/>
    <cellStyle name="Normal 4 2 3 2 2 2 2 4" xfId="3030" xr:uid="{00000000-0005-0000-0000-0000330A0000}"/>
    <cellStyle name="Normal 4 2 3 2 2 2 2 4 2" xfId="3031" xr:uid="{00000000-0005-0000-0000-0000340A0000}"/>
    <cellStyle name="Normal 4 2 3 2 2 2 2 4 3" xfId="3032" xr:uid="{00000000-0005-0000-0000-0000350A0000}"/>
    <cellStyle name="Normal 4 2 3 2 2 2 2 5" xfId="3033" xr:uid="{00000000-0005-0000-0000-0000360A0000}"/>
    <cellStyle name="Normal 4 2 3 2 2 2 2 6" xfId="3034" xr:uid="{00000000-0005-0000-0000-0000370A0000}"/>
    <cellStyle name="Normal 4 2 3 2 2 2 2 7" xfId="3035" xr:uid="{00000000-0005-0000-0000-0000380A0000}"/>
    <cellStyle name="Normal 4 2 3 2 2 2 3" xfId="3036" xr:uid="{00000000-0005-0000-0000-0000390A0000}"/>
    <cellStyle name="Normal 4 2 3 2 2 2 3 2" xfId="3037" xr:uid="{00000000-0005-0000-0000-00003A0A0000}"/>
    <cellStyle name="Normal 4 2 3 2 2 2 3 2 2" xfId="3038" xr:uid="{00000000-0005-0000-0000-00003B0A0000}"/>
    <cellStyle name="Normal 4 2 3 2 2 2 3 2 3" xfId="3039" xr:uid="{00000000-0005-0000-0000-00003C0A0000}"/>
    <cellStyle name="Normal 4 2 3 2 2 2 3 3" xfId="3040" xr:uid="{00000000-0005-0000-0000-00003D0A0000}"/>
    <cellStyle name="Normal 4 2 3 2 2 2 3 4" xfId="3041" xr:uid="{00000000-0005-0000-0000-00003E0A0000}"/>
    <cellStyle name="Normal 4 2 3 2 2 2 3 5" xfId="3042" xr:uid="{00000000-0005-0000-0000-00003F0A0000}"/>
    <cellStyle name="Normal 4 2 3 2 2 2 4" xfId="3043" xr:uid="{00000000-0005-0000-0000-0000400A0000}"/>
    <cellStyle name="Normal 4 2 3 2 2 2 4 2" xfId="3044" xr:uid="{00000000-0005-0000-0000-0000410A0000}"/>
    <cellStyle name="Normal 4 2 3 2 2 2 4 2 2" xfId="3045" xr:uid="{00000000-0005-0000-0000-0000420A0000}"/>
    <cellStyle name="Normal 4 2 3 2 2 2 4 2 3" xfId="3046" xr:uid="{00000000-0005-0000-0000-0000430A0000}"/>
    <cellStyle name="Normal 4 2 3 2 2 2 4 3" xfId="3047" xr:uid="{00000000-0005-0000-0000-0000440A0000}"/>
    <cellStyle name="Normal 4 2 3 2 2 2 4 4" xfId="3048" xr:uid="{00000000-0005-0000-0000-0000450A0000}"/>
    <cellStyle name="Normal 4 2 3 2 2 2 4 5" xfId="3049" xr:uid="{00000000-0005-0000-0000-0000460A0000}"/>
    <cellStyle name="Normal 4 2 3 2 2 2 5" xfId="3050" xr:uid="{00000000-0005-0000-0000-0000470A0000}"/>
    <cellStyle name="Normal 4 2 3 2 2 2 5 2" xfId="3051" xr:uid="{00000000-0005-0000-0000-0000480A0000}"/>
    <cellStyle name="Normal 4 2 3 2 2 2 5 3" xfId="3052" xr:uid="{00000000-0005-0000-0000-0000490A0000}"/>
    <cellStyle name="Normal 4 2 3 2 2 2 6" xfId="3053" xr:uid="{00000000-0005-0000-0000-00004A0A0000}"/>
    <cellStyle name="Normal 4 2 3 2 2 2 7" xfId="3054" xr:uid="{00000000-0005-0000-0000-00004B0A0000}"/>
    <cellStyle name="Normal 4 2 3 2 2 2 8" xfId="3055" xr:uid="{00000000-0005-0000-0000-00004C0A0000}"/>
    <cellStyle name="Normal 4 2 3 2 2 3" xfId="3056" xr:uid="{00000000-0005-0000-0000-00004D0A0000}"/>
    <cellStyle name="Normal 4 2 3 2 2 3 2" xfId="3057" xr:uid="{00000000-0005-0000-0000-00004E0A0000}"/>
    <cellStyle name="Normal 4 2 3 2 2 3 2 2" xfId="3058" xr:uid="{00000000-0005-0000-0000-00004F0A0000}"/>
    <cellStyle name="Normal 4 2 3 2 2 3 2 2 2" xfId="3059" xr:uid="{00000000-0005-0000-0000-0000500A0000}"/>
    <cellStyle name="Normal 4 2 3 2 2 3 2 2 3" xfId="3060" xr:uid="{00000000-0005-0000-0000-0000510A0000}"/>
    <cellStyle name="Normal 4 2 3 2 2 3 2 3" xfId="3061" xr:uid="{00000000-0005-0000-0000-0000520A0000}"/>
    <cellStyle name="Normal 4 2 3 2 2 3 2 4" xfId="3062" xr:uid="{00000000-0005-0000-0000-0000530A0000}"/>
    <cellStyle name="Normal 4 2 3 2 2 3 2 5" xfId="3063" xr:uid="{00000000-0005-0000-0000-0000540A0000}"/>
    <cellStyle name="Normal 4 2 3 2 2 3 3" xfId="3064" xr:uid="{00000000-0005-0000-0000-0000550A0000}"/>
    <cellStyle name="Normal 4 2 3 2 2 3 3 2" xfId="3065" xr:uid="{00000000-0005-0000-0000-0000560A0000}"/>
    <cellStyle name="Normal 4 2 3 2 2 3 3 2 2" xfId="3066" xr:uid="{00000000-0005-0000-0000-0000570A0000}"/>
    <cellStyle name="Normal 4 2 3 2 2 3 3 2 3" xfId="3067" xr:uid="{00000000-0005-0000-0000-0000580A0000}"/>
    <cellStyle name="Normal 4 2 3 2 2 3 3 3" xfId="3068" xr:uid="{00000000-0005-0000-0000-0000590A0000}"/>
    <cellStyle name="Normal 4 2 3 2 2 3 3 4" xfId="3069" xr:uid="{00000000-0005-0000-0000-00005A0A0000}"/>
    <cellStyle name="Normal 4 2 3 2 2 3 3 5" xfId="3070" xr:uid="{00000000-0005-0000-0000-00005B0A0000}"/>
    <cellStyle name="Normal 4 2 3 2 2 3 4" xfId="3071" xr:uid="{00000000-0005-0000-0000-00005C0A0000}"/>
    <cellStyle name="Normal 4 2 3 2 2 3 4 2" xfId="3072" xr:uid="{00000000-0005-0000-0000-00005D0A0000}"/>
    <cellStyle name="Normal 4 2 3 2 2 3 4 3" xfId="3073" xr:uid="{00000000-0005-0000-0000-00005E0A0000}"/>
    <cellStyle name="Normal 4 2 3 2 2 3 5" xfId="3074" xr:uid="{00000000-0005-0000-0000-00005F0A0000}"/>
    <cellStyle name="Normal 4 2 3 2 2 3 6" xfId="3075" xr:uid="{00000000-0005-0000-0000-0000600A0000}"/>
    <cellStyle name="Normal 4 2 3 2 2 3 7" xfId="3076" xr:uid="{00000000-0005-0000-0000-0000610A0000}"/>
    <cellStyle name="Normal 4 2 3 2 2 4" xfId="3077" xr:uid="{00000000-0005-0000-0000-0000620A0000}"/>
    <cellStyle name="Normal 4 2 3 2 2 4 2" xfId="3078" xr:uid="{00000000-0005-0000-0000-0000630A0000}"/>
    <cellStyle name="Normal 4 2 3 2 2 4 2 2" xfId="3079" xr:uid="{00000000-0005-0000-0000-0000640A0000}"/>
    <cellStyle name="Normal 4 2 3 2 2 4 2 3" xfId="3080" xr:uid="{00000000-0005-0000-0000-0000650A0000}"/>
    <cellStyle name="Normal 4 2 3 2 2 4 3" xfId="3081" xr:uid="{00000000-0005-0000-0000-0000660A0000}"/>
    <cellStyle name="Normal 4 2 3 2 2 4 4" xfId="3082" xr:uid="{00000000-0005-0000-0000-0000670A0000}"/>
    <cellStyle name="Normal 4 2 3 2 2 4 5" xfId="3083" xr:uid="{00000000-0005-0000-0000-0000680A0000}"/>
    <cellStyle name="Normal 4 2 3 2 2 5" xfId="3084" xr:uid="{00000000-0005-0000-0000-0000690A0000}"/>
    <cellStyle name="Normal 4 2 3 2 2 5 2" xfId="3085" xr:uid="{00000000-0005-0000-0000-00006A0A0000}"/>
    <cellStyle name="Normal 4 2 3 2 2 5 2 2" xfId="3086" xr:uid="{00000000-0005-0000-0000-00006B0A0000}"/>
    <cellStyle name="Normal 4 2 3 2 2 5 2 3" xfId="3087" xr:uid="{00000000-0005-0000-0000-00006C0A0000}"/>
    <cellStyle name="Normal 4 2 3 2 2 5 3" xfId="3088" xr:uid="{00000000-0005-0000-0000-00006D0A0000}"/>
    <cellStyle name="Normal 4 2 3 2 2 5 4" xfId="3089" xr:uid="{00000000-0005-0000-0000-00006E0A0000}"/>
    <cellStyle name="Normal 4 2 3 2 2 5 5" xfId="3090" xr:uid="{00000000-0005-0000-0000-00006F0A0000}"/>
    <cellStyle name="Normal 4 2 3 2 2 6" xfId="3091" xr:uid="{00000000-0005-0000-0000-0000700A0000}"/>
    <cellStyle name="Normal 4 2 3 2 2 6 2" xfId="3092" xr:uid="{00000000-0005-0000-0000-0000710A0000}"/>
    <cellStyle name="Normal 4 2 3 2 2 6 3" xfId="3093" xr:uid="{00000000-0005-0000-0000-0000720A0000}"/>
    <cellStyle name="Normal 4 2 3 2 2 7" xfId="3094" xr:uid="{00000000-0005-0000-0000-0000730A0000}"/>
    <cellStyle name="Normal 4 2 3 2 2 8" xfId="3095" xr:uid="{00000000-0005-0000-0000-0000740A0000}"/>
    <cellStyle name="Normal 4 2 3 2 2 9" xfId="3096" xr:uid="{00000000-0005-0000-0000-0000750A0000}"/>
    <cellStyle name="Normal 4 2 3 2 3" xfId="3097" xr:uid="{00000000-0005-0000-0000-0000760A0000}"/>
    <cellStyle name="Normal 4 2 3 2 3 2" xfId="3098" xr:uid="{00000000-0005-0000-0000-0000770A0000}"/>
    <cellStyle name="Normal 4 2 3 2 3 2 2" xfId="3099" xr:uid="{00000000-0005-0000-0000-0000780A0000}"/>
    <cellStyle name="Normal 4 2 3 2 3 2 2 2" xfId="3100" xr:uid="{00000000-0005-0000-0000-0000790A0000}"/>
    <cellStyle name="Normal 4 2 3 2 3 2 2 2 2" xfId="3101" xr:uid="{00000000-0005-0000-0000-00007A0A0000}"/>
    <cellStyle name="Normal 4 2 3 2 3 2 2 2 2 2" xfId="3102" xr:uid="{00000000-0005-0000-0000-00007B0A0000}"/>
    <cellStyle name="Normal 4 2 3 2 3 2 2 2 2 3" xfId="3103" xr:uid="{00000000-0005-0000-0000-00007C0A0000}"/>
    <cellStyle name="Normal 4 2 3 2 3 2 2 2 3" xfId="3104" xr:uid="{00000000-0005-0000-0000-00007D0A0000}"/>
    <cellStyle name="Normal 4 2 3 2 3 2 2 2 4" xfId="3105" xr:uid="{00000000-0005-0000-0000-00007E0A0000}"/>
    <cellStyle name="Normal 4 2 3 2 3 2 2 2 5" xfId="3106" xr:uid="{00000000-0005-0000-0000-00007F0A0000}"/>
    <cellStyle name="Normal 4 2 3 2 3 2 2 3" xfId="3107" xr:uid="{00000000-0005-0000-0000-0000800A0000}"/>
    <cellStyle name="Normal 4 2 3 2 3 2 2 3 2" xfId="3108" xr:uid="{00000000-0005-0000-0000-0000810A0000}"/>
    <cellStyle name="Normal 4 2 3 2 3 2 2 3 2 2" xfId="3109" xr:uid="{00000000-0005-0000-0000-0000820A0000}"/>
    <cellStyle name="Normal 4 2 3 2 3 2 2 3 2 3" xfId="3110" xr:uid="{00000000-0005-0000-0000-0000830A0000}"/>
    <cellStyle name="Normal 4 2 3 2 3 2 2 3 3" xfId="3111" xr:uid="{00000000-0005-0000-0000-0000840A0000}"/>
    <cellStyle name="Normal 4 2 3 2 3 2 2 3 4" xfId="3112" xr:uid="{00000000-0005-0000-0000-0000850A0000}"/>
    <cellStyle name="Normal 4 2 3 2 3 2 2 3 5" xfId="3113" xr:uid="{00000000-0005-0000-0000-0000860A0000}"/>
    <cellStyle name="Normal 4 2 3 2 3 2 2 4" xfId="3114" xr:uid="{00000000-0005-0000-0000-0000870A0000}"/>
    <cellStyle name="Normal 4 2 3 2 3 2 2 4 2" xfId="3115" xr:uid="{00000000-0005-0000-0000-0000880A0000}"/>
    <cellStyle name="Normal 4 2 3 2 3 2 2 4 3" xfId="3116" xr:uid="{00000000-0005-0000-0000-0000890A0000}"/>
    <cellStyle name="Normal 4 2 3 2 3 2 2 5" xfId="3117" xr:uid="{00000000-0005-0000-0000-00008A0A0000}"/>
    <cellStyle name="Normal 4 2 3 2 3 2 2 6" xfId="3118" xr:uid="{00000000-0005-0000-0000-00008B0A0000}"/>
    <cellStyle name="Normal 4 2 3 2 3 2 2 7" xfId="3119" xr:uid="{00000000-0005-0000-0000-00008C0A0000}"/>
    <cellStyle name="Normal 4 2 3 2 3 2 3" xfId="3120" xr:uid="{00000000-0005-0000-0000-00008D0A0000}"/>
    <cellStyle name="Normal 4 2 3 2 3 2 3 2" xfId="3121" xr:uid="{00000000-0005-0000-0000-00008E0A0000}"/>
    <cellStyle name="Normal 4 2 3 2 3 2 3 2 2" xfId="3122" xr:uid="{00000000-0005-0000-0000-00008F0A0000}"/>
    <cellStyle name="Normal 4 2 3 2 3 2 3 2 3" xfId="3123" xr:uid="{00000000-0005-0000-0000-0000900A0000}"/>
    <cellStyle name="Normal 4 2 3 2 3 2 3 3" xfId="3124" xr:uid="{00000000-0005-0000-0000-0000910A0000}"/>
    <cellStyle name="Normal 4 2 3 2 3 2 3 4" xfId="3125" xr:uid="{00000000-0005-0000-0000-0000920A0000}"/>
    <cellStyle name="Normal 4 2 3 2 3 2 3 5" xfId="3126" xr:uid="{00000000-0005-0000-0000-0000930A0000}"/>
    <cellStyle name="Normal 4 2 3 2 3 2 4" xfId="3127" xr:uid="{00000000-0005-0000-0000-0000940A0000}"/>
    <cellStyle name="Normal 4 2 3 2 3 2 4 2" xfId="3128" xr:uid="{00000000-0005-0000-0000-0000950A0000}"/>
    <cellStyle name="Normal 4 2 3 2 3 2 4 2 2" xfId="3129" xr:uid="{00000000-0005-0000-0000-0000960A0000}"/>
    <cellStyle name="Normal 4 2 3 2 3 2 4 2 3" xfId="3130" xr:uid="{00000000-0005-0000-0000-0000970A0000}"/>
    <cellStyle name="Normal 4 2 3 2 3 2 4 3" xfId="3131" xr:uid="{00000000-0005-0000-0000-0000980A0000}"/>
    <cellStyle name="Normal 4 2 3 2 3 2 4 4" xfId="3132" xr:uid="{00000000-0005-0000-0000-0000990A0000}"/>
    <cellStyle name="Normal 4 2 3 2 3 2 4 5" xfId="3133" xr:uid="{00000000-0005-0000-0000-00009A0A0000}"/>
    <cellStyle name="Normal 4 2 3 2 3 2 5" xfId="3134" xr:uid="{00000000-0005-0000-0000-00009B0A0000}"/>
    <cellStyle name="Normal 4 2 3 2 3 2 5 2" xfId="3135" xr:uid="{00000000-0005-0000-0000-00009C0A0000}"/>
    <cellStyle name="Normal 4 2 3 2 3 2 5 3" xfId="3136" xr:uid="{00000000-0005-0000-0000-00009D0A0000}"/>
    <cellStyle name="Normal 4 2 3 2 3 2 6" xfId="3137" xr:uid="{00000000-0005-0000-0000-00009E0A0000}"/>
    <cellStyle name="Normal 4 2 3 2 3 2 7" xfId="3138" xr:uid="{00000000-0005-0000-0000-00009F0A0000}"/>
    <cellStyle name="Normal 4 2 3 2 3 2 8" xfId="3139" xr:uid="{00000000-0005-0000-0000-0000A00A0000}"/>
    <cellStyle name="Normal 4 2 3 2 3 3" xfId="3140" xr:uid="{00000000-0005-0000-0000-0000A10A0000}"/>
    <cellStyle name="Normal 4 2 3 2 3 3 2" xfId="3141" xr:uid="{00000000-0005-0000-0000-0000A20A0000}"/>
    <cellStyle name="Normal 4 2 3 2 3 3 2 2" xfId="3142" xr:uid="{00000000-0005-0000-0000-0000A30A0000}"/>
    <cellStyle name="Normal 4 2 3 2 3 3 2 2 2" xfId="3143" xr:uid="{00000000-0005-0000-0000-0000A40A0000}"/>
    <cellStyle name="Normal 4 2 3 2 3 3 2 2 3" xfId="3144" xr:uid="{00000000-0005-0000-0000-0000A50A0000}"/>
    <cellStyle name="Normal 4 2 3 2 3 3 2 3" xfId="3145" xr:uid="{00000000-0005-0000-0000-0000A60A0000}"/>
    <cellStyle name="Normal 4 2 3 2 3 3 2 4" xfId="3146" xr:uid="{00000000-0005-0000-0000-0000A70A0000}"/>
    <cellStyle name="Normal 4 2 3 2 3 3 2 5" xfId="3147" xr:uid="{00000000-0005-0000-0000-0000A80A0000}"/>
    <cellStyle name="Normal 4 2 3 2 3 3 3" xfId="3148" xr:uid="{00000000-0005-0000-0000-0000A90A0000}"/>
    <cellStyle name="Normal 4 2 3 2 3 3 3 2" xfId="3149" xr:uid="{00000000-0005-0000-0000-0000AA0A0000}"/>
    <cellStyle name="Normal 4 2 3 2 3 3 3 2 2" xfId="3150" xr:uid="{00000000-0005-0000-0000-0000AB0A0000}"/>
    <cellStyle name="Normal 4 2 3 2 3 3 3 2 3" xfId="3151" xr:uid="{00000000-0005-0000-0000-0000AC0A0000}"/>
    <cellStyle name="Normal 4 2 3 2 3 3 3 3" xfId="3152" xr:uid="{00000000-0005-0000-0000-0000AD0A0000}"/>
    <cellStyle name="Normal 4 2 3 2 3 3 3 4" xfId="3153" xr:uid="{00000000-0005-0000-0000-0000AE0A0000}"/>
    <cellStyle name="Normal 4 2 3 2 3 3 3 5" xfId="3154" xr:uid="{00000000-0005-0000-0000-0000AF0A0000}"/>
    <cellStyle name="Normal 4 2 3 2 3 3 4" xfId="3155" xr:uid="{00000000-0005-0000-0000-0000B00A0000}"/>
    <cellStyle name="Normal 4 2 3 2 3 3 4 2" xfId="3156" xr:uid="{00000000-0005-0000-0000-0000B10A0000}"/>
    <cellStyle name="Normal 4 2 3 2 3 3 4 3" xfId="3157" xr:uid="{00000000-0005-0000-0000-0000B20A0000}"/>
    <cellStyle name="Normal 4 2 3 2 3 3 5" xfId="3158" xr:uid="{00000000-0005-0000-0000-0000B30A0000}"/>
    <cellStyle name="Normal 4 2 3 2 3 3 6" xfId="3159" xr:uid="{00000000-0005-0000-0000-0000B40A0000}"/>
    <cellStyle name="Normal 4 2 3 2 3 3 7" xfId="3160" xr:uid="{00000000-0005-0000-0000-0000B50A0000}"/>
    <cellStyle name="Normal 4 2 3 2 3 4" xfId="3161" xr:uid="{00000000-0005-0000-0000-0000B60A0000}"/>
    <cellStyle name="Normal 4 2 3 2 3 4 2" xfId="3162" xr:uid="{00000000-0005-0000-0000-0000B70A0000}"/>
    <cellStyle name="Normal 4 2 3 2 3 4 2 2" xfId="3163" xr:uid="{00000000-0005-0000-0000-0000B80A0000}"/>
    <cellStyle name="Normal 4 2 3 2 3 4 2 3" xfId="3164" xr:uid="{00000000-0005-0000-0000-0000B90A0000}"/>
    <cellStyle name="Normal 4 2 3 2 3 4 3" xfId="3165" xr:uid="{00000000-0005-0000-0000-0000BA0A0000}"/>
    <cellStyle name="Normal 4 2 3 2 3 4 4" xfId="3166" xr:uid="{00000000-0005-0000-0000-0000BB0A0000}"/>
    <cellStyle name="Normal 4 2 3 2 3 4 5" xfId="3167" xr:uid="{00000000-0005-0000-0000-0000BC0A0000}"/>
    <cellStyle name="Normal 4 2 3 2 3 5" xfId="3168" xr:uid="{00000000-0005-0000-0000-0000BD0A0000}"/>
    <cellStyle name="Normal 4 2 3 2 3 5 2" xfId="3169" xr:uid="{00000000-0005-0000-0000-0000BE0A0000}"/>
    <cellStyle name="Normal 4 2 3 2 3 5 2 2" xfId="3170" xr:uid="{00000000-0005-0000-0000-0000BF0A0000}"/>
    <cellStyle name="Normal 4 2 3 2 3 5 2 3" xfId="3171" xr:uid="{00000000-0005-0000-0000-0000C00A0000}"/>
    <cellStyle name="Normal 4 2 3 2 3 5 3" xfId="3172" xr:uid="{00000000-0005-0000-0000-0000C10A0000}"/>
    <cellStyle name="Normal 4 2 3 2 3 5 4" xfId="3173" xr:uid="{00000000-0005-0000-0000-0000C20A0000}"/>
    <cellStyle name="Normal 4 2 3 2 3 5 5" xfId="3174" xr:uid="{00000000-0005-0000-0000-0000C30A0000}"/>
    <cellStyle name="Normal 4 2 3 2 3 6" xfId="3175" xr:uid="{00000000-0005-0000-0000-0000C40A0000}"/>
    <cellStyle name="Normal 4 2 3 2 3 6 2" xfId="3176" xr:uid="{00000000-0005-0000-0000-0000C50A0000}"/>
    <cellStyle name="Normal 4 2 3 2 3 6 3" xfId="3177" xr:uid="{00000000-0005-0000-0000-0000C60A0000}"/>
    <cellStyle name="Normal 4 2 3 2 3 7" xfId="3178" xr:uid="{00000000-0005-0000-0000-0000C70A0000}"/>
    <cellStyle name="Normal 4 2 3 2 3 8" xfId="3179" xr:uid="{00000000-0005-0000-0000-0000C80A0000}"/>
    <cellStyle name="Normal 4 2 3 2 3 9" xfId="3180" xr:uid="{00000000-0005-0000-0000-0000C90A0000}"/>
    <cellStyle name="Normal 4 2 3 2 4" xfId="3181" xr:uid="{00000000-0005-0000-0000-0000CA0A0000}"/>
    <cellStyle name="Normal 4 2 3 2 4 2" xfId="3182" xr:uid="{00000000-0005-0000-0000-0000CB0A0000}"/>
    <cellStyle name="Normal 4 2 3 2 4 2 2" xfId="3183" xr:uid="{00000000-0005-0000-0000-0000CC0A0000}"/>
    <cellStyle name="Normal 4 2 3 2 4 2 2 2" xfId="3184" xr:uid="{00000000-0005-0000-0000-0000CD0A0000}"/>
    <cellStyle name="Normal 4 2 3 2 4 2 2 2 2" xfId="3185" xr:uid="{00000000-0005-0000-0000-0000CE0A0000}"/>
    <cellStyle name="Normal 4 2 3 2 4 2 2 2 2 2" xfId="3186" xr:uid="{00000000-0005-0000-0000-0000CF0A0000}"/>
    <cellStyle name="Normal 4 2 3 2 4 2 2 2 2 3" xfId="3187" xr:uid="{00000000-0005-0000-0000-0000D00A0000}"/>
    <cellStyle name="Normal 4 2 3 2 4 2 2 2 3" xfId="3188" xr:uid="{00000000-0005-0000-0000-0000D10A0000}"/>
    <cellStyle name="Normal 4 2 3 2 4 2 2 2 4" xfId="3189" xr:uid="{00000000-0005-0000-0000-0000D20A0000}"/>
    <cellStyle name="Normal 4 2 3 2 4 2 2 2 5" xfId="3190" xr:uid="{00000000-0005-0000-0000-0000D30A0000}"/>
    <cellStyle name="Normal 4 2 3 2 4 2 2 3" xfId="3191" xr:uid="{00000000-0005-0000-0000-0000D40A0000}"/>
    <cellStyle name="Normal 4 2 3 2 4 2 2 3 2" xfId="3192" xr:uid="{00000000-0005-0000-0000-0000D50A0000}"/>
    <cellStyle name="Normal 4 2 3 2 4 2 2 3 2 2" xfId="3193" xr:uid="{00000000-0005-0000-0000-0000D60A0000}"/>
    <cellStyle name="Normal 4 2 3 2 4 2 2 3 2 3" xfId="3194" xr:uid="{00000000-0005-0000-0000-0000D70A0000}"/>
    <cellStyle name="Normal 4 2 3 2 4 2 2 3 3" xfId="3195" xr:uid="{00000000-0005-0000-0000-0000D80A0000}"/>
    <cellStyle name="Normal 4 2 3 2 4 2 2 3 4" xfId="3196" xr:uid="{00000000-0005-0000-0000-0000D90A0000}"/>
    <cellStyle name="Normal 4 2 3 2 4 2 2 3 5" xfId="3197" xr:uid="{00000000-0005-0000-0000-0000DA0A0000}"/>
    <cellStyle name="Normal 4 2 3 2 4 2 2 4" xfId="3198" xr:uid="{00000000-0005-0000-0000-0000DB0A0000}"/>
    <cellStyle name="Normal 4 2 3 2 4 2 2 4 2" xfId="3199" xr:uid="{00000000-0005-0000-0000-0000DC0A0000}"/>
    <cellStyle name="Normal 4 2 3 2 4 2 2 4 3" xfId="3200" xr:uid="{00000000-0005-0000-0000-0000DD0A0000}"/>
    <cellStyle name="Normal 4 2 3 2 4 2 2 5" xfId="3201" xr:uid="{00000000-0005-0000-0000-0000DE0A0000}"/>
    <cellStyle name="Normal 4 2 3 2 4 2 2 6" xfId="3202" xr:uid="{00000000-0005-0000-0000-0000DF0A0000}"/>
    <cellStyle name="Normal 4 2 3 2 4 2 2 7" xfId="3203" xr:uid="{00000000-0005-0000-0000-0000E00A0000}"/>
    <cellStyle name="Normal 4 2 3 2 4 2 3" xfId="3204" xr:uid="{00000000-0005-0000-0000-0000E10A0000}"/>
    <cellStyle name="Normal 4 2 3 2 4 2 3 2" xfId="3205" xr:uid="{00000000-0005-0000-0000-0000E20A0000}"/>
    <cellStyle name="Normal 4 2 3 2 4 2 3 2 2" xfId="3206" xr:uid="{00000000-0005-0000-0000-0000E30A0000}"/>
    <cellStyle name="Normal 4 2 3 2 4 2 3 2 3" xfId="3207" xr:uid="{00000000-0005-0000-0000-0000E40A0000}"/>
    <cellStyle name="Normal 4 2 3 2 4 2 3 3" xfId="3208" xr:uid="{00000000-0005-0000-0000-0000E50A0000}"/>
    <cellStyle name="Normal 4 2 3 2 4 2 3 4" xfId="3209" xr:uid="{00000000-0005-0000-0000-0000E60A0000}"/>
    <cellStyle name="Normal 4 2 3 2 4 2 3 5" xfId="3210" xr:uid="{00000000-0005-0000-0000-0000E70A0000}"/>
    <cellStyle name="Normal 4 2 3 2 4 2 4" xfId="3211" xr:uid="{00000000-0005-0000-0000-0000E80A0000}"/>
    <cellStyle name="Normal 4 2 3 2 4 2 4 2" xfId="3212" xr:uid="{00000000-0005-0000-0000-0000E90A0000}"/>
    <cellStyle name="Normal 4 2 3 2 4 2 4 2 2" xfId="3213" xr:uid="{00000000-0005-0000-0000-0000EA0A0000}"/>
    <cellStyle name="Normal 4 2 3 2 4 2 4 2 3" xfId="3214" xr:uid="{00000000-0005-0000-0000-0000EB0A0000}"/>
    <cellStyle name="Normal 4 2 3 2 4 2 4 3" xfId="3215" xr:uid="{00000000-0005-0000-0000-0000EC0A0000}"/>
    <cellStyle name="Normal 4 2 3 2 4 2 4 4" xfId="3216" xr:uid="{00000000-0005-0000-0000-0000ED0A0000}"/>
    <cellStyle name="Normal 4 2 3 2 4 2 4 5" xfId="3217" xr:uid="{00000000-0005-0000-0000-0000EE0A0000}"/>
    <cellStyle name="Normal 4 2 3 2 4 2 5" xfId="3218" xr:uid="{00000000-0005-0000-0000-0000EF0A0000}"/>
    <cellStyle name="Normal 4 2 3 2 4 2 5 2" xfId="3219" xr:uid="{00000000-0005-0000-0000-0000F00A0000}"/>
    <cellStyle name="Normal 4 2 3 2 4 2 5 3" xfId="3220" xr:uid="{00000000-0005-0000-0000-0000F10A0000}"/>
    <cellStyle name="Normal 4 2 3 2 4 2 6" xfId="3221" xr:uid="{00000000-0005-0000-0000-0000F20A0000}"/>
    <cellStyle name="Normal 4 2 3 2 4 2 7" xfId="3222" xr:uid="{00000000-0005-0000-0000-0000F30A0000}"/>
    <cellStyle name="Normal 4 2 3 2 4 2 8" xfId="3223" xr:uid="{00000000-0005-0000-0000-0000F40A0000}"/>
    <cellStyle name="Normal 4 2 3 2 4 3" xfId="3224" xr:uid="{00000000-0005-0000-0000-0000F50A0000}"/>
    <cellStyle name="Normal 4 2 3 2 4 3 2" xfId="3225" xr:uid="{00000000-0005-0000-0000-0000F60A0000}"/>
    <cellStyle name="Normal 4 2 3 2 4 3 2 2" xfId="3226" xr:uid="{00000000-0005-0000-0000-0000F70A0000}"/>
    <cellStyle name="Normal 4 2 3 2 4 3 2 2 2" xfId="3227" xr:uid="{00000000-0005-0000-0000-0000F80A0000}"/>
    <cellStyle name="Normal 4 2 3 2 4 3 2 2 3" xfId="3228" xr:uid="{00000000-0005-0000-0000-0000F90A0000}"/>
    <cellStyle name="Normal 4 2 3 2 4 3 2 3" xfId="3229" xr:uid="{00000000-0005-0000-0000-0000FA0A0000}"/>
    <cellStyle name="Normal 4 2 3 2 4 3 2 4" xfId="3230" xr:uid="{00000000-0005-0000-0000-0000FB0A0000}"/>
    <cellStyle name="Normal 4 2 3 2 4 3 2 5" xfId="3231" xr:uid="{00000000-0005-0000-0000-0000FC0A0000}"/>
    <cellStyle name="Normal 4 2 3 2 4 3 3" xfId="3232" xr:uid="{00000000-0005-0000-0000-0000FD0A0000}"/>
    <cellStyle name="Normal 4 2 3 2 4 3 3 2" xfId="3233" xr:uid="{00000000-0005-0000-0000-0000FE0A0000}"/>
    <cellStyle name="Normal 4 2 3 2 4 3 3 2 2" xfId="3234" xr:uid="{00000000-0005-0000-0000-0000FF0A0000}"/>
    <cellStyle name="Normal 4 2 3 2 4 3 3 2 3" xfId="3235" xr:uid="{00000000-0005-0000-0000-0000000B0000}"/>
    <cellStyle name="Normal 4 2 3 2 4 3 3 3" xfId="3236" xr:uid="{00000000-0005-0000-0000-0000010B0000}"/>
    <cellStyle name="Normal 4 2 3 2 4 3 3 4" xfId="3237" xr:uid="{00000000-0005-0000-0000-0000020B0000}"/>
    <cellStyle name="Normal 4 2 3 2 4 3 3 5" xfId="3238" xr:uid="{00000000-0005-0000-0000-0000030B0000}"/>
    <cellStyle name="Normal 4 2 3 2 4 3 4" xfId="3239" xr:uid="{00000000-0005-0000-0000-0000040B0000}"/>
    <cellStyle name="Normal 4 2 3 2 4 3 4 2" xfId="3240" xr:uid="{00000000-0005-0000-0000-0000050B0000}"/>
    <cellStyle name="Normal 4 2 3 2 4 3 4 3" xfId="3241" xr:uid="{00000000-0005-0000-0000-0000060B0000}"/>
    <cellStyle name="Normal 4 2 3 2 4 3 5" xfId="3242" xr:uid="{00000000-0005-0000-0000-0000070B0000}"/>
    <cellStyle name="Normal 4 2 3 2 4 3 6" xfId="3243" xr:uid="{00000000-0005-0000-0000-0000080B0000}"/>
    <cellStyle name="Normal 4 2 3 2 4 3 7" xfId="3244" xr:uid="{00000000-0005-0000-0000-0000090B0000}"/>
    <cellStyle name="Normal 4 2 3 2 4 4" xfId="3245" xr:uid="{00000000-0005-0000-0000-00000A0B0000}"/>
    <cellStyle name="Normal 4 2 3 2 4 4 2" xfId="3246" xr:uid="{00000000-0005-0000-0000-00000B0B0000}"/>
    <cellStyle name="Normal 4 2 3 2 4 4 2 2" xfId="3247" xr:uid="{00000000-0005-0000-0000-00000C0B0000}"/>
    <cellStyle name="Normal 4 2 3 2 4 4 2 3" xfId="3248" xr:uid="{00000000-0005-0000-0000-00000D0B0000}"/>
    <cellStyle name="Normal 4 2 3 2 4 4 3" xfId="3249" xr:uid="{00000000-0005-0000-0000-00000E0B0000}"/>
    <cellStyle name="Normal 4 2 3 2 4 4 4" xfId="3250" xr:uid="{00000000-0005-0000-0000-00000F0B0000}"/>
    <cellStyle name="Normal 4 2 3 2 4 4 5" xfId="3251" xr:uid="{00000000-0005-0000-0000-0000100B0000}"/>
    <cellStyle name="Normal 4 2 3 2 4 5" xfId="3252" xr:uid="{00000000-0005-0000-0000-0000110B0000}"/>
    <cellStyle name="Normal 4 2 3 2 4 5 2" xfId="3253" xr:uid="{00000000-0005-0000-0000-0000120B0000}"/>
    <cellStyle name="Normal 4 2 3 2 4 5 2 2" xfId="3254" xr:uid="{00000000-0005-0000-0000-0000130B0000}"/>
    <cellStyle name="Normal 4 2 3 2 4 5 2 3" xfId="3255" xr:uid="{00000000-0005-0000-0000-0000140B0000}"/>
    <cellStyle name="Normal 4 2 3 2 4 5 3" xfId="3256" xr:uid="{00000000-0005-0000-0000-0000150B0000}"/>
    <cellStyle name="Normal 4 2 3 2 4 5 4" xfId="3257" xr:uid="{00000000-0005-0000-0000-0000160B0000}"/>
    <cellStyle name="Normal 4 2 3 2 4 5 5" xfId="3258" xr:uid="{00000000-0005-0000-0000-0000170B0000}"/>
    <cellStyle name="Normal 4 2 3 2 4 6" xfId="3259" xr:uid="{00000000-0005-0000-0000-0000180B0000}"/>
    <cellStyle name="Normal 4 2 3 2 4 6 2" xfId="3260" xr:uid="{00000000-0005-0000-0000-0000190B0000}"/>
    <cellStyle name="Normal 4 2 3 2 4 6 3" xfId="3261" xr:uid="{00000000-0005-0000-0000-00001A0B0000}"/>
    <cellStyle name="Normal 4 2 3 2 4 7" xfId="3262" xr:uid="{00000000-0005-0000-0000-00001B0B0000}"/>
    <cellStyle name="Normal 4 2 3 2 4 8" xfId="3263" xr:uid="{00000000-0005-0000-0000-00001C0B0000}"/>
    <cellStyle name="Normal 4 2 3 2 4 9" xfId="3264" xr:uid="{00000000-0005-0000-0000-00001D0B0000}"/>
    <cellStyle name="Normal 4 2 3 2 5" xfId="3265" xr:uid="{00000000-0005-0000-0000-00001E0B0000}"/>
    <cellStyle name="Normal 4 2 3 2 5 2" xfId="3266" xr:uid="{00000000-0005-0000-0000-00001F0B0000}"/>
    <cellStyle name="Normal 4 2 3 2 5 2 2" xfId="3267" xr:uid="{00000000-0005-0000-0000-0000200B0000}"/>
    <cellStyle name="Normal 4 2 3 2 5 2 2 2" xfId="3268" xr:uid="{00000000-0005-0000-0000-0000210B0000}"/>
    <cellStyle name="Normal 4 2 3 2 5 2 2 2 2" xfId="3269" xr:uid="{00000000-0005-0000-0000-0000220B0000}"/>
    <cellStyle name="Normal 4 2 3 2 5 2 2 2 3" xfId="3270" xr:uid="{00000000-0005-0000-0000-0000230B0000}"/>
    <cellStyle name="Normal 4 2 3 2 5 2 2 3" xfId="3271" xr:uid="{00000000-0005-0000-0000-0000240B0000}"/>
    <cellStyle name="Normal 4 2 3 2 5 2 2 4" xfId="3272" xr:uid="{00000000-0005-0000-0000-0000250B0000}"/>
    <cellStyle name="Normal 4 2 3 2 5 2 2 5" xfId="3273" xr:uid="{00000000-0005-0000-0000-0000260B0000}"/>
    <cellStyle name="Normal 4 2 3 2 5 2 3" xfId="3274" xr:uid="{00000000-0005-0000-0000-0000270B0000}"/>
    <cellStyle name="Normal 4 2 3 2 5 2 3 2" xfId="3275" xr:uid="{00000000-0005-0000-0000-0000280B0000}"/>
    <cellStyle name="Normal 4 2 3 2 5 2 3 2 2" xfId="3276" xr:uid="{00000000-0005-0000-0000-0000290B0000}"/>
    <cellStyle name="Normal 4 2 3 2 5 2 3 2 3" xfId="3277" xr:uid="{00000000-0005-0000-0000-00002A0B0000}"/>
    <cellStyle name="Normal 4 2 3 2 5 2 3 3" xfId="3278" xr:uid="{00000000-0005-0000-0000-00002B0B0000}"/>
    <cellStyle name="Normal 4 2 3 2 5 2 3 4" xfId="3279" xr:uid="{00000000-0005-0000-0000-00002C0B0000}"/>
    <cellStyle name="Normal 4 2 3 2 5 2 3 5" xfId="3280" xr:uid="{00000000-0005-0000-0000-00002D0B0000}"/>
    <cellStyle name="Normal 4 2 3 2 5 2 4" xfId="3281" xr:uid="{00000000-0005-0000-0000-00002E0B0000}"/>
    <cellStyle name="Normal 4 2 3 2 5 2 4 2" xfId="3282" xr:uid="{00000000-0005-0000-0000-00002F0B0000}"/>
    <cellStyle name="Normal 4 2 3 2 5 2 4 3" xfId="3283" xr:uid="{00000000-0005-0000-0000-0000300B0000}"/>
    <cellStyle name="Normal 4 2 3 2 5 2 5" xfId="3284" xr:uid="{00000000-0005-0000-0000-0000310B0000}"/>
    <cellStyle name="Normal 4 2 3 2 5 2 6" xfId="3285" xr:uid="{00000000-0005-0000-0000-0000320B0000}"/>
    <cellStyle name="Normal 4 2 3 2 5 2 7" xfId="3286" xr:uid="{00000000-0005-0000-0000-0000330B0000}"/>
    <cellStyle name="Normal 4 2 3 2 5 3" xfId="3287" xr:uid="{00000000-0005-0000-0000-0000340B0000}"/>
    <cellStyle name="Normal 4 2 3 2 5 3 2" xfId="3288" xr:uid="{00000000-0005-0000-0000-0000350B0000}"/>
    <cellStyle name="Normal 4 2 3 2 5 3 2 2" xfId="3289" xr:uid="{00000000-0005-0000-0000-0000360B0000}"/>
    <cellStyle name="Normal 4 2 3 2 5 3 2 3" xfId="3290" xr:uid="{00000000-0005-0000-0000-0000370B0000}"/>
    <cellStyle name="Normal 4 2 3 2 5 3 3" xfId="3291" xr:uid="{00000000-0005-0000-0000-0000380B0000}"/>
    <cellStyle name="Normal 4 2 3 2 5 3 4" xfId="3292" xr:uid="{00000000-0005-0000-0000-0000390B0000}"/>
    <cellStyle name="Normal 4 2 3 2 5 3 5" xfId="3293" xr:uid="{00000000-0005-0000-0000-00003A0B0000}"/>
    <cellStyle name="Normal 4 2 3 2 5 4" xfId="3294" xr:uid="{00000000-0005-0000-0000-00003B0B0000}"/>
    <cellStyle name="Normal 4 2 3 2 5 4 2" xfId="3295" xr:uid="{00000000-0005-0000-0000-00003C0B0000}"/>
    <cellStyle name="Normal 4 2 3 2 5 4 2 2" xfId="3296" xr:uid="{00000000-0005-0000-0000-00003D0B0000}"/>
    <cellStyle name="Normal 4 2 3 2 5 4 2 3" xfId="3297" xr:uid="{00000000-0005-0000-0000-00003E0B0000}"/>
    <cellStyle name="Normal 4 2 3 2 5 4 3" xfId="3298" xr:uid="{00000000-0005-0000-0000-00003F0B0000}"/>
    <cellStyle name="Normal 4 2 3 2 5 4 4" xfId="3299" xr:uid="{00000000-0005-0000-0000-0000400B0000}"/>
    <cellStyle name="Normal 4 2 3 2 5 4 5" xfId="3300" xr:uid="{00000000-0005-0000-0000-0000410B0000}"/>
    <cellStyle name="Normal 4 2 3 2 5 5" xfId="3301" xr:uid="{00000000-0005-0000-0000-0000420B0000}"/>
    <cellStyle name="Normal 4 2 3 2 5 5 2" xfId="3302" xr:uid="{00000000-0005-0000-0000-0000430B0000}"/>
    <cellStyle name="Normal 4 2 3 2 5 5 3" xfId="3303" xr:uid="{00000000-0005-0000-0000-0000440B0000}"/>
    <cellStyle name="Normal 4 2 3 2 5 6" xfId="3304" xr:uid="{00000000-0005-0000-0000-0000450B0000}"/>
    <cellStyle name="Normal 4 2 3 2 5 7" xfId="3305" xr:uid="{00000000-0005-0000-0000-0000460B0000}"/>
    <cellStyle name="Normal 4 2 3 2 5 8" xfId="3306" xr:uid="{00000000-0005-0000-0000-0000470B0000}"/>
    <cellStyle name="Normal 4 2 3 2 6" xfId="3307" xr:uid="{00000000-0005-0000-0000-0000480B0000}"/>
    <cellStyle name="Normal 4 2 3 2 6 2" xfId="3308" xr:uid="{00000000-0005-0000-0000-0000490B0000}"/>
    <cellStyle name="Normal 4 2 3 2 6 2 2" xfId="3309" xr:uid="{00000000-0005-0000-0000-00004A0B0000}"/>
    <cellStyle name="Normal 4 2 3 2 6 2 2 2" xfId="3310" xr:uid="{00000000-0005-0000-0000-00004B0B0000}"/>
    <cellStyle name="Normal 4 2 3 2 6 2 2 3" xfId="3311" xr:uid="{00000000-0005-0000-0000-00004C0B0000}"/>
    <cellStyle name="Normal 4 2 3 2 6 2 3" xfId="3312" xr:uid="{00000000-0005-0000-0000-00004D0B0000}"/>
    <cellStyle name="Normal 4 2 3 2 6 2 4" xfId="3313" xr:uid="{00000000-0005-0000-0000-00004E0B0000}"/>
    <cellStyle name="Normal 4 2 3 2 6 2 5" xfId="3314" xr:uid="{00000000-0005-0000-0000-00004F0B0000}"/>
    <cellStyle name="Normal 4 2 3 2 6 3" xfId="3315" xr:uid="{00000000-0005-0000-0000-0000500B0000}"/>
    <cellStyle name="Normal 4 2 3 2 6 3 2" xfId="3316" xr:uid="{00000000-0005-0000-0000-0000510B0000}"/>
    <cellStyle name="Normal 4 2 3 2 6 3 2 2" xfId="3317" xr:uid="{00000000-0005-0000-0000-0000520B0000}"/>
    <cellStyle name="Normal 4 2 3 2 6 3 2 3" xfId="3318" xr:uid="{00000000-0005-0000-0000-0000530B0000}"/>
    <cellStyle name="Normal 4 2 3 2 6 3 3" xfId="3319" xr:uid="{00000000-0005-0000-0000-0000540B0000}"/>
    <cellStyle name="Normal 4 2 3 2 6 3 4" xfId="3320" xr:uid="{00000000-0005-0000-0000-0000550B0000}"/>
    <cellStyle name="Normal 4 2 3 2 6 3 5" xfId="3321" xr:uid="{00000000-0005-0000-0000-0000560B0000}"/>
    <cellStyle name="Normal 4 2 3 2 6 4" xfId="3322" xr:uid="{00000000-0005-0000-0000-0000570B0000}"/>
    <cellStyle name="Normal 4 2 3 2 6 4 2" xfId="3323" xr:uid="{00000000-0005-0000-0000-0000580B0000}"/>
    <cellStyle name="Normal 4 2 3 2 6 4 3" xfId="3324" xr:uid="{00000000-0005-0000-0000-0000590B0000}"/>
    <cellStyle name="Normal 4 2 3 2 6 5" xfId="3325" xr:uid="{00000000-0005-0000-0000-00005A0B0000}"/>
    <cellStyle name="Normal 4 2 3 2 6 6" xfId="3326" xr:uid="{00000000-0005-0000-0000-00005B0B0000}"/>
    <cellStyle name="Normal 4 2 3 2 6 7" xfId="3327" xr:uid="{00000000-0005-0000-0000-00005C0B0000}"/>
    <cellStyle name="Normal 4 2 3 2 7" xfId="3328" xr:uid="{00000000-0005-0000-0000-00005D0B0000}"/>
    <cellStyle name="Normal 4 2 3 2 7 2" xfId="3329" xr:uid="{00000000-0005-0000-0000-00005E0B0000}"/>
    <cellStyle name="Normal 4 2 3 2 7 2 2" xfId="3330" xr:uid="{00000000-0005-0000-0000-00005F0B0000}"/>
    <cellStyle name="Normal 4 2 3 2 7 2 3" xfId="3331" xr:uid="{00000000-0005-0000-0000-0000600B0000}"/>
    <cellStyle name="Normal 4 2 3 2 7 3" xfId="3332" xr:uid="{00000000-0005-0000-0000-0000610B0000}"/>
    <cellStyle name="Normal 4 2 3 2 7 4" xfId="3333" xr:uid="{00000000-0005-0000-0000-0000620B0000}"/>
    <cellStyle name="Normal 4 2 3 2 7 5" xfId="3334" xr:uid="{00000000-0005-0000-0000-0000630B0000}"/>
    <cellStyle name="Normal 4 2 3 2 8" xfId="3335" xr:uid="{00000000-0005-0000-0000-0000640B0000}"/>
    <cellStyle name="Normal 4 2 3 2 8 2" xfId="3336" xr:uid="{00000000-0005-0000-0000-0000650B0000}"/>
    <cellStyle name="Normal 4 2 3 2 8 2 2" xfId="3337" xr:uid="{00000000-0005-0000-0000-0000660B0000}"/>
    <cellStyle name="Normal 4 2 3 2 8 2 3" xfId="3338" xr:uid="{00000000-0005-0000-0000-0000670B0000}"/>
    <cellStyle name="Normal 4 2 3 2 8 3" xfId="3339" xr:uid="{00000000-0005-0000-0000-0000680B0000}"/>
    <cellStyle name="Normal 4 2 3 2 8 4" xfId="3340" xr:uid="{00000000-0005-0000-0000-0000690B0000}"/>
    <cellStyle name="Normal 4 2 3 2 8 5" xfId="3341" xr:uid="{00000000-0005-0000-0000-00006A0B0000}"/>
    <cellStyle name="Normal 4 2 3 2 9" xfId="3342" xr:uid="{00000000-0005-0000-0000-00006B0B0000}"/>
    <cellStyle name="Normal 4 2 3 2 9 2" xfId="3343" xr:uid="{00000000-0005-0000-0000-00006C0B0000}"/>
    <cellStyle name="Normal 4 2 3 2 9 3" xfId="3344" xr:uid="{00000000-0005-0000-0000-00006D0B0000}"/>
    <cellStyle name="Normal 4 2 3 3" xfId="3345" xr:uid="{00000000-0005-0000-0000-00006E0B0000}"/>
    <cellStyle name="Normal 4 2 3 3 2" xfId="3346" xr:uid="{00000000-0005-0000-0000-00006F0B0000}"/>
    <cellStyle name="Normal 4 2 3 3 2 2" xfId="3347" xr:uid="{00000000-0005-0000-0000-0000700B0000}"/>
    <cellStyle name="Normal 4 2 3 3 2 2 2" xfId="3348" xr:uid="{00000000-0005-0000-0000-0000710B0000}"/>
    <cellStyle name="Normal 4 2 3 3 2 2 2 2" xfId="3349" xr:uid="{00000000-0005-0000-0000-0000720B0000}"/>
    <cellStyle name="Normal 4 2 3 3 2 2 2 2 2" xfId="3350" xr:uid="{00000000-0005-0000-0000-0000730B0000}"/>
    <cellStyle name="Normal 4 2 3 3 2 2 2 2 3" xfId="3351" xr:uid="{00000000-0005-0000-0000-0000740B0000}"/>
    <cellStyle name="Normal 4 2 3 3 2 2 2 3" xfId="3352" xr:uid="{00000000-0005-0000-0000-0000750B0000}"/>
    <cellStyle name="Normal 4 2 3 3 2 2 2 4" xfId="3353" xr:uid="{00000000-0005-0000-0000-0000760B0000}"/>
    <cellStyle name="Normal 4 2 3 3 2 2 2 5" xfId="3354" xr:uid="{00000000-0005-0000-0000-0000770B0000}"/>
    <cellStyle name="Normal 4 2 3 3 2 2 3" xfId="3355" xr:uid="{00000000-0005-0000-0000-0000780B0000}"/>
    <cellStyle name="Normal 4 2 3 3 2 2 3 2" xfId="3356" xr:uid="{00000000-0005-0000-0000-0000790B0000}"/>
    <cellStyle name="Normal 4 2 3 3 2 2 3 2 2" xfId="3357" xr:uid="{00000000-0005-0000-0000-00007A0B0000}"/>
    <cellStyle name="Normal 4 2 3 3 2 2 3 2 3" xfId="3358" xr:uid="{00000000-0005-0000-0000-00007B0B0000}"/>
    <cellStyle name="Normal 4 2 3 3 2 2 3 3" xfId="3359" xr:uid="{00000000-0005-0000-0000-00007C0B0000}"/>
    <cellStyle name="Normal 4 2 3 3 2 2 3 4" xfId="3360" xr:uid="{00000000-0005-0000-0000-00007D0B0000}"/>
    <cellStyle name="Normal 4 2 3 3 2 2 3 5" xfId="3361" xr:uid="{00000000-0005-0000-0000-00007E0B0000}"/>
    <cellStyle name="Normal 4 2 3 3 2 2 4" xfId="3362" xr:uid="{00000000-0005-0000-0000-00007F0B0000}"/>
    <cellStyle name="Normal 4 2 3 3 2 2 4 2" xfId="3363" xr:uid="{00000000-0005-0000-0000-0000800B0000}"/>
    <cellStyle name="Normal 4 2 3 3 2 2 4 3" xfId="3364" xr:uid="{00000000-0005-0000-0000-0000810B0000}"/>
    <cellStyle name="Normal 4 2 3 3 2 2 5" xfId="3365" xr:uid="{00000000-0005-0000-0000-0000820B0000}"/>
    <cellStyle name="Normal 4 2 3 3 2 2 6" xfId="3366" xr:uid="{00000000-0005-0000-0000-0000830B0000}"/>
    <cellStyle name="Normal 4 2 3 3 2 2 7" xfId="3367" xr:uid="{00000000-0005-0000-0000-0000840B0000}"/>
    <cellStyle name="Normal 4 2 3 3 2 3" xfId="3368" xr:uid="{00000000-0005-0000-0000-0000850B0000}"/>
    <cellStyle name="Normal 4 2 3 3 2 3 2" xfId="3369" xr:uid="{00000000-0005-0000-0000-0000860B0000}"/>
    <cellStyle name="Normal 4 2 3 3 2 3 2 2" xfId="3370" xr:uid="{00000000-0005-0000-0000-0000870B0000}"/>
    <cellStyle name="Normal 4 2 3 3 2 3 2 3" xfId="3371" xr:uid="{00000000-0005-0000-0000-0000880B0000}"/>
    <cellStyle name="Normal 4 2 3 3 2 3 3" xfId="3372" xr:uid="{00000000-0005-0000-0000-0000890B0000}"/>
    <cellStyle name="Normal 4 2 3 3 2 3 4" xfId="3373" xr:uid="{00000000-0005-0000-0000-00008A0B0000}"/>
    <cellStyle name="Normal 4 2 3 3 2 3 5" xfId="3374" xr:uid="{00000000-0005-0000-0000-00008B0B0000}"/>
    <cellStyle name="Normal 4 2 3 3 2 4" xfId="3375" xr:uid="{00000000-0005-0000-0000-00008C0B0000}"/>
    <cellStyle name="Normal 4 2 3 3 2 4 2" xfId="3376" xr:uid="{00000000-0005-0000-0000-00008D0B0000}"/>
    <cellStyle name="Normal 4 2 3 3 2 4 2 2" xfId="3377" xr:uid="{00000000-0005-0000-0000-00008E0B0000}"/>
    <cellStyle name="Normal 4 2 3 3 2 4 2 3" xfId="3378" xr:uid="{00000000-0005-0000-0000-00008F0B0000}"/>
    <cellStyle name="Normal 4 2 3 3 2 4 3" xfId="3379" xr:uid="{00000000-0005-0000-0000-0000900B0000}"/>
    <cellStyle name="Normal 4 2 3 3 2 4 4" xfId="3380" xr:uid="{00000000-0005-0000-0000-0000910B0000}"/>
    <cellStyle name="Normal 4 2 3 3 2 4 5" xfId="3381" xr:uid="{00000000-0005-0000-0000-0000920B0000}"/>
    <cellStyle name="Normal 4 2 3 3 2 5" xfId="3382" xr:uid="{00000000-0005-0000-0000-0000930B0000}"/>
    <cellStyle name="Normal 4 2 3 3 2 5 2" xfId="3383" xr:uid="{00000000-0005-0000-0000-0000940B0000}"/>
    <cellStyle name="Normal 4 2 3 3 2 5 3" xfId="3384" xr:uid="{00000000-0005-0000-0000-0000950B0000}"/>
    <cellStyle name="Normal 4 2 3 3 2 6" xfId="3385" xr:uid="{00000000-0005-0000-0000-0000960B0000}"/>
    <cellStyle name="Normal 4 2 3 3 2 7" xfId="3386" xr:uid="{00000000-0005-0000-0000-0000970B0000}"/>
    <cellStyle name="Normal 4 2 3 3 2 8" xfId="3387" xr:uid="{00000000-0005-0000-0000-0000980B0000}"/>
    <cellStyle name="Normal 4 2 3 3 3" xfId="3388" xr:uid="{00000000-0005-0000-0000-0000990B0000}"/>
    <cellStyle name="Normal 4 2 3 3 3 2" xfId="3389" xr:uid="{00000000-0005-0000-0000-00009A0B0000}"/>
    <cellStyle name="Normal 4 2 3 3 3 2 2" xfId="3390" xr:uid="{00000000-0005-0000-0000-00009B0B0000}"/>
    <cellStyle name="Normal 4 2 3 3 3 2 2 2" xfId="3391" xr:uid="{00000000-0005-0000-0000-00009C0B0000}"/>
    <cellStyle name="Normal 4 2 3 3 3 2 2 3" xfId="3392" xr:uid="{00000000-0005-0000-0000-00009D0B0000}"/>
    <cellStyle name="Normal 4 2 3 3 3 2 3" xfId="3393" xr:uid="{00000000-0005-0000-0000-00009E0B0000}"/>
    <cellStyle name="Normal 4 2 3 3 3 2 4" xfId="3394" xr:uid="{00000000-0005-0000-0000-00009F0B0000}"/>
    <cellStyle name="Normal 4 2 3 3 3 2 5" xfId="3395" xr:uid="{00000000-0005-0000-0000-0000A00B0000}"/>
    <cellStyle name="Normal 4 2 3 3 3 3" xfId="3396" xr:uid="{00000000-0005-0000-0000-0000A10B0000}"/>
    <cellStyle name="Normal 4 2 3 3 3 3 2" xfId="3397" xr:uid="{00000000-0005-0000-0000-0000A20B0000}"/>
    <cellStyle name="Normal 4 2 3 3 3 3 2 2" xfId="3398" xr:uid="{00000000-0005-0000-0000-0000A30B0000}"/>
    <cellStyle name="Normal 4 2 3 3 3 3 2 3" xfId="3399" xr:uid="{00000000-0005-0000-0000-0000A40B0000}"/>
    <cellStyle name="Normal 4 2 3 3 3 3 3" xfId="3400" xr:uid="{00000000-0005-0000-0000-0000A50B0000}"/>
    <cellStyle name="Normal 4 2 3 3 3 3 4" xfId="3401" xr:uid="{00000000-0005-0000-0000-0000A60B0000}"/>
    <cellStyle name="Normal 4 2 3 3 3 3 5" xfId="3402" xr:uid="{00000000-0005-0000-0000-0000A70B0000}"/>
    <cellStyle name="Normal 4 2 3 3 3 4" xfId="3403" xr:uid="{00000000-0005-0000-0000-0000A80B0000}"/>
    <cellStyle name="Normal 4 2 3 3 3 4 2" xfId="3404" xr:uid="{00000000-0005-0000-0000-0000A90B0000}"/>
    <cellStyle name="Normal 4 2 3 3 3 4 3" xfId="3405" xr:uid="{00000000-0005-0000-0000-0000AA0B0000}"/>
    <cellStyle name="Normal 4 2 3 3 3 5" xfId="3406" xr:uid="{00000000-0005-0000-0000-0000AB0B0000}"/>
    <cellStyle name="Normal 4 2 3 3 3 6" xfId="3407" xr:uid="{00000000-0005-0000-0000-0000AC0B0000}"/>
    <cellStyle name="Normal 4 2 3 3 3 7" xfId="3408" xr:uid="{00000000-0005-0000-0000-0000AD0B0000}"/>
    <cellStyle name="Normal 4 2 3 3 4" xfId="3409" xr:uid="{00000000-0005-0000-0000-0000AE0B0000}"/>
    <cellStyle name="Normal 4 2 3 3 4 2" xfId="3410" xr:uid="{00000000-0005-0000-0000-0000AF0B0000}"/>
    <cellStyle name="Normal 4 2 3 3 4 2 2" xfId="3411" xr:uid="{00000000-0005-0000-0000-0000B00B0000}"/>
    <cellStyle name="Normal 4 2 3 3 4 2 3" xfId="3412" xr:uid="{00000000-0005-0000-0000-0000B10B0000}"/>
    <cellStyle name="Normal 4 2 3 3 4 3" xfId="3413" xr:uid="{00000000-0005-0000-0000-0000B20B0000}"/>
    <cellStyle name="Normal 4 2 3 3 4 4" xfId="3414" xr:uid="{00000000-0005-0000-0000-0000B30B0000}"/>
    <cellStyle name="Normal 4 2 3 3 4 5" xfId="3415" xr:uid="{00000000-0005-0000-0000-0000B40B0000}"/>
    <cellStyle name="Normal 4 2 3 3 5" xfId="3416" xr:uid="{00000000-0005-0000-0000-0000B50B0000}"/>
    <cellStyle name="Normal 4 2 3 3 5 2" xfId="3417" xr:uid="{00000000-0005-0000-0000-0000B60B0000}"/>
    <cellStyle name="Normal 4 2 3 3 5 2 2" xfId="3418" xr:uid="{00000000-0005-0000-0000-0000B70B0000}"/>
    <cellStyle name="Normal 4 2 3 3 5 2 3" xfId="3419" xr:uid="{00000000-0005-0000-0000-0000B80B0000}"/>
    <cellStyle name="Normal 4 2 3 3 5 3" xfId="3420" xr:uid="{00000000-0005-0000-0000-0000B90B0000}"/>
    <cellStyle name="Normal 4 2 3 3 5 4" xfId="3421" xr:uid="{00000000-0005-0000-0000-0000BA0B0000}"/>
    <cellStyle name="Normal 4 2 3 3 5 5" xfId="3422" xr:uid="{00000000-0005-0000-0000-0000BB0B0000}"/>
    <cellStyle name="Normal 4 2 3 3 6" xfId="3423" xr:uid="{00000000-0005-0000-0000-0000BC0B0000}"/>
    <cellStyle name="Normal 4 2 3 3 6 2" xfId="3424" xr:uid="{00000000-0005-0000-0000-0000BD0B0000}"/>
    <cellStyle name="Normal 4 2 3 3 6 3" xfId="3425" xr:uid="{00000000-0005-0000-0000-0000BE0B0000}"/>
    <cellStyle name="Normal 4 2 3 3 7" xfId="3426" xr:uid="{00000000-0005-0000-0000-0000BF0B0000}"/>
    <cellStyle name="Normal 4 2 3 3 8" xfId="3427" xr:uid="{00000000-0005-0000-0000-0000C00B0000}"/>
    <cellStyle name="Normal 4 2 3 3 9" xfId="3428" xr:uid="{00000000-0005-0000-0000-0000C10B0000}"/>
    <cellStyle name="Normal 4 2 3 4" xfId="3429" xr:uid="{00000000-0005-0000-0000-0000C20B0000}"/>
    <cellStyle name="Normal 4 2 3 4 2" xfId="3430" xr:uid="{00000000-0005-0000-0000-0000C30B0000}"/>
    <cellStyle name="Normal 4 2 3 4 2 2" xfId="3431" xr:uid="{00000000-0005-0000-0000-0000C40B0000}"/>
    <cellStyle name="Normal 4 2 3 4 2 2 2" xfId="3432" xr:uid="{00000000-0005-0000-0000-0000C50B0000}"/>
    <cellStyle name="Normal 4 2 3 4 2 2 2 2" xfId="3433" xr:uid="{00000000-0005-0000-0000-0000C60B0000}"/>
    <cellStyle name="Normal 4 2 3 4 2 2 2 2 2" xfId="3434" xr:uid="{00000000-0005-0000-0000-0000C70B0000}"/>
    <cellStyle name="Normal 4 2 3 4 2 2 2 2 3" xfId="3435" xr:uid="{00000000-0005-0000-0000-0000C80B0000}"/>
    <cellStyle name="Normal 4 2 3 4 2 2 2 3" xfId="3436" xr:uid="{00000000-0005-0000-0000-0000C90B0000}"/>
    <cellStyle name="Normal 4 2 3 4 2 2 2 4" xfId="3437" xr:uid="{00000000-0005-0000-0000-0000CA0B0000}"/>
    <cellStyle name="Normal 4 2 3 4 2 2 2 5" xfId="3438" xr:uid="{00000000-0005-0000-0000-0000CB0B0000}"/>
    <cellStyle name="Normal 4 2 3 4 2 2 3" xfId="3439" xr:uid="{00000000-0005-0000-0000-0000CC0B0000}"/>
    <cellStyle name="Normal 4 2 3 4 2 2 3 2" xfId="3440" xr:uid="{00000000-0005-0000-0000-0000CD0B0000}"/>
    <cellStyle name="Normal 4 2 3 4 2 2 3 2 2" xfId="3441" xr:uid="{00000000-0005-0000-0000-0000CE0B0000}"/>
    <cellStyle name="Normal 4 2 3 4 2 2 3 2 3" xfId="3442" xr:uid="{00000000-0005-0000-0000-0000CF0B0000}"/>
    <cellStyle name="Normal 4 2 3 4 2 2 3 3" xfId="3443" xr:uid="{00000000-0005-0000-0000-0000D00B0000}"/>
    <cellStyle name="Normal 4 2 3 4 2 2 3 4" xfId="3444" xr:uid="{00000000-0005-0000-0000-0000D10B0000}"/>
    <cellStyle name="Normal 4 2 3 4 2 2 3 5" xfId="3445" xr:uid="{00000000-0005-0000-0000-0000D20B0000}"/>
    <cellStyle name="Normal 4 2 3 4 2 2 4" xfId="3446" xr:uid="{00000000-0005-0000-0000-0000D30B0000}"/>
    <cellStyle name="Normal 4 2 3 4 2 2 4 2" xfId="3447" xr:uid="{00000000-0005-0000-0000-0000D40B0000}"/>
    <cellStyle name="Normal 4 2 3 4 2 2 4 3" xfId="3448" xr:uid="{00000000-0005-0000-0000-0000D50B0000}"/>
    <cellStyle name="Normal 4 2 3 4 2 2 5" xfId="3449" xr:uid="{00000000-0005-0000-0000-0000D60B0000}"/>
    <cellStyle name="Normal 4 2 3 4 2 2 6" xfId="3450" xr:uid="{00000000-0005-0000-0000-0000D70B0000}"/>
    <cellStyle name="Normal 4 2 3 4 2 2 7" xfId="3451" xr:uid="{00000000-0005-0000-0000-0000D80B0000}"/>
    <cellStyle name="Normal 4 2 3 4 2 3" xfId="3452" xr:uid="{00000000-0005-0000-0000-0000D90B0000}"/>
    <cellStyle name="Normal 4 2 3 4 2 3 2" xfId="3453" xr:uid="{00000000-0005-0000-0000-0000DA0B0000}"/>
    <cellStyle name="Normal 4 2 3 4 2 3 2 2" xfId="3454" xr:uid="{00000000-0005-0000-0000-0000DB0B0000}"/>
    <cellStyle name="Normal 4 2 3 4 2 3 2 3" xfId="3455" xr:uid="{00000000-0005-0000-0000-0000DC0B0000}"/>
    <cellStyle name="Normal 4 2 3 4 2 3 3" xfId="3456" xr:uid="{00000000-0005-0000-0000-0000DD0B0000}"/>
    <cellStyle name="Normal 4 2 3 4 2 3 4" xfId="3457" xr:uid="{00000000-0005-0000-0000-0000DE0B0000}"/>
    <cellStyle name="Normal 4 2 3 4 2 3 5" xfId="3458" xr:uid="{00000000-0005-0000-0000-0000DF0B0000}"/>
    <cellStyle name="Normal 4 2 3 4 2 4" xfId="3459" xr:uid="{00000000-0005-0000-0000-0000E00B0000}"/>
    <cellStyle name="Normal 4 2 3 4 2 4 2" xfId="3460" xr:uid="{00000000-0005-0000-0000-0000E10B0000}"/>
    <cellStyle name="Normal 4 2 3 4 2 4 2 2" xfId="3461" xr:uid="{00000000-0005-0000-0000-0000E20B0000}"/>
    <cellStyle name="Normal 4 2 3 4 2 4 2 3" xfId="3462" xr:uid="{00000000-0005-0000-0000-0000E30B0000}"/>
    <cellStyle name="Normal 4 2 3 4 2 4 3" xfId="3463" xr:uid="{00000000-0005-0000-0000-0000E40B0000}"/>
    <cellStyle name="Normal 4 2 3 4 2 4 4" xfId="3464" xr:uid="{00000000-0005-0000-0000-0000E50B0000}"/>
    <cellStyle name="Normal 4 2 3 4 2 4 5" xfId="3465" xr:uid="{00000000-0005-0000-0000-0000E60B0000}"/>
    <cellStyle name="Normal 4 2 3 4 2 5" xfId="3466" xr:uid="{00000000-0005-0000-0000-0000E70B0000}"/>
    <cellStyle name="Normal 4 2 3 4 2 5 2" xfId="3467" xr:uid="{00000000-0005-0000-0000-0000E80B0000}"/>
    <cellStyle name="Normal 4 2 3 4 2 5 3" xfId="3468" xr:uid="{00000000-0005-0000-0000-0000E90B0000}"/>
    <cellStyle name="Normal 4 2 3 4 2 6" xfId="3469" xr:uid="{00000000-0005-0000-0000-0000EA0B0000}"/>
    <cellStyle name="Normal 4 2 3 4 2 7" xfId="3470" xr:uid="{00000000-0005-0000-0000-0000EB0B0000}"/>
    <cellStyle name="Normal 4 2 3 4 2 8" xfId="3471" xr:uid="{00000000-0005-0000-0000-0000EC0B0000}"/>
    <cellStyle name="Normal 4 2 3 4 3" xfId="3472" xr:uid="{00000000-0005-0000-0000-0000ED0B0000}"/>
    <cellStyle name="Normal 4 2 3 4 3 2" xfId="3473" xr:uid="{00000000-0005-0000-0000-0000EE0B0000}"/>
    <cellStyle name="Normal 4 2 3 4 3 2 2" xfId="3474" xr:uid="{00000000-0005-0000-0000-0000EF0B0000}"/>
    <cellStyle name="Normal 4 2 3 4 3 2 2 2" xfId="3475" xr:uid="{00000000-0005-0000-0000-0000F00B0000}"/>
    <cellStyle name="Normal 4 2 3 4 3 2 2 3" xfId="3476" xr:uid="{00000000-0005-0000-0000-0000F10B0000}"/>
    <cellStyle name="Normal 4 2 3 4 3 2 3" xfId="3477" xr:uid="{00000000-0005-0000-0000-0000F20B0000}"/>
    <cellStyle name="Normal 4 2 3 4 3 2 4" xfId="3478" xr:uid="{00000000-0005-0000-0000-0000F30B0000}"/>
    <cellStyle name="Normal 4 2 3 4 3 2 5" xfId="3479" xr:uid="{00000000-0005-0000-0000-0000F40B0000}"/>
    <cellStyle name="Normal 4 2 3 4 3 3" xfId="3480" xr:uid="{00000000-0005-0000-0000-0000F50B0000}"/>
    <cellStyle name="Normal 4 2 3 4 3 3 2" xfId="3481" xr:uid="{00000000-0005-0000-0000-0000F60B0000}"/>
    <cellStyle name="Normal 4 2 3 4 3 3 2 2" xfId="3482" xr:uid="{00000000-0005-0000-0000-0000F70B0000}"/>
    <cellStyle name="Normal 4 2 3 4 3 3 2 3" xfId="3483" xr:uid="{00000000-0005-0000-0000-0000F80B0000}"/>
    <cellStyle name="Normal 4 2 3 4 3 3 3" xfId="3484" xr:uid="{00000000-0005-0000-0000-0000F90B0000}"/>
    <cellStyle name="Normal 4 2 3 4 3 3 4" xfId="3485" xr:uid="{00000000-0005-0000-0000-0000FA0B0000}"/>
    <cellStyle name="Normal 4 2 3 4 3 3 5" xfId="3486" xr:uid="{00000000-0005-0000-0000-0000FB0B0000}"/>
    <cellStyle name="Normal 4 2 3 4 3 4" xfId="3487" xr:uid="{00000000-0005-0000-0000-0000FC0B0000}"/>
    <cellStyle name="Normal 4 2 3 4 3 4 2" xfId="3488" xr:uid="{00000000-0005-0000-0000-0000FD0B0000}"/>
    <cellStyle name="Normal 4 2 3 4 3 4 3" xfId="3489" xr:uid="{00000000-0005-0000-0000-0000FE0B0000}"/>
    <cellStyle name="Normal 4 2 3 4 3 5" xfId="3490" xr:uid="{00000000-0005-0000-0000-0000FF0B0000}"/>
    <cellStyle name="Normal 4 2 3 4 3 6" xfId="3491" xr:uid="{00000000-0005-0000-0000-0000000C0000}"/>
    <cellStyle name="Normal 4 2 3 4 3 7" xfId="3492" xr:uid="{00000000-0005-0000-0000-0000010C0000}"/>
    <cellStyle name="Normal 4 2 3 4 4" xfId="3493" xr:uid="{00000000-0005-0000-0000-0000020C0000}"/>
    <cellStyle name="Normal 4 2 3 4 4 2" xfId="3494" xr:uid="{00000000-0005-0000-0000-0000030C0000}"/>
    <cellStyle name="Normal 4 2 3 4 4 2 2" xfId="3495" xr:uid="{00000000-0005-0000-0000-0000040C0000}"/>
    <cellStyle name="Normal 4 2 3 4 4 2 3" xfId="3496" xr:uid="{00000000-0005-0000-0000-0000050C0000}"/>
    <cellStyle name="Normal 4 2 3 4 4 3" xfId="3497" xr:uid="{00000000-0005-0000-0000-0000060C0000}"/>
    <cellStyle name="Normal 4 2 3 4 4 4" xfId="3498" xr:uid="{00000000-0005-0000-0000-0000070C0000}"/>
    <cellStyle name="Normal 4 2 3 4 4 5" xfId="3499" xr:uid="{00000000-0005-0000-0000-0000080C0000}"/>
    <cellStyle name="Normal 4 2 3 4 5" xfId="3500" xr:uid="{00000000-0005-0000-0000-0000090C0000}"/>
    <cellStyle name="Normal 4 2 3 4 5 2" xfId="3501" xr:uid="{00000000-0005-0000-0000-00000A0C0000}"/>
    <cellStyle name="Normal 4 2 3 4 5 2 2" xfId="3502" xr:uid="{00000000-0005-0000-0000-00000B0C0000}"/>
    <cellStyle name="Normal 4 2 3 4 5 2 3" xfId="3503" xr:uid="{00000000-0005-0000-0000-00000C0C0000}"/>
    <cellStyle name="Normal 4 2 3 4 5 3" xfId="3504" xr:uid="{00000000-0005-0000-0000-00000D0C0000}"/>
    <cellStyle name="Normal 4 2 3 4 5 4" xfId="3505" xr:uid="{00000000-0005-0000-0000-00000E0C0000}"/>
    <cellStyle name="Normal 4 2 3 4 5 5" xfId="3506" xr:uid="{00000000-0005-0000-0000-00000F0C0000}"/>
    <cellStyle name="Normal 4 2 3 4 6" xfId="3507" xr:uid="{00000000-0005-0000-0000-0000100C0000}"/>
    <cellStyle name="Normal 4 2 3 4 6 2" xfId="3508" xr:uid="{00000000-0005-0000-0000-0000110C0000}"/>
    <cellStyle name="Normal 4 2 3 4 6 3" xfId="3509" xr:uid="{00000000-0005-0000-0000-0000120C0000}"/>
    <cellStyle name="Normal 4 2 3 4 7" xfId="3510" xr:uid="{00000000-0005-0000-0000-0000130C0000}"/>
    <cellStyle name="Normal 4 2 3 4 8" xfId="3511" xr:uid="{00000000-0005-0000-0000-0000140C0000}"/>
    <cellStyle name="Normal 4 2 3 4 9" xfId="3512" xr:uid="{00000000-0005-0000-0000-0000150C0000}"/>
    <cellStyle name="Normal 4 2 3 5" xfId="3513" xr:uid="{00000000-0005-0000-0000-0000160C0000}"/>
    <cellStyle name="Normal 4 2 3 5 2" xfId="3514" xr:uid="{00000000-0005-0000-0000-0000170C0000}"/>
    <cellStyle name="Normal 4 2 3 5 2 2" xfId="3515" xr:uid="{00000000-0005-0000-0000-0000180C0000}"/>
    <cellStyle name="Normal 4 2 3 5 2 2 2" xfId="3516" xr:uid="{00000000-0005-0000-0000-0000190C0000}"/>
    <cellStyle name="Normal 4 2 3 5 2 2 2 2" xfId="3517" xr:uid="{00000000-0005-0000-0000-00001A0C0000}"/>
    <cellStyle name="Normal 4 2 3 5 2 2 2 2 2" xfId="3518" xr:uid="{00000000-0005-0000-0000-00001B0C0000}"/>
    <cellStyle name="Normal 4 2 3 5 2 2 2 2 3" xfId="3519" xr:uid="{00000000-0005-0000-0000-00001C0C0000}"/>
    <cellStyle name="Normal 4 2 3 5 2 2 2 3" xfId="3520" xr:uid="{00000000-0005-0000-0000-00001D0C0000}"/>
    <cellStyle name="Normal 4 2 3 5 2 2 2 4" xfId="3521" xr:uid="{00000000-0005-0000-0000-00001E0C0000}"/>
    <cellStyle name="Normal 4 2 3 5 2 2 2 5" xfId="3522" xr:uid="{00000000-0005-0000-0000-00001F0C0000}"/>
    <cellStyle name="Normal 4 2 3 5 2 2 3" xfId="3523" xr:uid="{00000000-0005-0000-0000-0000200C0000}"/>
    <cellStyle name="Normal 4 2 3 5 2 2 3 2" xfId="3524" xr:uid="{00000000-0005-0000-0000-0000210C0000}"/>
    <cellStyle name="Normal 4 2 3 5 2 2 3 2 2" xfId="3525" xr:uid="{00000000-0005-0000-0000-0000220C0000}"/>
    <cellStyle name="Normal 4 2 3 5 2 2 3 2 3" xfId="3526" xr:uid="{00000000-0005-0000-0000-0000230C0000}"/>
    <cellStyle name="Normal 4 2 3 5 2 2 3 3" xfId="3527" xr:uid="{00000000-0005-0000-0000-0000240C0000}"/>
    <cellStyle name="Normal 4 2 3 5 2 2 3 4" xfId="3528" xr:uid="{00000000-0005-0000-0000-0000250C0000}"/>
    <cellStyle name="Normal 4 2 3 5 2 2 3 5" xfId="3529" xr:uid="{00000000-0005-0000-0000-0000260C0000}"/>
    <cellStyle name="Normal 4 2 3 5 2 2 4" xfId="3530" xr:uid="{00000000-0005-0000-0000-0000270C0000}"/>
    <cellStyle name="Normal 4 2 3 5 2 2 4 2" xfId="3531" xr:uid="{00000000-0005-0000-0000-0000280C0000}"/>
    <cellStyle name="Normal 4 2 3 5 2 2 4 3" xfId="3532" xr:uid="{00000000-0005-0000-0000-0000290C0000}"/>
    <cellStyle name="Normal 4 2 3 5 2 2 5" xfId="3533" xr:uid="{00000000-0005-0000-0000-00002A0C0000}"/>
    <cellStyle name="Normal 4 2 3 5 2 2 6" xfId="3534" xr:uid="{00000000-0005-0000-0000-00002B0C0000}"/>
    <cellStyle name="Normal 4 2 3 5 2 2 7" xfId="3535" xr:uid="{00000000-0005-0000-0000-00002C0C0000}"/>
    <cellStyle name="Normal 4 2 3 5 2 3" xfId="3536" xr:uid="{00000000-0005-0000-0000-00002D0C0000}"/>
    <cellStyle name="Normal 4 2 3 5 2 3 2" xfId="3537" xr:uid="{00000000-0005-0000-0000-00002E0C0000}"/>
    <cellStyle name="Normal 4 2 3 5 2 3 2 2" xfId="3538" xr:uid="{00000000-0005-0000-0000-00002F0C0000}"/>
    <cellStyle name="Normal 4 2 3 5 2 3 2 3" xfId="3539" xr:uid="{00000000-0005-0000-0000-0000300C0000}"/>
    <cellStyle name="Normal 4 2 3 5 2 3 3" xfId="3540" xr:uid="{00000000-0005-0000-0000-0000310C0000}"/>
    <cellStyle name="Normal 4 2 3 5 2 3 4" xfId="3541" xr:uid="{00000000-0005-0000-0000-0000320C0000}"/>
    <cellStyle name="Normal 4 2 3 5 2 3 5" xfId="3542" xr:uid="{00000000-0005-0000-0000-0000330C0000}"/>
    <cellStyle name="Normal 4 2 3 5 2 4" xfId="3543" xr:uid="{00000000-0005-0000-0000-0000340C0000}"/>
    <cellStyle name="Normal 4 2 3 5 2 4 2" xfId="3544" xr:uid="{00000000-0005-0000-0000-0000350C0000}"/>
    <cellStyle name="Normal 4 2 3 5 2 4 2 2" xfId="3545" xr:uid="{00000000-0005-0000-0000-0000360C0000}"/>
    <cellStyle name="Normal 4 2 3 5 2 4 2 3" xfId="3546" xr:uid="{00000000-0005-0000-0000-0000370C0000}"/>
    <cellStyle name="Normal 4 2 3 5 2 4 3" xfId="3547" xr:uid="{00000000-0005-0000-0000-0000380C0000}"/>
    <cellStyle name="Normal 4 2 3 5 2 4 4" xfId="3548" xr:uid="{00000000-0005-0000-0000-0000390C0000}"/>
    <cellStyle name="Normal 4 2 3 5 2 4 5" xfId="3549" xr:uid="{00000000-0005-0000-0000-00003A0C0000}"/>
    <cellStyle name="Normal 4 2 3 5 2 5" xfId="3550" xr:uid="{00000000-0005-0000-0000-00003B0C0000}"/>
    <cellStyle name="Normal 4 2 3 5 2 5 2" xfId="3551" xr:uid="{00000000-0005-0000-0000-00003C0C0000}"/>
    <cellStyle name="Normal 4 2 3 5 2 5 3" xfId="3552" xr:uid="{00000000-0005-0000-0000-00003D0C0000}"/>
    <cellStyle name="Normal 4 2 3 5 2 6" xfId="3553" xr:uid="{00000000-0005-0000-0000-00003E0C0000}"/>
    <cellStyle name="Normal 4 2 3 5 2 7" xfId="3554" xr:uid="{00000000-0005-0000-0000-00003F0C0000}"/>
    <cellStyle name="Normal 4 2 3 5 2 8" xfId="3555" xr:uid="{00000000-0005-0000-0000-0000400C0000}"/>
    <cellStyle name="Normal 4 2 3 5 3" xfId="3556" xr:uid="{00000000-0005-0000-0000-0000410C0000}"/>
    <cellStyle name="Normal 4 2 3 5 3 2" xfId="3557" xr:uid="{00000000-0005-0000-0000-0000420C0000}"/>
    <cellStyle name="Normal 4 2 3 5 3 2 2" xfId="3558" xr:uid="{00000000-0005-0000-0000-0000430C0000}"/>
    <cellStyle name="Normal 4 2 3 5 3 2 2 2" xfId="3559" xr:uid="{00000000-0005-0000-0000-0000440C0000}"/>
    <cellStyle name="Normal 4 2 3 5 3 2 2 3" xfId="3560" xr:uid="{00000000-0005-0000-0000-0000450C0000}"/>
    <cellStyle name="Normal 4 2 3 5 3 2 3" xfId="3561" xr:uid="{00000000-0005-0000-0000-0000460C0000}"/>
    <cellStyle name="Normal 4 2 3 5 3 2 4" xfId="3562" xr:uid="{00000000-0005-0000-0000-0000470C0000}"/>
    <cellStyle name="Normal 4 2 3 5 3 2 5" xfId="3563" xr:uid="{00000000-0005-0000-0000-0000480C0000}"/>
    <cellStyle name="Normal 4 2 3 5 3 3" xfId="3564" xr:uid="{00000000-0005-0000-0000-0000490C0000}"/>
    <cellStyle name="Normal 4 2 3 5 3 3 2" xfId="3565" xr:uid="{00000000-0005-0000-0000-00004A0C0000}"/>
    <cellStyle name="Normal 4 2 3 5 3 3 2 2" xfId="3566" xr:uid="{00000000-0005-0000-0000-00004B0C0000}"/>
    <cellStyle name="Normal 4 2 3 5 3 3 2 3" xfId="3567" xr:uid="{00000000-0005-0000-0000-00004C0C0000}"/>
    <cellStyle name="Normal 4 2 3 5 3 3 3" xfId="3568" xr:uid="{00000000-0005-0000-0000-00004D0C0000}"/>
    <cellStyle name="Normal 4 2 3 5 3 3 4" xfId="3569" xr:uid="{00000000-0005-0000-0000-00004E0C0000}"/>
    <cellStyle name="Normal 4 2 3 5 3 3 5" xfId="3570" xr:uid="{00000000-0005-0000-0000-00004F0C0000}"/>
    <cellStyle name="Normal 4 2 3 5 3 4" xfId="3571" xr:uid="{00000000-0005-0000-0000-0000500C0000}"/>
    <cellStyle name="Normal 4 2 3 5 3 4 2" xfId="3572" xr:uid="{00000000-0005-0000-0000-0000510C0000}"/>
    <cellStyle name="Normal 4 2 3 5 3 4 3" xfId="3573" xr:uid="{00000000-0005-0000-0000-0000520C0000}"/>
    <cellStyle name="Normal 4 2 3 5 3 5" xfId="3574" xr:uid="{00000000-0005-0000-0000-0000530C0000}"/>
    <cellStyle name="Normal 4 2 3 5 3 6" xfId="3575" xr:uid="{00000000-0005-0000-0000-0000540C0000}"/>
    <cellStyle name="Normal 4 2 3 5 3 7" xfId="3576" xr:uid="{00000000-0005-0000-0000-0000550C0000}"/>
    <cellStyle name="Normal 4 2 3 5 4" xfId="3577" xr:uid="{00000000-0005-0000-0000-0000560C0000}"/>
    <cellStyle name="Normal 4 2 3 5 4 2" xfId="3578" xr:uid="{00000000-0005-0000-0000-0000570C0000}"/>
    <cellStyle name="Normal 4 2 3 5 4 2 2" xfId="3579" xr:uid="{00000000-0005-0000-0000-0000580C0000}"/>
    <cellStyle name="Normal 4 2 3 5 4 2 3" xfId="3580" xr:uid="{00000000-0005-0000-0000-0000590C0000}"/>
    <cellStyle name="Normal 4 2 3 5 4 3" xfId="3581" xr:uid="{00000000-0005-0000-0000-00005A0C0000}"/>
    <cellStyle name="Normal 4 2 3 5 4 4" xfId="3582" xr:uid="{00000000-0005-0000-0000-00005B0C0000}"/>
    <cellStyle name="Normal 4 2 3 5 4 5" xfId="3583" xr:uid="{00000000-0005-0000-0000-00005C0C0000}"/>
    <cellStyle name="Normal 4 2 3 5 5" xfId="3584" xr:uid="{00000000-0005-0000-0000-00005D0C0000}"/>
    <cellStyle name="Normal 4 2 3 5 5 2" xfId="3585" xr:uid="{00000000-0005-0000-0000-00005E0C0000}"/>
    <cellStyle name="Normal 4 2 3 5 5 2 2" xfId="3586" xr:uid="{00000000-0005-0000-0000-00005F0C0000}"/>
    <cellStyle name="Normal 4 2 3 5 5 2 3" xfId="3587" xr:uid="{00000000-0005-0000-0000-0000600C0000}"/>
    <cellStyle name="Normal 4 2 3 5 5 3" xfId="3588" xr:uid="{00000000-0005-0000-0000-0000610C0000}"/>
    <cellStyle name="Normal 4 2 3 5 5 4" xfId="3589" xr:uid="{00000000-0005-0000-0000-0000620C0000}"/>
    <cellStyle name="Normal 4 2 3 5 5 5" xfId="3590" xr:uid="{00000000-0005-0000-0000-0000630C0000}"/>
    <cellStyle name="Normal 4 2 3 5 6" xfId="3591" xr:uid="{00000000-0005-0000-0000-0000640C0000}"/>
    <cellStyle name="Normal 4 2 3 5 6 2" xfId="3592" xr:uid="{00000000-0005-0000-0000-0000650C0000}"/>
    <cellStyle name="Normal 4 2 3 5 6 3" xfId="3593" xr:uid="{00000000-0005-0000-0000-0000660C0000}"/>
    <cellStyle name="Normal 4 2 3 5 7" xfId="3594" xr:uid="{00000000-0005-0000-0000-0000670C0000}"/>
    <cellStyle name="Normal 4 2 3 5 8" xfId="3595" xr:uid="{00000000-0005-0000-0000-0000680C0000}"/>
    <cellStyle name="Normal 4 2 3 5 9" xfId="3596" xr:uid="{00000000-0005-0000-0000-0000690C0000}"/>
    <cellStyle name="Normal 4 2 3 6" xfId="3597" xr:uid="{00000000-0005-0000-0000-00006A0C0000}"/>
    <cellStyle name="Normal 4 2 3 6 2" xfId="3598" xr:uid="{00000000-0005-0000-0000-00006B0C0000}"/>
    <cellStyle name="Normal 4 2 3 6 2 2" xfId="3599" xr:uid="{00000000-0005-0000-0000-00006C0C0000}"/>
    <cellStyle name="Normal 4 2 3 6 2 2 2" xfId="3600" xr:uid="{00000000-0005-0000-0000-00006D0C0000}"/>
    <cellStyle name="Normal 4 2 3 6 2 2 2 2" xfId="3601" xr:uid="{00000000-0005-0000-0000-00006E0C0000}"/>
    <cellStyle name="Normal 4 2 3 6 2 2 2 3" xfId="3602" xr:uid="{00000000-0005-0000-0000-00006F0C0000}"/>
    <cellStyle name="Normal 4 2 3 6 2 2 3" xfId="3603" xr:uid="{00000000-0005-0000-0000-0000700C0000}"/>
    <cellStyle name="Normal 4 2 3 6 2 2 4" xfId="3604" xr:uid="{00000000-0005-0000-0000-0000710C0000}"/>
    <cellStyle name="Normal 4 2 3 6 2 2 5" xfId="3605" xr:uid="{00000000-0005-0000-0000-0000720C0000}"/>
    <cellStyle name="Normal 4 2 3 6 2 3" xfId="3606" xr:uid="{00000000-0005-0000-0000-0000730C0000}"/>
    <cellStyle name="Normal 4 2 3 6 2 3 2" xfId="3607" xr:uid="{00000000-0005-0000-0000-0000740C0000}"/>
    <cellStyle name="Normal 4 2 3 6 2 3 2 2" xfId="3608" xr:uid="{00000000-0005-0000-0000-0000750C0000}"/>
    <cellStyle name="Normal 4 2 3 6 2 3 2 3" xfId="3609" xr:uid="{00000000-0005-0000-0000-0000760C0000}"/>
    <cellStyle name="Normal 4 2 3 6 2 3 3" xfId="3610" xr:uid="{00000000-0005-0000-0000-0000770C0000}"/>
    <cellStyle name="Normal 4 2 3 6 2 3 4" xfId="3611" xr:uid="{00000000-0005-0000-0000-0000780C0000}"/>
    <cellStyle name="Normal 4 2 3 6 2 3 5" xfId="3612" xr:uid="{00000000-0005-0000-0000-0000790C0000}"/>
    <cellStyle name="Normal 4 2 3 6 2 4" xfId="3613" xr:uid="{00000000-0005-0000-0000-00007A0C0000}"/>
    <cellStyle name="Normal 4 2 3 6 2 4 2" xfId="3614" xr:uid="{00000000-0005-0000-0000-00007B0C0000}"/>
    <cellStyle name="Normal 4 2 3 6 2 4 3" xfId="3615" xr:uid="{00000000-0005-0000-0000-00007C0C0000}"/>
    <cellStyle name="Normal 4 2 3 6 2 5" xfId="3616" xr:uid="{00000000-0005-0000-0000-00007D0C0000}"/>
    <cellStyle name="Normal 4 2 3 6 2 6" xfId="3617" xr:uid="{00000000-0005-0000-0000-00007E0C0000}"/>
    <cellStyle name="Normal 4 2 3 6 2 7" xfId="3618" xr:uid="{00000000-0005-0000-0000-00007F0C0000}"/>
    <cellStyle name="Normal 4 2 3 6 3" xfId="3619" xr:uid="{00000000-0005-0000-0000-0000800C0000}"/>
    <cellStyle name="Normal 4 2 3 6 3 2" xfId="3620" xr:uid="{00000000-0005-0000-0000-0000810C0000}"/>
    <cellStyle name="Normal 4 2 3 6 3 2 2" xfId="3621" xr:uid="{00000000-0005-0000-0000-0000820C0000}"/>
    <cellStyle name="Normal 4 2 3 6 3 2 3" xfId="3622" xr:uid="{00000000-0005-0000-0000-0000830C0000}"/>
    <cellStyle name="Normal 4 2 3 6 3 3" xfId="3623" xr:uid="{00000000-0005-0000-0000-0000840C0000}"/>
    <cellStyle name="Normal 4 2 3 6 3 4" xfId="3624" xr:uid="{00000000-0005-0000-0000-0000850C0000}"/>
    <cellStyle name="Normal 4 2 3 6 3 5" xfId="3625" xr:uid="{00000000-0005-0000-0000-0000860C0000}"/>
    <cellStyle name="Normal 4 2 3 6 4" xfId="3626" xr:uid="{00000000-0005-0000-0000-0000870C0000}"/>
    <cellStyle name="Normal 4 2 3 6 4 2" xfId="3627" xr:uid="{00000000-0005-0000-0000-0000880C0000}"/>
    <cellStyle name="Normal 4 2 3 6 4 2 2" xfId="3628" xr:uid="{00000000-0005-0000-0000-0000890C0000}"/>
    <cellStyle name="Normal 4 2 3 6 4 2 3" xfId="3629" xr:uid="{00000000-0005-0000-0000-00008A0C0000}"/>
    <cellStyle name="Normal 4 2 3 6 4 3" xfId="3630" xr:uid="{00000000-0005-0000-0000-00008B0C0000}"/>
    <cellStyle name="Normal 4 2 3 6 4 4" xfId="3631" xr:uid="{00000000-0005-0000-0000-00008C0C0000}"/>
    <cellStyle name="Normal 4 2 3 6 4 5" xfId="3632" xr:uid="{00000000-0005-0000-0000-00008D0C0000}"/>
    <cellStyle name="Normal 4 2 3 6 5" xfId="3633" xr:uid="{00000000-0005-0000-0000-00008E0C0000}"/>
    <cellStyle name="Normal 4 2 3 6 5 2" xfId="3634" xr:uid="{00000000-0005-0000-0000-00008F0C0000}"/>
    <cellStyle name="Normal 4 2 3 6 5 3" xfId="3635" xr:uid="{00000000-0005-0000-0000-0000900C0000}"/>
    <cellStyle name="Normal 4 2 3 6 6" xfId="3636" xr:uid="{00000000-0005-0000-0000-0000910C0000}"/>
    <cellStyle name="Normal 4 2 3 6 7" xfId="3637" xr:uid="{00000000-0005-0000-0000-0000920C0000}"/>
    <cellStyle name="Normal 4 2 3 6 8" xfId="3638" xr:uid="{00000000-0005-0000-0000-0000930C0000}"/>
    <cellStyle name="Normal 4 2 3 7" xfId="3639" xr:uid="{00000000-0005-0000-0000-0000940C0000}"/>
    <cellStyle name="Normal 4 2 3 7 2" xfId="3640" xr:uid="{00000000-0005-0000-0000-0000950C0000}"/>
    <cellStyle name="Normal 4 2 3 7 2 2" xfId="3641" xr:uid="{00000000-0005-0000-0000-0000960C0000}"/>
    <cellStyle name="Normal 4 2 3 7 2 2 2" xfId="3642" xr:uid="{00000000-0005-0000-0000-0000970C0000}"/>
    <cellStyle name="Normal 4 2 3 7 2 2 3" xfId="3643" xr:uid="{00000000-0005-0000-0000-0000980C0000}"/>
    <cellStyle name="Normal 4 2 3 7 2 3" xfId="3644" xr:uid="{00000000-0005-0000-0000-0000990C0000}"/>
    <cellStyle name="Normal 4 2 3 7 2 4" xfId="3645" xr:uid="{00000000-0005-0000-0000-00009A0C0000}"/>
    <cellStyle name="Normal 4 2 3 7 2 5" xfId="3646" xr:uid="{00000000-0005-0000-0000-00009B0C0000}"/>
    <cellStyle name="Normal 4 2 3 7 3" xfId="3647" xr:uid="{00000000-0005-0000-0000-00009C0C0000}"/>
    <cellStyle name="Normal 4 2 3 7 3 2" xfId="3648" xr:uid="{00000000-0005-0000-0000-00009D0C0000}"/>
    <cellStyle name="Normal 4 2 3 7 3 2 2" xfId="3649" xr:uid="{00000000-0005-0000-0000-00009E0C0000}"/>
    <cellStyle name="Normal 4 2 3 7 3 2 3" xfId="3650" xr:uid="{00000000-0005-0000-0000-00009F0C0000}"/>
    <cellStyle name="Normal 4 2 3 7 3 3" xfId="3651" xr:uid="{00000000-0005-0000-0000-0000A00C0000}"/>
    <cellStyle name="Normal 4 2 3 7 3 4" xfId="3652" xr:uid="{00000000-0005-0000-0000-0000A10C0000}"/>
    <cellStyle name="Normal 4 2 3 7 3 5" xfId="3653" xr:uid="{00000000-0005-0000-0000-0000A20C0000}"/>
    <cellStyle name="Normal 4 2 3 7 4" xfId="3654" xr:uid="{00000000-0005-0000-0000-0000A30C0000}"/>
    <cellStyle name="Normal 4 2 3 7 4 2" xfId="3655" xr:uid="{00000000-0005-0000-0000-0000A40C0000}"/>
    <cellStyle name="Normal 4 2 3 7 4 3" xfId="3656" xr:uid="{00000000-0005-0000-0000-0000A50C0000}"/>
    <cellStyle name="Normal 4 2 3 7 5" xfId="3657" xr:uid="{00000000-0005-0000-0000-0000A60C0000}"/>
    <cellStyle name="Normal 4 2 3 7 6" xfId="3658" xr:uid="{00000000-0005-0000-0000-0000A70C0000}"/>
    <cellStyle name="Normal 4 2 3 7 7" xfId="3659" xr:uid="{00000000-0005-0000-0000-0000A80C0000}"/>
    <cellStyle name="Normal 4 2 3 8" xfId="3660" xr:uid="{00000000-0005-0000-0000-0000A90C0000}"/>
    <cellStyle name="Normal 4 2 3 8 2" xfId="3661" xr:uid="{00000000-0005-0000-0000-0000AA0C0000}"/>
    <cellStyle name="Normal 4 2 3 8 2 2" xfId="3662" xr:uid="{00000000-0005-0000-0000-0000AB0C0000}"/>
    <cellStyle name="Normal 4 2 3 8 2 2 2" xfId="3663" xr:uid="{00000000-0005-0000-0000-0000AC0C0000}"/>
    <cellStyle name="Normal 4 2 3 8 2 2 3" xfId="3664" xr:uid="{00000000-0005-0000-0000-0000AD0C0000}"/>
    <cellStyle name="Normal 4 2 3 8 2 3" xfId="3665" xr:uid="{00000000-0005-0000-0000-0000AE0C0000}"/>
    <cellStyle name="Normal 4 2 3 8 2 4" xfId="3666" xr:uid="{00000000-0005-0000-0000-0000AF0C0000}"/>
    <cellStyle name="Normal 4 2 3 8 2 5" xfId="3667" xr:uid="{00000000-0005-0000-0000-0000B00C0000}"/>
    <cellStyle name="Normal 4 2 3 8 3" xfId="3668" xr:uid="{00000000-0005-0000-0000-0000B10C0000}"/>
    <cellStyle name="Normal 4 2 3 8 3 2" xfId="3669" xr:uid="{00000000-0005-0000-0000-0000B20C0000}"/>
    <cellStyle name="Normal 4 2 3 8 3 2 2" xfId="3670" xr:uid="{00000000-0005-0000-0000-0000B30C0000}"/>
    <cellStyle name="Normal 4 2 3 8 3 2 3" xfId="3671" xr:uid="{00000000-0005-0000-0000-0000B40C0000}"/>
    <cellStyle name="Normal 4 2 3 8 3 3" xfId="3672" xr:uid="{00000000-0005-0000-0000-0000B50C0000}"/>
    <cellStyle name="Normal 4 2 3 8 3 4" xfId="3673" xr:uid="{00000000-0005-0000-0000-0000B60C0000}"/>
    <cellStyle name="Normal 4 2 3 8 3 5" xfId="3674" xr:uid="{00000000-0005-0000-0000-0000B70C0000}"/>
    <cellStyle name="Normal 4 2 3 8 4" xfId="3675" xr:uid="{00000000-0005-0000-0000-0000B80C0000}"/>
    <cellStyle name="Normal 4 2 3 8 4 2" xfId="3676" xr:uid="{00000000-0005-0000-0000-0000B90C0000}"/>
    <cellStyle name="Normal 4 2 3 8 4 3" xfId="3677" xr:uid="{00000000-0005-0000-0000-0000BA0C0000}"/>
    <cellStyle name="Normal 4 2 3 8 5" xfId="3678" xr:uid="{00000000-0005-0000-0000-0000BB0C0000}"/>
    <cellStyle name="Normal 4 2 3 8 6" xfId="3679" xr:uid="{00000000-0005-0000-0000-0000BC0C0000}"/>
    <cellStyle name="Normal 4 2 3 8 7" xfId="3680" xr:uid="{00000000-0005-0000-0000-0000BD0C0000}"/>
    <cellStyle name="Normal 4 2 3 9" xfId="3681" xr:uid="{00000000-0005-0000-0000-0000BE0C0000}"/>
    <cellStyle name="Normal 4 2 3 9 2" xfId="3682" xr:uid="{00000000-0005-0000-0000-0000BF0C0000}"/>
    <cellStyle name="Normal 4 2 3 9 2 2" xfId="3683" xr:uid="{00000000-0005-0000-0000-0000C00C0000}"/>
    <cellStyle name="Normal 4 2 3 9 2 3" xfId="3684" xr:uid="{00000000-0005-0000-0000-0000C10C0000}"/>
    <cellStyle name="Normal 4 2 3 9 3" xfId="3685" xr:uid="{00000000-0005-0000-0000-0000C20C0000}"/>
    <cellStyle name="Normal 4 2 3 9 4" xfId="3686" xr:uid="{00000000-0005-0000-0000-0000C30C0000}"/>
    <cellStyle name="Normal 4 2 3 9 5" xfId="3687" xr:uid="{00000000-0005-0000-0000-0000C40C0000}"/>
    <cellStyle name="Normal 4 2 4" xfId="3688" xr:uid="{00000000-0005-0000-0000-0000C50C0000}"/>
    <cellStyle name="Normal 4 2 4 10" xfId="3689" xr:uid="{00000000-0005-0000-0000-0000C60C0000}"/>
    <cellStyle name="Normal 4 2 4 11" xfId="3690" xr:uid="{00000000-0005-0000-0000-0000C70C0000}"/>
    <cellStyle name="Normal 4 2 4 12" xfId="3691" xr:uid="{00000000-0005-0000-0000-0000C80C0000}"/>
    <cellStyle name="Normal 4 2 4 2" xfId="3692" xr:uid="{00000000-0005-0000-0000-0000C90C0000}"/>
    <cellStyle name="Normal 4 2 4 2 2" xfId="3693" xr:uid="{00000000-0005-0000-0000-0000CA0C0000}"/>
    <cellStyle name="Normal 4 2 4 2 2 2" xfId="3694" xr:uid="{00000000-0005-0000-0000-0000CB0C0000}"/>
    <cellStyle name="Normal 4 2 4 2 2 2 2" xfId="3695" xr:uid="{00000000-0005-0000-0000-0000CC0C0000}"/>
    <cellStyle name="Normal 4 2 4 2 2 2 2 2" xfId="3696" xr:uid="{00000000-0005-0000-0000-0000CD0C0000}"/>
    <cellStyle name="Normal 4 2 4 2 2 2 2 2 2" xfId="3697" xr:uid="{00000000-0005-0000-0000-0000CE0C0000}"/>
    <cellStyle name="Normal 4 2 4 2 2 2 2 2 3" xfId="3698" xr:uid="{00000000-0005-0000-0000-0000CF0C0000}"/>
    <cellStyle name="Normal 4 2 4 2 2 2 2 3" xfId="3699" xr:uid="{00000000-0005-0000-0000-0000D00C0000}"/>
    <cellStyle name="Normal 4 2 4 2 2 2 2 4" xfId="3700" xr:uid="{00000000-0005-0000-0000-0000D10C0000}"/>
    <cellStyle name="Normal 4 2 4 2 2 2 2 5" xfId="3701" xr:uid="{00000000-0005-0000-0000-0000D20C0000}"/>
    <cellStyle name="Normal 4 2 4 2 2 2 3" xfId="3702" xr:uid="{00000000-0005-0000-0000-0000D30C0000}"/>
    <cellStyle name="Normal 4 2 4 2 2 2 3 2" xfId="3703" xr:uid="{00000000-0005-0000-0000-0000D40C0000}"/>
    <cellStyle name="Normal 4 2 4 2 2 2 3 2 2" xfId="3704" xr:uid="{00000000-0005-0000-0000-0000D50C0000}"/>
    <cellStyle name="Normal 4 2 4 2 2 2 3 2 3" xfId="3705" xr:uid="{00000000-0005-0000-0000-0000D60C0000}"/>
    <cellStyle name="Normal 4 2 4 2 2 2 3 3" xfId="3706" xr:uid="{00000000-0005-0000-0000-0000D70C0000}"/>
    <cellStyle name="Normal 4 2 4 2 2 2 3 4" xfId="3707" xr:uid="{00000000-0005-0000-0000-0000D80C0000}"/>
    <cellStyle name="Normal 4 2 4 2 2 2 3 5" xfId="3708" xr:uid="{00000000-0005-0000-0000-0000D90C0000}"/>
    <cellStyle name="Normal 4 2 4 2 2 2 4" xfId="3709" xr:uid="{00000000-0005-0000-0000-0000DA0C0000}"/>
    <cellStyle name="Normal 4 2 4 2 2 2 4 2" xfId="3710" xr:uid="{00000000-0005-0000-0000-0000DB0C0000}"/>
    <cellStyle name="Normal 4 2 4 2 2 2 4 3" xfId="3711" xr:uid="{00000000-0005-0000-0000-0000DC0C0000}"/>
    <cellStyle name="Normal 4 2 4 2 2 2 5" xfId="3712" xr:uid="{00000000-0005-0000-0000-0000DD0C0000}"/>
    <cellStyle name="Normal 4 2 4 2 2 2 6" xfId="3713" xr:uid="{00000000-0005-0000-0000-0000DE0C0000}"/>
    <cellStyle name="Normal 4 2 4 2 2 2 7" xfId="3714" xr:uid="{00000000-0005-0000-0000-0000DF0C0000}"/>
    <cellStyle name="Normal 4 2 4 2 2 3" xfId="3715" xr:uid="{00000000-0005-0000-0000-0000E00C0000}"/>
    <cellStyle name="Normal 4 2 4 2 2 3 2" xfId="3716" xr:uid="{00000000-0005-0000-0000-0000E10C0000}"/>
    <cellStyle name="Normal 4 2 4 2 2 3 2 2" xfId="3717" xr:uid="{00000000-0005-0000-0000-0000E20C0000}"/>
    <cellStyle name="Normal 4 2 4 2 2 3 2 3" xfId="3718" xr:uid="{00000000-0005-0000-0000-0000E30C0000}"/>
    <cellStyle name="Normal 4 2 4 2 2 3 3" xfId="3719" xr:uid="{00000000-0005-0000-0000-0000E40C0000}"/>
    <cellStyle name="Normal 4 2 4 2 2 3 4" xfId="3720" xr:uid="{00000000-0005-0000-0000-0000E50C0000}"/>
    <cellStyle name="Normal 4 2 4 2 2 3 5" xfId="3721" xr:uid="{00000000-0005-0000-0000-0000E60C0000}"/>
    <cellStyle name="Normal 4 2 4 2 2 4" xfId="3722" xr:uid="{00000000-0005-0000-0000-0000E70C0000}"/>
    <cellStyle name="Normal 4 2 4 2 2 4 2" xfId="3723" xr:uid="{00000000-0005-0000-0000-0000E80C0000}"/>
    <cellStyle name="Normal 4 2 4 2 2 4 2 2" xfId="3724" xr:uid="{00000000-0005-0000-0000-0000E90C0000}"/>
    <cellStyle name="Normal 4 2 4 2 2 4 2 3" xfId="3725" xr:uid="{00000000-0005-0000-0000-0000EA0C0000}"/>
    <cellStyle name="Normal 4 2 4 2 2 4 3" xfId="3726" xr:uid="{00000000-0005-0000-0000-0000EB0C0000}"/>
    <cellStyle name="Normal 4 2 4 2 2 4 4" xfId="3727" xr:uid="{00000000-0005-0000-0000-0000EC0C0000}"/>
    <cellStyle name="Normal 4 2 4 2 2 4 5" xfId="3728" xr:uid="{00000000-0005-0000-0000-0000ED0C0000}"/>
    <cellStyle name="Normal 4 2 4 2 2 5" xfId="3729" xr:uid="{00000000-0005-0000-0000-0000EE0C0000}"/>
    <cellStyle name="Normal 4 2 4 2 2 5 2" xfId="3730" xr:uid="{00000000-0005-0000-0000-0000EF0C0000}"/>
    <cellStyle name="Normal 4 2 4 2 2 5 3" xfId="3731" xr:uid="{00000000-0005-0000-0000-0000F00C0000}"/>
    <cellStyle name="Normal 4 2 4 2 2 6" xfId="3732" xr:uid="{00000000-0005-0000-0000-0000F10C0000}"/>
    <cellStyle name="Normal 4 2 4 2 2 7" xfId="3733" xr:uid="{00000000-0005-0000-0000-0000F20C0000}"/>
    <cellStyle name="Normal 4 2 4 2 2 8" xfId="3734" xr:uid="{00000000-0005-0000-0000-0000F30C0000}"/>
    <cellStyle name="Normal 4 2 4 2 3" xfId="3735" xr:uid="{00000000-0005-0000-0000-0000F40C0000}"/>
    <cellStyle name="Normal 4 2 4 2 3 2" xfId="3736" xr:uid="{00000000-0005-0000-0000-0000F50C0000}"/>
    <cellStyle name="Normal 4 2 4 2 3 2 2" xfId="3737" xr:uid="{00000000-0005-0000-0000-0000F60C0000}"/>
    <cellStyle name="Normal 4 2 4 2 3 2 2 2" xfId="3738" xr:uid="{00000000-0005-0000-0000-0000F70C0000}"/>
    <cellStyle name="Normal 4 2 4 2 3 2 2 3" xfId="3739" xr:uid="{00000000-0005-0000-0000-0000F80C0000}"/>
    <cellStyle name="Normal 4 2 4 2 3 2 3" xfId="3740" xr:uid="{00000000-0005-0000-0000-0000F90C0000}"/>
    <cellStyle name="Normal 4 2 4 2 3 2 4" xfId="3741" xr:uid="{00000000-0005-0000-0000-0000FA0C0000}"/>
    <cellStyle name="Normal 4 2 4 2 3 2 5" xfId="3742" xr:uid="{00000000-0005-0000-0000-0000FB0C0000}"/>
    <cellStyle name="Normal 4 2 4 2 3 3" xfId="3743" xr:uid="{00000000-0005-0000-0000-0000FC0C0000}"/>
    <cellStyle name="Normal 4 2 4 2 3 3 2" xfId="3744" xr:uid="{00000000-0005-0000-0000-0000FD0C0000}"/>
    <cellStyle name="Normal 4 2 4 2 3 3 2 2" xfId="3745" xr:uid="{00000000-0005-0000-0000-0000FE0C0000}"/>
    <cellStyle name="Normal 4 2 4 2 3 3 2 3" xfId="3746" xr:uid="{00000000-0005-0000-0000-0000FF0C0000}"/>
    <cellStyle name="Normal 4 2 4 2 3 3 3" xfId="3747" xr:uid="{00000000-0005-0000-0000-0000000D0000}"/>
    <cellStyle name="Normal 4 2 4 2 3 3 4" xfId="3748" xr:uid="{00000000-0005-0000-0000-0000010D0000}"/>
    <cellStyle name="Normal 4 2 4 2 3 3 5" xfId="3749" xr:uid="{00000000-0005-0000-0000-0000020D0000}"/>
    <cellStyle name="Normal 4 2 4 2 3 4" xfId="3750" xr:uid="{00000000-0005-0000-0000-0000030D0000}"/>
    <cellStyle name="Normal 4 2 4 2 3 4 2" xfId="3751" xr:uid="{00000000-0005-0000-0000-0000040D0000}"/>
    <cellStyle name="Normal 4 2 4 2 3 4 3" xfId="3752" xr:uid="{00000000-0005-0000-0000-0000050D0000}"/>
    <cellStyle name="Normal 4 2 4 2 3 5" xfId="3753" xr:uid="{00000000-0005-0000-0000-0000060D0000}"/>
    <cellStyle name="Normal 4 2 4 2 3 6" xfId="3754" xr:uid="{00000000-0005-0000-0000-0000070D0000}"/>
    <cellStyle name="Normal 4 2 4 2 3 7" xfId="3755" xr:uid="{00000000-0005-0000-0000-0000080D0000}"/>
    <cellStyle name="Normal 4 2 4 2 4" xfId="3756" xr:uid="{00000000-0005-0000-0000-0000090D0000}"/>
    <cellStyle name="Normal 4 2 4 2 4 2" xfId="3757" xr:uid="{00000000-0005-0000-0000-00000A0D0000}"/>
    <cellStyle name="Normal 4 2 4 2 4 2 2" xfId="3758" xr:uid="{00000000-0005-0000-0000-00000B0D0000}"/>
    <cellStyle name="Normal 4 2 4 2 4 2 3" xfId="3759" xr:uid="{00000000-0005-0000-0000-00000C0D0000}"/>
    <cellStyle name="Normal 4 2 4 2 4 3" xfId="3760" xr:uid="{00000000-0005-0000-0000-00000D0D0000}"/>
    <cellStyle name="Normal 4 2 4 2 4 4" xfId="3761" xr:uid="{00000000-0005-0000-0000-00000E0D0000}"/>
    <cellStyle name="Normal 4 2 4 2 4 5" xfId="3762" xr:uid="{00000000-0005-0000-0000-00000F0D0000}"/>
    <cellStyle name="Normal 4 2 4 2 5" xfId="3763" xr:uid="{00000000-0005-0000-0000-0000100D0000}"/>
    <cellStyle name="Normal 4 2 4 2 5 2" xfId="3764" xr:uid="{00000000-0005-0000-0000-0000110D0000}"/>
    <cellStyle name="Normal 4 2 4 2 5 2 2" xfId="3765" xr:uid="{00000000-0005-0000-0000-0000120D0000}"/>
    <cellStyle name="Normal 4 2 4 2 5 2 3" xfId="3766" xr:uid="{00000000-0005-0000-0000-0000130D0000}"/>
    <cellStyle name="Normal 4 2 4 2 5 3" xfId="3767" xr:uid="{00000000-0005-0000-0000-0000140D0000}"/>
    <cellStyle name="Normal 4 2 4 2 5 4" xfId="3768" xr:uid="{00000000-0005-0000-0000-0000150D0000}"/>
    <cellStyle name="Normal 4 2 4 2 5 5" xfId="3769" xr:uid="{00000000-0005-0000-0000-0000160D0000}"/>
    <cellStyle name="Normal 4 2 4 2 6" xfId="3770" xr:uid="{00000000-0005-0000-0000-0000170D0000}"/>
    <cellStyle name="Normal 4 2 4 2 6 2" xfId="3771" xr:uid="{00000000-0005-0000-0000-0000180D0000}"/>
    <cellStyle name="Normal 4 2 4 2 6 3" xfId="3772" xr:uid="{00000000-0005-0000-0000-0000190D0000}"/>
    <cellStyle name="Normal 4 2 4 2 7" xfId="3773" xr:uid="{00000000-0005-0000-0000-00001A0D0000}"/>
    <cellStyle name="Normal 4 2 4 2 8" xfId="3774" xr:uid="{00000000-0005-0000-0000-00001B0D0000}"/>
    <cellStyle name="Normal 4 2 4 2 9" xfId="3775" xr:uid="{00000000-0005-0000-0000-00001C0D0000}"/>
    <cellStyle name="Normal 4 2 4 3" xfId="3776" xr:uid="{00000000-0005-0000-0000-00001D0D0000}"/>
    <cellStyle name="Normal 4 2 4 3 2" xfId="3777" xr:uid="{00000000-0005-0000-0000-00001E0D0000}"/>
    <cellStyle name="Normal 4 2 4 3 2 2" xfId="3778" xr:uid="{00000000-0005-0000-0000-00001F0D0000}"/>
    <cellStyle name="Normal 4 2 4 3 2 2 2" xfId="3779" xr:uid="{00000000-0005-0000-0000-0000200D0000}"/>
    <cellStyle name="Normal 4 2 4 3 2 2 2 2" xfId="3780" xr:uid="{00000000-0005-0000-0000-0000210D0000}"/>
    <cellStyle name="Normal 4 2 4 3 2 2 2 2 2" xfId="3781" xr:uid="{00000000-0005-0000-0000-0000220D0000}"/>
    <cellStyle name="Normal 4 2 4 3 2 2 2 2 3" xfId="3782" xr:uid="{00000000-0005-0000-0000-0000230D0000}"/>
    <cellStyle name="Normal 4 2 4 3 2 2 2 3" xfId="3783" xr:uid="{00000000-0005-0000-0000-0000240D0000}"/>
    <cellStyle name="Normal 4 2 4 3 2 2 2 4" xfId="3784" xr:uid="{00000000-0005-0000-0000-0000250D0000}"/>
    <cellStyle name="Normal 4 2 4 3 2 2 2 5" xfId="3785" xr:uid="{00000000-0005-0000-0000-0000260D0000}"/>
    <cellStyle name="Normal 4 2 4 3 2 2 3" xfId="3786" xr:uid="{00000000-0005-0000-0000-0000270D0000}"/>
    <cellStyle name="Normal 4 2 4 3 2 2 3 2" xfId="3787" xr:uid="{00000000-0005-0000-0000-0000280D0000}"/>
    <cellStyle name="Normal 4 2 4 3 2 2 3 2 2" xfId="3788" xr:uid="{00000000-0005-0000-0000-0000290D0000}"/>
    <cellStyle name="Normal 4 2 4 3 2 2 3 2 3" xfId="3789" xr:uid="{00000000-0005-0000-0000-00002A0D0000}"/>
    <cellStyle name="Normal 4 2 4 3 2 2 3 3" xfId="3790" xr:uid="{00000000-0005-0000-0000-00002B0D0000}"/>
    <cellStyle name="Normal 4 2 4 3 2 2 3 4" xfId="3791" xr:uid="{00000000-0005-0000-0000-00002C0D0000}"/>
    <cellStyle name="Normal 4 2 4 3 2 2 3 5" xfId="3792" xr:uid="{00000000-0005-0000-0000-00002D0D0000}"/>
    <cellStyle name="Normal 4 2 4 3 2 2 4" xfId="3793" xr:uid="{00000000-0005-0000-0000-00002E0D0000}"/>
    <cellStyle name="Normal 4 2 4 3 2 2 4 2" xfId="3794" xr:uid="{00000000-0005-0000-0000-00002F0D0000}"/>
    <cellStyle name="Normal 4 2 4 3 2 2 4 3" xfId="3795" xr:uid="{00000000-0005-0000-0000-0000300D0000}"/>
    <cellStyle name="Normal 4 2 4 3 2 2 5" xfId="3796" xr:uid="{00000000-0005-0000-0000-0000310D0000}"/>
    <cellStyle name="Normal 4 2 4 3 2 2 6" xfId="3797" xr:uid="{00000000-0005-0000-0000-0000320D0000}"/>
    <cellStyle name="Normal 4 2 4 3 2 2 7" xfId="3798" xr:uid="{00000000-0005-0000-0000-0000330D0000}"/>
    <cellStyle name="Normal 4 2 4 3 2 3" xfId="3799" xr:uid="{00000000-0005-0000-0000-0000340D0000}"/>
    <cellStyle name="Normal 4 2 4 3 2 3 2" xfId="3800" xr:uid="{00000000-0005-0000-0000-0000350D0000}"/>
    <cellStyle name="Normal 4 2 4 3 2 3 2 2" xfId="3801" xr:uid="{00000000-0005-0000-0000-0000360D0000}"/>
    <cellStyle name="Normal 4 2 4 3 2 3 2 3" xfId="3802" xr:uid="{00000000-0005-0000-0000-0000370D0000}"/>
    <cellStyle name="Normal 4 2 4 3 2 3 3" xfId="3803" xr:uid="{00000000-0005-0000-0000-0000380D0000}"/>
    <cellStyle name="Normal 4 2 4 3 2 3 4" xfId="3804" xr:uid="{00000000-0005-0000-0000-0000390D0000}"/>
    <cellStyle name="Normal 4 2 4 3 2 3 5" xfId="3805" xr:uid="{00000000-0005-0000-0000-00003A0D0000}"/>
    <cellStyle name="Normal 4 2 4 3 2 4" xfId="3806" xr:uid="{00000000-0005-0000-0000-00003B0D0000}"/>
    <cellStyle name="Normal 4 2 4 3 2 4 2" xfId="3807" xr:uid="{00000000-0005-0000-0000-00003C0D0000}"/>
    <cellStyle name="Normal 4 2 4 3 2 4 2 2" xfId="3808" xr:uid="{00000000-0005-0000-0000-00003D0D0000}"/>
    <cellStyle name="Normal 4 2 4 3 2 4 2 3" xfId="3809" xr:uid="{00000000-0005-0000-0000-00003E0D0000}"/>
    <cellStyle name="Normal 4 2 4 3 2 4 3" xfId="3810" xr:uid="{00000000-0005-0000-0000-00003F0D0000}"/>
    <cellStyle name="Normal 4 2 4 3 2 4 4" xfId="3811" xr:uid="{00000000-0005-0000-0000-0000400D0000}"/>
    <cellStyle name="Normal 4 2 4 3 2 4 5" xfId="3812" xr:uid="{00000000-0005-0000-0000-0000410D0000}"/>
    <cellStyle name="Normal 4 2 4 3 2 5" xfId="3813" xr:uid="{00000000-0005-0000-0000-0000420D0000}"/>
    <cellStyle name="Normal 4 2 4 3 2 5 2" xfId="3814" xr:uid="{00000000-0005-0000-0000-0000430D0000}"/>
    <cellStyle name="Normal 4 2 4 3 2 5 3" xfId="3815" xr:uid="{00000000-0005-0000-0000-0000440D0000}"/>
    <cellStyle name="Normal 4 2 4 3 2 6" xfId="3816" xr:uid="{00000000-0005-0000-0000-0000450D0000}"/>
    <cellStyle name="Normal 4 2 4 3 2 7" xfId="3817" xr:uid="{00000000-0005-0000-0000-0000460D0000}"/>
    <cellStyle name="Normal 4 2 4 3 2 8" xfId="3818" xr:uid="{00000000-0005-0000-0000-0000470D0000}"/>
    <cellStyle name="Normal 4 2 4 3 3" xfId="3819" xr:uid="{00000000-0005-0000-0000-0000480D0000}"/>
    <cellStyle name="Normal 4 2 4 3 3 2" xfId="3820" xr:uid="{00000000-0005-0000-0000-0000490D0000}"/>
    <cellStyle name="Normal 4 2 4 3 3 2 2" xfId="3821" xr:uid="{00000000-0005-0000-0000-00004A0D0000}"/>
    <cellStyle name="Normal 4 2 4 3 3 2 2 2" xfId="3822" xr:uid="{00000000-0005-0000-0000-00004B0D0000}"/>
    <cellStyle name="Normal 4 2 4 3 3 2 2 3" xfId="3823" xr:uid="{00000000-0005-0000-0000-00004C0D0000}"/>
    <cellStyle name="Normal 4 2 4 3 3 2 3" xfId="3824" xr:uid="{00000000-0005-0000-0000-00004D0D0000}"/>
    <cellStyle name="Normal 4 2 4 3 3 2 4" xfId="3825" xr:uid="{00000000-0005-0000-0000-00004E0D0000}"/>
    <cellStyle name="Normal 4 2 4 3 3 2 5" xfId="3826" xr:uid="{00000000-0005-0000-0000-00004F0D0000}"/>
    <cellStyle name="Normal 4 2 4 3 3 3" xfId="3827" xr:uid="{00000000-0005-0000-0000-0000500D0000}"/>
    <cellStyle name="Normal 4 2 4 3 3 3 2" xfId="3828" xr:uid="{00000000-0005-0000-0000-0000510D0000}"/>
    <cellStyle name="Normal 4 2 4 3 3 3 2 2" xfId="3829" xr:uid="{00000000-0005-0000-0000-0000520D0000}"/>
    <cellStyle name="Normal 4 2 4 3 3 3 2 3" xfId="3830" xr:uid="{00000000-0005-0000-0000-0000530D0000}"/>
    <cellStyle name="Normal 4 2 4 3 3 3 3" xfId="3831" xr:uid="{00000000-0005-0000-0000-0000540D0000}"/>
    <cellStyle name="Normal 4 2 4 3 3 3 4" xfId="3832" xr:uid="{00000000-0005-0000-0000-0000550D0000}"/>
    <cellStyle name="Normal 4 2 4 3 3 3 5" xfId="3833" xr:uid="{00000000-0005-0000-0000-0000560D0000}"/>
    <cellStyle name="Normal 4 2 4 3 3 4" xfId="3834" xr:uid="{00000000-0005-0000-0000-0000570D0000}"/>
    <cellStyle name="Normal 4 2 4 3 3 4 2" xfId="3835" xr:uid="{00000000-0005-0000-0000-0000580D0000}"/>
    <cellStyle name="Normal 4 2 4 3 3 4 3" xfId="3836" xr:uid="{00000000-0005-0000-0000-0000590D0000}"/>
    <cellStyle name="Normal 4 2 4 3 3 5" xfId="3837" xr:uid="{00000000-0005-0000-0000-00005A0D0000}"/>
    <cellStyle name="Normal 4 2 4 3 3 6" xfId="3838" xr:uid="{00000000-0005-0000-0000-00005B0D0000}"/>
    <cellStyle name="Normal 4 2 4 3 3 7" xfId="3839" xr:uid="{00000000-0005-0000-0000-00005C0D0000}"/>
    <cellStyle name="Normal 4 2 4 3 4" xfId="3840" xr:uid="{00000000-0005-0000-0000-00005D0D0000}"/>
    <cellStyle name="Normal 4 2 4 3 4 2" xfId="3841" xr:uid="{00000000-0005-0000-0000-00005E0D0000}"/>
    <cellStyle name="Normal 4 2 4 3 4 2 2" xfId="3842" xr:uid="{00000000-0005-0000-0000-00005F0D0000}"/>
    <cellStyle name="Normal 4 2 4 3 4 2 3" xfId="3843" xr:uid="{00000000-0005-0000-0000-0000600D0000}"/>
    <cellStyle name="Normal 4 2 4 3 4 3" xfId="3844" xr:uid="{00000000-0005-0000-0000-0000610D0000}"/>
    <cellStyle name="Normal 4 2 4 3 4 4" xfId="3845" xr:uid="{00000000-0005-0000-0000-0000620D0000}"/>
    <cellStyle name="Normal 4 2 4 3 4 5" xfId="3846" xr:uid="{00000000-0005-0000-0000-0000630D0000}"/>
    <cellStyle name="Normal 4 2 4 3 5" xfId="3847" xr:uid="{00000000-0005-0000-0000-0000640D0000}"/>
    <cellStyle name="Normal 4 2 4 3 5 2" xfId="3848" xr:uid="{00000000-0005-0000-0000-0000650D0000}"/>
    <cellStyle name="Normal 4 2 4 3 5 2 2" xfId="3849" xr:uid="{00000000-0005-0000-0000-0000660D0000}"/>
    <cellStyle name="Normal 4 2 4 3 5 2 3" xfId="3850" xr:uid="{00000000-0005-0000-0000-0000670D0000}"/>
    <cellStyle name="Normal 4 2 4 3 5 3" xfId="3851" xr:uid="{00000000-0005-0000-0000-0000680D0000}"/>
    <cellStyle name="Normal 4 2 4 3 5 4" xfId="3852" xr:uid="{00000000-0005-0000-0000-0000690D0000}"/>
    <cellStyle name="Normal 4 2 4 3 5 5" xfId="3853" xr:uid="{00000000-0005-0000-0000-00006A0D0000}"/>
    <cellStyle name="Normal 4 2 4 3 6" xfId="3854" xr:uid="{00000000-0005-0000-0000-00006B0D0000}"/>
    <cellStyle name="Normal 4 2 4 3 6 2" xfId="3855" xr:uid="{00000000-0005-0000-0000-00006C0D0000}"/>
    <cellStyle name="Normal 4 2 4 3 6 3" xfId="3856" xr:uid="{00000000-0005-0000-0000-00006D0D0000}"/>
    <cellStyle name="Normal 4 2 4 3 7" xfId="3857" xr:uid="{00000000-0005-0000-0000-00006E0D0000}"/>
    <cellStyle name="Normal 4 2 4 3 8" xfId="3858" xr:uid="{00000000-0005-0000-0000-00006F0D0000}"/>
    <cellStyle name="Normal 4 2 4 3 9" xfId="3859" xr:uid="{00000000-0005-0000-0000-0000700D0000}"/>
    <cellStyle name="Normal 4 2 4 4" xfId="3860" xr:uid="{00000000-0005-0000-0000-0000710D0000}"/>
    <cellStyle name="Normal 4 2 4 4 2" xfId="3861" xr:uid="{00000000-0005-0000-0000-0000720D0000}"/>
    <cellStyle name="Normal 4 2 4 4 2 2" xfId="3862" xr:uid="{00000000-0005-0000-0000-0000730D0000}"/>
    <cellStyle name="Normal 4 2 4 4 2 2 2" xfId="3863" xr:uid="{00000000-0005-0000-0000-0000740D0000}"/>
    <cellStyle name="Normal 4 2 4 4 2 2 2 2" xfId="3864" xr:uid="{00000000-0005-0000-0000-0000750D0000}"/>
    <cellStyle name="Normal 4 2 4 4 2 2 2 2 2" xfId="3865" xr:uid="{00000000-0005-0000-0000-0000760D0000}"/>
    <cellStyle name="Normal 4 2 4 4 2 2 2 2 3" xfId="3866" xr:uid="{00000000-0005-0000-0000-0000770D0000}"/>
    <cellStyle name="Normal 4 2 4 4 2 2 2 3" xfId="3867" xr:uid="{00000000-0005-0000-0000-0000780D0000}"/>
    <cellStyle name="Normal 4 2 4 4 2 2 2 4" xfId="3868" xr:uid="{00000000-0005-0000-0000-0000790D0000}"/>
    <cellStyle name="Normal 4 2 4 4 2 2 2 5" xfId="3869" xr:uid="{00000000-0005-0000-0000-00007A0D0000}"/>
    <cellStyle name="Normal 4 2 4 4 2 2 3" xfId="3870" xr:uid="{00000000-0005-0000-0000-00007B0D0000}"/>
    <cellStyle name="Normal 4 2 4 4 2 2 3 2" xfId="3871" xr:uid="{00000000-0005-0000-0000-00007C0D0000}"/>
    <cellStyle name="Normal 4 2 4 4 2 2 3 2 2" xfId="3872" xr:uid="{00000000-0005-0000-0000-00007D0D0000}"/>
    <cellStyle name="Normal 4 2 4 4 2 2 3 2 3" xfId="3873" xr:uid="{00000000-0005-0000-0000-00007E0D0000}"/>
    <cellStyle name="Normal 4 2 4 4 2 2 3 3" xfId="3874" xr:uid="{00000000-0005-0000-0000-00007F0D0000}"/>
    <cellStyle name="Normal 4 2 4 4 2 2 3 4" xfId="3875" xr:uid="{00000000-0005-0000-0000-0000800D0000}"/>
    <cellStyle name="Normal 4 2 4 4 2 2 3 5" xfId="3876" xr:uid="{00000000-0005-0000-0000-0000810D0000}"/>
    <cellStyle name="Normal 4 2 4 4 2 2 4" xfId="3877" xr:uid="{00000000-0005-0000-0000-0000820D0000}"/>
    <cellStyle name="Normal 4 2 4 4 2 2 4 2" xfId="3878" xr:uid="{00000000-0005-0000-0000-0000830D0000}"/>
    <cellStyle name="Normal 4 2 4 4 2 2 4 3" xfId="3879" xr:uid="{00000000-0005-0000-0000-0000840D0000}"/>
    <cellStyle name="Normal 4 2 4 4 2 2 5" xfId="3880" xr:uid="{00000000-0005-0000-0000-0000850D0000}"/>
    <cellStyle name="Normal 4 2 4 4 2 2 6" xfId="3881" xr:uid="{00000000-0005-0000-0000-0000860D0000}"/>
    <cellStyle name="Normal 4 2 4 4 2 2 7" xfId="3882" xr:uid="{00000000-0005-0000-0000-0000870D0000}"/>
    <cellStyle name="Normal 4 2 4 4 2 3" xfId="3883" xr:uid="{00000000-0005-0000-0000-0000880D0000}"/>
    <cellStyle name="Normal 4 2 4 4 2 3 2" xfId="3884" xr:uid="{00000000-0005-0000-0000-0000890D0000}"/>
    <cellStyle name="Normal 4 2 4 4 2 3 2 2" xfId="3885" xr:uid="{00000000-0005-0000-0000-00008A0D0000}"/>
    <cellStyle name="Normal 4 2 4 4 2 3 2 3" xfId="3886" xr:uid="{00000000-0005-0000-0000-00008B0D0000}"/>
    <cellStyle name="Normal 4 2 4 4 2 3 3" xfId="3887" xr:uid="{00000000-0005-0000-0000-00008C0D0000}"/>
    <cellStyle name="Normal 4 2 4 4 2 3 4" xfId="3888" xr:uid="{00000000-0005-0000-0000-00008D0D0000}"/>
    <cellStyle name="Normal 4 2 4 4 2 3 5" xfId="3889" xr:uid="{00000000-0005-0000-0000-00008E0D0000}"/>
    <cellStyle name="Normal 4 2 4 4 2 4" xfId="3890" xr:uid="{00000000-0005-0000-0000-00008F0D0000}"/>
    <cellStyle name="Normal 4 2 4 4 2 4 2" xfId="3891" xr:uid="{00000000-0005-0000-0000-0000900D0000}"/>
    <cellStyle name="Normal 4 2 4 4 2 4 2 2" xfId="3892" xr:uid="{00000000-0005-0000-0000-0000910D0000}"/>
    <cellStyle name="Normal 4 2 4 4 2 4 2 3" xfId="3893" xr:uid="{00000000-0005-0000-0000-0000920D0000}"/>
    <cellStyle name="Normal 4 2 4 4 2 4 3" xfId="3894" xr:uid="{00000000-0005-0000-0000-0000930D0000}"/>
    <cellStyle name="Normal 4 2 4 4 2 4 4" xfId="3895" xr:uid="{00000000-0005-0000-0000-0000940D0000}"/>
    <cellStyle name="Normal 4 2 4 4 2 4 5" xfId="3896" xr:uid="{00000000-0005-0000-0000-0000950D0000}"/>
    <cellStyle name="Normal 4 2 4 4 2 5" xfId="3897" xr:uid="{00000000-0005-0000-0000-0000960D0000}"/>
    <cellStyle name="Normal 4 2 4 4 2 5 2" xfId="3898" xr:uid="{00000000-0005-0000-0000-0000970D0000}"/>
    <cellStyle name="Normal 4 2 4 4 2 5 3" xfId="3899" xr:uid="{00000000-0005-0000-0000-0000980D0000}"/>
    <cellStyle name="Normal 4 2 4 4 2 6" xfId="3900" xr:uid="{00000000-0005-0000-0000-0000990D0000}"/>
    <cellStyle name="Normal 4 2 4 4 2 7" xfId="3901" xr:uid="{00000000-0005-0000-0000-00009A0D0000}"/>
    <cellStyle name="Normal 4 2 4 4 2 8" xfId="3902" xr:uid="{00000000-0005-0000-0000-00009B0D0000}"/>
    <cellStyle name="Normal 4 2 4 4 3" xfId="3903" xr:uid="{00000000-0005-0000-0000-00009C0D0000}"/>
    <cellStyle name="Normal 4 2 4 4 3 2" xfId="3904" xr:uid="{00000000-0005-0000-0000-00009D0D0000}"/>
    <cellStyle name="Normal 4 2 4 4 3 2 2" xfId="3905" xr:uid="{00000000-0005-0000-0000-00009E0D0000}"/>
    <cellStyle name="Normal 4 2 4 4 3 2 2 2" xfId="3906" xr:uid="{00000000-0005-0000-0000-00009F0D0000}"/>
    <cellStyle name="Normal 4 2 4 4 3 2 2 3" xfId="3907" xr:uid="{00000000-0005-0000-0000-0000A00D0000}"/>
    <cellStyle name="Normal 4 2 4 4 3 2 3" xfId="3908" xr:uid="{00000000-0005-0000-0000-0000A10D0000}"/>
    <cellStyle name="Normal 4 2 4 4 3 2 4" xfId="3909" xr:uid="{00000000-0005-0000-0000-0000A20D0000}"/>
    <cellStyle name="Normal 4 2 4 4 3 2 5" xfId="3910" xr:uid="{00000000-0005-0000-0000-0000A30D0000}"/>
    <cellStyle name="Normal 4 2 4 4 3 3" xfId="3911" xr:uid="{00000000-0005-0000-0000-0000A40D0000}"/>
    <cellStyle name="Normal 4 2 4 4 3 3 2" xfId="3912" xr:uid="{00000000-0005-0000-0000-0000A50D0000}"/>
    <cellStyle name="Normal 4 2 4 4 3 3 2 2" xfId="3913" xr:uid="{00000000-0005-0000-0000-0000A60D0000}"/>
    <cellStyle name="Normal 4 2 4 4 3 3 2 3" xfId="3914" xr:uid="{00000000-0005-0000-0000-0000A70D0000}"/>
    <cellStyle name="Normal 4 2 4 4 3 3 3" xfId="3915" xr:uid="{00000000-0005-0000-0000-0000A80D0000}"/>
    <cellStyle name="Normal 4 2 4 4 3 3 4" xfId="3916" xr:uid="{00000000-0005-0000-0000-0000A90D0000}"/>
    <cellStyle name="Normal 4 2 4 4 3 3 5" xfId="3917" xr:uid="{00000000-0005-0000-0000-0000AA0D0000}"/>
    <cellStyle name="Normal 4 2 4 4 3 4" xfId="3918" xr:uid="{00000000-0005-0000-0000-0000AB0D0000}"/>
    <cellStyle name="Normal 4 2 4 4 3 4 2" xfId="3919" xr:uid="{00000000-0005-0000-0000-0000AC0D0000}"/>
    <cellStyle name="Normal 4 2 4 4 3 4 3" xfId="3920" xr:uid="{00000000-0005-0000-0000-0000AD0D0000}"/>
    <cellStyle name="Normal 4 2 4 4 3 5" xfId="3921" xr:uid="{00000000-0005-0000-0000-0000AE0D0000}"/>
    <cellStyle name="Normal 4 2 4 4 3 6" xfId="3922" xr:uid="{00000000-0005-0000-0000-0000AF0D0000}"/>
    <cellStyle name="Normal 4 2 4 4 3 7" xfId="3923" xr:uid="{00000000-0005-0000-0000-0000B00D0000}"/>
    <cellStyle name="Normal 4 2 4 4 4" xfId="3924" xr:uid="{00000000-0005-0000-0000-0000B10D0000}"/>
    <cellStyle name="Normal 4 2 4 4 4 2" xfId="3925" xr:uid="{00000000-0005-0000-0000-0000B20D0000}"/>
    <cellStyle name="Normal 4 2 4 4 4 2 2" xfId="3926" xr:uid="{00000000-0005-0000-0000-0000B30D0000}"/>
    <cellStyle name="Normal 4 2 4 4 4 2 3" xfId="3927" xr:uid="{00000000-0005-0000-0000-0000B40D0000}"/>
    <cellStyle name="Normal 4 2 4 4 4 3" xfId="3928" xr:uid="{00000000-0005-0000-0000-0000B50D0000}"/>
    <cellStyle name="Normal 4 2 4 4 4 4" xfId="3929" xr:uid="{00000000-0005-0000-0000-0000B60D0000}"/>
    <cellStyle name="Normal 4 2 4 4 4 5" xfId="3930" xr:uid="{00000000-0005-0000-0000-0000B70D0000}"/>
    <cellStyle name="Normal 4 2 4 4 5" xfId="3931" xr:uid="{00000000-0005-0000-0000-0000B80D0000}"/>
    <cellStyle name="Normal 4 2 4 4 5 2" xfId="3932" xr:uid="{00000000-0005-0000-0000-0000B90D0000}"/>
    <cellStyle name="Normal 4 2 4 4 5 2 2" xfId="3933" xr:uid="{00000000-0005-0000-0000-0000BA0D0000}"/>
    <cellStyle name="Normal 4 2 4 4 5 2 3" xfId="3934" xr:uid="{00000000-0005-0000-0000-0000BB0D0000}"/>
    <cellStyle name="Normal 4 2 4 4 5 3" xfId="3935" xr:uid="{00000000-0005-0000-0000-0000BC0D0000}"/>
    <cellStyle name="Normal 4 2 4 4 5 4" xfId="3936" xr:uid="{00000000-0005-0000-0000-0000BD0D0000}"/>
    <cellStyle name="Normal 4 2 4 4 5 5" xfId="3937" xr:uid="{00000000-0005-0000-0000-0000BE0D0000}"/>
    <cellStyle name="Normal 4 2 4 4 6" xfId="3938" xr:uid="{00000000-0005-0000-0000-0000BF0D0000}"/>
    <cellStyle name="Normal 4 2 4 4 6 2" xfId="3939" xr:uid="{00000000-0005-0000-0000-0000C00D0000}"/>
    <cellStyle name="Normal 4 2 4 4 6 3" xfId="3940" xr:uid="{00000000-0005-0000-0000-0000C10D0000}"/>
    <cellStyle name="Normal 4 2 4 4 7" xfId="3941" xr:uid="{00000000-0005-0000-0000-0000C20D0000}"/>
    <cellStyle name="Normal 4 2 4 4 8" xfId="3942" xr:uid="{00000000-0005-0000-0000-0000C30D0000}"/>
    <cellStyle name="Normal 4 2 4 4 9" xfId="3943" xr:uid="{00000000-0005-0000-0000-0000C40D0000}"/>
    <cellStyle name="Normal 4 2 4 5" xfId="3944" xr:uid="{00000000-0005-0000-0000-0000C50D0000}"/>
    <cellStyle name="Normal 4 2 4 5 2" xfId="3945" xr:uid="{00000000-0005-0000-0000-0000C60D0000}"/>
    <cellStyle name="Normal 4 2 4 5 2 2" xfId="3946" xr:uid="{00000000-0005-0000-0000-0000C70D0000}"/>
    <cellStyle name="Normal 4 2 4 5 2 2 2" xfId="3947" xr:uid="{00000000-0005-0000-0000-0000C80D0000}"/>
    <cellStyle name="Normal 4 2 4 5 2 2 2 2" xfId="3948" xr:uid="{00000000-0005-0000-0000-0000C90D0000}"/>
    <cellStyle name="Normal 4 2 4 5 2 2 2 3" xfId="3949" xr:uid="{00000000-0005-0000-0000-0000CA0D0000}"/>
    <cellStyle name="Normal 4 2 4 5 2 2 3" xfId="3950" xr:uid="{00000000-0005-0000-0000-0000CB0D0000}"/>
    <cellStyle name="Normal 4 2 4 5 2 2 4" xfId="3951" xr:uid="{00000000-0005-0000-0000-0000CC0D0000}"/>
    <cellStyle name="Normal 4 2 4 5 2 2 5" xfId="3952" xr:uid="{00000000-0005-0000-0000-0000CD0D0000}"/>
    <cellStyle name="Normal 4 2 4 5 2 3" xfId="3953" xr:uid="{00000000-0005-0000-0000-0000CE0D0000}"/>
    <cellStyle name="Normal 4 2 4 5 2 3 2" xfId="3954" xr:uid="{00000000-0005-0000-0000-0000CF0D0000}"/>
    <cellStyle name="Normal 4 2 4 5 2 3 2 2" xfId="3955" xr:uid="{00000000-0005-0000-0000-0000D00D0000}"/>
    <cellStyle name="Normal 4 2 4 5 2 3 2 3" xfId="3956" xr:uid="{00000000-0005-0000-0000-0000D10D0000}"/>
    <cellStyle name="Normal 4 2 4 5 2 3 3" xfId="3957" xr:uid="{00000000-0005-0000-0000-0000D20D0000}"/>
    <cellStyle name="Normal 4 2 4 5 2 3 4" xfId="3958" xr:uid="{00000000-0005-0000-0000-0000D30D0000}"/>
    <cellStyle name="Normal 4 2 4 5 2 3 5" xfId="3959" xr:uid="{00000000-0005-0000-0000-0000D40D0000}"/>
    <cellStyle name="Normal 4 2 4 5 2 4" xfId="3960" xr:uid="{00000000-0005-0000-0000-0000D50D0000}"/>
    <cellStyle name="Normal 4 2 4 5 2 4 2" xfId="3961" xr:uid="{00000000-0005-0000-0000-0000D60D0000}"/>
    <cellStyle name="Normal 4 2 4 5 2 4 3" xfId="3962" xr:uid="{00000000-0005-0000-0000-0000D70D0000}"/>
    <cellStyle name="Normal 4 2 4 5 2 5" xfId="3963" xr:uid="{00000000-0005-0000-0000-0000D80D0000}"/>
    <cellStyle name="Normal 4 2 4 5 2 6" xfId="3964" xr:uid="{00000000-0005-0000-0000-0000D90D0000}"/>
    <cellStyle name="Normal 4 2 4 5 2 7" xfId="3965" xr:uid="{00000000-0005-0000-0000-0000DA0D0000}"/>
    <cellStyle name="Normal 4 2 4 5 3" xfId="3966" xr:uid="{00000000-0005-0000-0000-0000DB0D0000}"/>
    <cellStyle name="Normal 4 2 4 5 3 2" xfId="3967" xr:uid="{00000000-0005-0000-0000-0000DC0D0000}"/>
    <cellStyle name="Normal 4 2 4 5 3 2 2" xfId="3968" xr:uid="{00000000-0005-0000-0000-0000DD0D0000}"/>
    <cellStyle name="Normal 4 2 4 5 3 2 3" xfId="3969" xr:uid="{00000000-0005-0000-0000-0000DE0D0000}"/>
    <cellStyle name="Normal 4 2 4 5 3 3" xfId="3970" xr:uid="{00000000-0005-0000-0000-0000DF0D0000}"/>
    <cellStyle name="Normal 4 2 4 5 3 4" xfId="3971" xr:uid="{00000000-0005-0000-0000-0000E00D0000}"/>
    <cellStyle name="Normal 4 2 4 5 3 5" xfId="3972" xr:uid="{00000000-0005-0000-0000-0000E10D0000}"/>
    <cellStyle name="Normal 4 2 4 5 4" xfId="3973" xr:uid="{00000000-0005-0000-0000-0000E20D0000}"/>
    <cellStyle name="Normal 4 2 4 5 4 2" xfId="3974" xr:uid="{00000000-0005-0000-0000-0000E30D0000}"/>
    <cellStyle name="Normal 4 2 4 5 4 2 2" xfId="3975" xr:uid="{00000000-0005-0000-0000-0000E40D0000}"/>
    <cellStyle name="Normal 4 2 4 5 4 2 3" xfId="3976" xr:uid="{00000000-0005-0000-0000-0000E50D0000}"/>
    <cellStyle name="Normal 4 2 4 5 4 3" xfId="3977" xr:uid="{00000000-0005-0000-0000-0000E60D0000}"/>
    <cellStyle name="Normal 4 2 4 5 4 4" xfId="3978" xr:uid="{00000000-0005-0000-0000-0000E70D0000}"/>
    <cellStyle name="Normal 4 2 4 5 4 5" xfId="3979" xr:uid="{00000000-0005-0000-0000-0000E80D0000}"/>
    <cellStyle name="Normal 4 2 4 5 5" xfId="3980" xr:uid="{00000000-0005-0000-0000-0000E90D0000}"/>
    <cellStyle name="Normal 4 2 4 5 5 2" xfId="3981" xr:uid="{00000000-0005-0000-0000-0000EA0D0000}"/>
    <cellStyle name="Normal 4 2 4 5 5 3" xfId="3982" xr:uid="{00000000-0005-0000-0000-0000EB0D0000}"/>
    <cellStyle name="Normal 4 2 4 5 6" xfId="3983" xr:uid="{00000000-0005-0000-0000-0000EC0D0000}"/>
    <cellStyle name="Normal 4 2 4 5 7" xfId="3984" xr:uid="{00000000-0005-0000-0000-0000ED0D0000}"/>
    <cellStyle name="Normal 4 2 4 5 8" xfId="3985" xr:uid="{00000000-0005-0000-0000-0000EE0D0000}"/>
    <cellStyle name="Normal 4 2 4 6" xfId="3986" xr:uid="{00000000-0005-0000-0000-0000EF0D0000}"/>
    <cellStyle name="Normal 4 2 4 6 2" xfId="3987" xr:uid="{00000000-0005-0000-0000-0000F00D0000}"/>
    <cellStyle name="Normal 4 2 4 6 2 2" xfId="3988" xr:uid="{00000000-0005-0000-0000-0000F10D0000}"/>
    <cellStyle name="Normal 4 2 4 6 2 2 2" xfId="3989" xr:uid="{00000000-0005-0000-0000-0000F20D0000}"/>
    <cellStyle name="Normal 4 2 4 6 2 2 3" xfId="3990" xr:uid="{00000000-0005-0000-0000-0000F30D0000}"/>
    <cellStyle name="Normal 4 2 4 6 2 3" xfId="3991" xr:uid="{00000000-0005-0000-0000-0000F40D0000}"/>
    <cellStyle name="Normal 4 2 4 6 2 4" xfId="3992" xr:uid="{00000000-0005-0000-0000-0000F50D0000}"/>
    <cellStyle name="Normal 4 2 4 6 2 5" xfId="3993" xr:uid="{00000000-0005-0000-0000-0000F60D0000}"/>
    <cellStyle name="Normal 4 2 4 6 3" xfId="3994" xr:uid="{00000000-0005-0000-0000-0000F70D0000}"/>
    <cellStyle name="Normal 4 2 4 6 3 2" xfId="3995" xr:uid="{00000000-0005-0000-0000-0000F80D0000}"/>
    <cellStyle name="Normal 4 2 4 6 3 2 2" xfId="3996" xr:uid="{00000000-0005-0000-0000-0000F90D0000}"/>
    <cellStyle name="Normal 4 2 4 6 3 2 3" xfId="3997" xr:uid="{00000000-0005-0000-0000-0000FA0D0000}"/>
    <cellStyle name="Normal 4 2 4 6 3 3" xfId="3998" xr:uid="{00000000-0005-0000-0000-0000FB0D0000}"/>
    <cellStyle name="Normal 4 2 4 6 3 4" xfId="3999" xr:uid="{00000000-0005-0000-0000-0000FC0D0000}"/>
    <cellStyle name="Normal 4 2 4 6 3 5" xfId="4000" xr:uid="{00000000-0005-0000-0000-0000FD0D0000}"/>
    <cellStyle name="Normal 4 2 4 6 4" xfId="4001" xr:uid="{00000000-0005-0000-0000-0000FE0D0000}"/>
    <cellStyle name="Normal 4 2 4 6 4 2" xfId="4002" xr:uid="{00000000-0005-0000-0000-0000FF0D0000}"/>
    <cellStyle name="Normal 4 2 4 6 4 3" xfId="4003" xr:uid="{00000000-0005-0000-0000-0000000E0000}"/>
    <cellStyle name="Normal 4 2 4 6 5" xfId="4004" xr:uid="{00000000-0005-0000-0000-0000010E0000}"/>
    <cellStyle name="Normal 4 2 4 6 6" xfId="4005" xr:uid="{00000000-0005-0000-0000-0000020E0000}"/>
    <cellStyle name="Normal 4 2 4 6 7" xfId="4006" xr:uid="{00000000-0005-0000-0000-0000030E0000}"/>
    <cellStyle name="Normal 4 2 4 7" xfId="4007" xr:uid="{00000000-0005-0000-0000-0000040E0000}"/>
    <cellStyle name="Normal 4 2 4 7 2" xfId="4008" xr:uid="{00000000-0005-0000-0000-0000050E0000}"/>
    <cellStyle name="Normal 4 2 4 7 2 2" xfId="4009" xr:uid="{00000000-0005-0000-0000-0000060E0000}"/>
    <cellStyle name="Normal 4 2 4 7 2 3" xfId="4010" xr:uid="{00000000-0005-0000-0000-0000070E0000}"/>
    <cellStyle name="Normal 4 2 4 7 3" xfId="4011" xr:uid="{00000000-0005-0000-0000-0000080E0000}"/>
    <cellStyle name="Normal 4 2 4 7 4" xfId="4012" xr:uid="{00000000-0005-0000-0000-0000090E0000}"/>
    <cellStyle name="Normal 4 2 4 7 5" xfId="4013" xr:uid="{00000000-0005-0000-0000-00000A0E0000}"/>
    <cellStyle name="Normal 4 2 4 8" xfId="4014" xr:uid="{00000000-0005-0000-0000-00000B0E0000}"/>
    <cellStyle name="Normal 4 2 4 8 2" xfId="4015" xr:uid="{00000000-0005-0000-0000-00000C0E0000}"/>
    <cellStyle name="Normal 4 2 4 8 2 2" xfId="4016" xr:uid="{00000000-0005-0000-0000-00000D0E0000}"/>
    <cellStyle name="Normal 4 2 4 8 2 3" xfId="4017" xr:uid="{00000000-0005-0000-0000-00000E0E0000}"/>
    <cellStyle name="Normal 4 2 4 8 3" xfId="4018" xr:uid="{00000000-0005-0000-0000-00000F0E0000}"/>
    <cellStyle name="Normal 4 2 4 8 4" xfId="4019" xr:uid="{00000000-0005-0000-0000-0000100E0000}"/>
    <cellStyle name="Normal 4 2 4 8 5" xfId="4020" xr:uid="{00000000-0005-0000-0000-0000110E0000}"/>
    <cellStyle name="Normal 4 2 4 9" xfId="4021" xr:uid="{00000000-0005-0000-0000-0000120E0000}"/>
    <cellStyle name="Normal 4 2 4 9 2" xfId="4022" xr:uid="{00000000-0005-0000-0000-0000130E0000}"/>
    <cellStyle name="Normal 4 2 4 9 3" xfId="4023" xr:uid="{00000000-0005-0000-0000-0000140E0000}"/>
    <cellStyle name="Normal 4 2 5" xfId="4024" xr:uid="{00000000-0005-0000-0000-0000150E0000}"/>
    <cellStyle name="Normal 4 2 5 2" xfId="4025" xr:uid="{00000000-0005-0000-0000-0000160E0000}"/>
    <cellStyle name="Normal 4 2 5 2 2" xfId="4026" xr:uid="{00000000-0005-0000-0000-0000170E0000}"/>
    <cellStyle name="Normal 4 2 5 2 2 2" xfId="4027" xr:uid="{00000000-0005-0000-0000-0000180E0000}"/>
    <cellStyle name="Normal 4 2 5 2 2 2 2" xfId="4028" xr:uid="{00000000-0005-0000-0000-0000190E0000}"/>
    <cellStyle name="Normal 4 2 5 2 2 2 2 2" xfId="4029" xr:uid="{00000000-0005-0000-0000-00001A0E0000}"/>
    <cellStyle name="Normal 4 2 5 2 2 2 2 3" xfId="4030" xr:uid="{00000000-0005-0000-0000-00001B0E0000}"/>
    <cellStyle name="Normal 4 2 5 2 2 2 3" xfId="4031" xr:uid="{00000000-0005-0000-0000-00001C0E0000}"/>
    <cellStyle name="Normal 4 2 5 2 2 2 4" xfId="4032" xr:uid="{00000000-0005-0000-0000-00001D0E0000}"/>
    <cellStyle name="Normal 4 2 5 2 2 2 5" xfId="4033" xr:uid="{00000000-0005-0000-0000-00001E0E0000}"/>
    <cellStyle name="Normal 4 2 5 2 2 3" xfId="4034" xr:uid="{00000000-0005-0000-0000-00001F0E0000}"/>
    <cellStyle name="Normal 4 2 5 2 2 3 2" xfId="4035" xr:uid="{00000000-0005-0000-0000-0000200E0000}"/>
    <cellStyle name="Normal 4 2 5 2 2 3 2 2" xfId="4036" xr:uid="{00000000-0005-0000-0000-0000210E0000}"/>
    <cellStyle name="Normal 4 2 5 2 2 3 2 3" xfId="4037" xr:uid="{00000000-0005-0000-0000-0000220E0000}"/>
    <cellStyle name="Normal 4 2 5 2 2 3 3" xfId="4038" xr:uid="{00000000-0005-0000-0000-0000230E0000}"/>
    <cellStyle name="Normal 4 2 5 2 2 3 4" xfId="4039" xr:uid="{00000000-0005-0000-0000-0000240E0000}"/>
    <cellStyle name="Normal 4 2 5 2 2 3 5" xfId="4040" xr:uid="{00000000-0005-0000-0000-0000250E0000}"/>
    <cellStyle name="Normal 4 2 5 2 2 4" xfId="4041" xr:uid="{00000000-0005-0000-0000-0000260E0000}"/>
    <cellStyle name="Normal 4 2 5 2 2 4 2" xfId="4042" xr:uid="{00000000-0005-0000-0000-0000270E0000}"/>
    <cellStyle name="Normal 4 2 5 2 2 4 3" xfId="4043" xr:uid="{00000000-0005-0000-0000-0000280E0000}"/>
    <cellStyle name="Normal 4 2 5 2 2 5" xfId="4044" xr:uid="{00000000-0005-0000-0000-0000290E0000}"/>
    <cellStyle name="Normal 4 2 5 2 2 6" xfId="4045" xr:uid="{00000000-0005-0000-0000-00002A0E0000}"/>
    <cellStyle name="Normal 4 2 5 2 2 7" xfId="4046" xr:uid="{00000000-0005-0000-0000-00002B0E0000}"/>
    <cellStyle name="Normal 4 2 5 2 3" xfId="4047" xr:uid="{00000000-0005-0000-0000-00002C0E0000}"/>
    <cellStyle name="Normal 4 2 5 2 3 2" xfId="4048" xr:uid="{00000000-0005-0000-0000-00002D0E0000}"/>
    <cellStyle name="Normal 4 2 5 2 3 2 2" xfId="4049" xr:uid="{00000000-0005-0000-0000-00002E0E0000}"/>
    <cellStyle name="Normal 4 2 5 2 3 2 3" xfId="4050" xr:uid="{00000000-0005-0000-0000-00002F0E0000}"/>
    <cellStyle name="Normal 4 2 5 2 3 3" xfId="4051" xr:uid="{00000000-0005-0000-0000-0000300E0000}"/>
    <cellStyle name="Normal 4 2 5 2 3 4" xfId="4052" xr:uid="{00000000-0005-0000-0000-0000310E0000}"/>
    <cellStyle name="Normal 4 2 5 2 3 5" xfId="4053" xr:uid="{00000000-0005-0000-0000-0000320E0000}"/>
    <cellStyle name="Normal 4 2 5 2 4" xfId="4054" xr:uid="{00000000-0005-0000-0000-0000330E0000}"/>
    <cellStyle name="Normal 4 2 5 2 4 2" xfId="4055" xr:uid="{00000000-0005-0000-0000-0000340E0000}"/>
    <cellStyle name="Normal 4 2 5 2 4 2 2" xfId="4056" xr:uid="{00000000-0005-0000-0000-0000350E0000}"/>
    <cellStyle name="Normal 4 2 5 2 4 2 3" xfId="4057" xr:uid="{00000000-0005-0000-0000-0000360E0000}"/>
    <cellStyle name="Normal 4 2 5 2 4 3" xfId="4058" xr:uid="{00000000-0005-0000-0000-0000370E0000}"/>
    <cellStyle name="Normal 4 2 5 2 4 4" xfId="4059" xr:uid="{00000000-0005-0000-0000-0000380E0000}"/>
    <cellStyle name="Normal 4 2 5 2 4 5" xfId="4060" xr:uid="{00000000-0005-0000-0000-0000390E0000}"/>
    <cellStyle name="Normal 4 2 5 2 5" xfId="4061" xr:uid="{00000000-0005-0000-0000-00003A0E0000}"/>
    <cellStyle name="Normal 4 2 5 2 5 2" xfId="4062" xr:uid="{00000000-0005-0000-0000-00003B0E0000}"/>
    <cellStyle name="Normal 4 2 5 2 5 3" xfId="4063" xr:uid="{00000000-0005-0000-0000-00003C0E0000}"/>
    <cellStyle name="Normal 4 2 5 2 6" xfId="4064" xr:uid="{00000000-0005-0000-0000-00003D0E0000}"/>
    <cellStyle name="Normal 4 2 5 2 7" xfId="4065" xr:uid="{00000000-0005-0000-0000-00003E0E0000}"/>
    <cellStyle name="Normal 4 2 5 2 8" xfId="4066" xr:uid="{00000000-0005-0000-0000-00003F0E0000}"/>
    <cellStyle name="Normal 4 2 5 3" xfId="4067" xr:uid="{00000000-0005-0000-0000-0000400E0000}"/>
    <cellStyle name="Normal 4 2 5 3 2" xfId="4068" xr:uid="{00000000-0005-0000-0000-0000410E0000}"/>
    <cellStyle name="Normal 4 2 5 3 2 2" xfId="4069" xr:uid="{00000000-0005-0000-0000-0000420E0000}"/>
    <cellStyle name="Normal 4 2 5 3 2 2 2" xfId="4070" xr:uid="{00000000-0005-0000-0000-0000430E0000}"/>
    <cellStyle name="Normal 4 2 5 3 2 2 3" xfId="4071" xr:uid="{00000000-0005-0000-0000-0000440E0000}"/>
    <cellStyle name="Normal 4 2 5 3 2 3" xfId="4072" xr:uid="{00000000-0005-0000-0000-0000450E0000}"/>
    <cellStyle name="Normal 4 2 5 3 2 4" xfId="4073" xr:uid="{00000000-0005-0000-0000-0000460E0000}"/>
    <cellStyle name="Normal 4 2 5 3 2 5" xfId="4074" xr:uid="{00000000-0005-0000-0000-0000470E0000}"/>
    <cellStyle name="Normal 4 2 5 3 3" xfId="4075" xr:uid="{00000000-0005-0000-0000-0000480E0000}"/>
    <cellStyle name="Normal 4 2 5 3 3 2" xfId="4076" xr:uid="{00000000-0005-0000-0000-0000490E0000}"/>
    <cellStyle name="Normal 4 2 5 3 3 2 2" xfId="4077" xr:uid="{00000000-0005-0000-0000-00004A0E0000}"/>
    <cellStyle name="Normal 4 2 5 3 3 2 3" xfId="4078" xr:uid="{00000000-0005-0000-0000-00004B0E0000}"/>
    <cellStyle name="Normal 4 2 5 3 3 3" xfId="4079" xr:uid="{00000000-0005-0000-0000-00004C0E0000}"/>
    <cellStyle name="Normal 4 2 5 3 3 4" xfId="4080" xr:uid="{00000000-0005-0000-0000-00004D0E0000}"/>
    <cellStyle name="Normal 4 2 5 3 3 5" xfId="4081" xr:uid="{00000000-0005-0000-0000-00004E0E0000}"/>
    <cellStyle name="Normal 4 2 5 3 4" xfId="4082" xr:uid="{00000000-0005-0000-0000-00004F0E0000}"/>
    <cellStyle name="Normal 4 2 5 3 4 2" xfId="4083" xr:uid="{00000000-0005-0000-0000-0000500E0000}"/>
    <cellStyle name="Normal 4 2 5 3 4 3" xfId="4084" xr:uid="{00000000-0005-0000-0000-0000510E0000}"/>
    <cellStyle name="Normal 4 2 5 3 5" xfId="4085" xr:uid="{00000000-0005-0000-0000-0000520E0000}"/>
    <cellStyle name="Normal 4 2 5 3 6" xfId="4086" xr:uid="{00000000-0005-0000-0000-0000530E0000}"/>
    <cellStyle name="Normal 4 2 5 3 7" xfId="4087" xr:uid="{00000000-0005-0000-0000-0000540E0000}"/>
    <cellStyle name="Normal 4 2 5 4" xfId="4088" xr:uid="{00000000-0005-0000-0000-0000550E0000}"/>
    <cellStyle name="Normal 4 2 5 4 2" xfId="4089" xr:uid="{00000000-0005-0000-0000-0000560E0000}"/>
    <cellStyle name="Normal 4 2 5 4 2 2" xfId="4090" xr:uid="{00000000-0005-0000-0000-0000570E0000}"/>
    <cellStyle name="Normal 4 2 5 4 2 3" xfId="4091" xr:uid="{00000000-0005-0000-0000-0000580E0000}"/>
    <cellStyle name="Normal 4 2 5 4 3" xfId="4092" xr:uid="{00000000-0005-0000-0000-0000590E0000}"/>
    <cellStyle name="Normal 4 2 5 4 4" xfId="4093" xr:uid="{00000000-0005-0000-0000-00005A0E0000}"/>
    <cellStyle name="Normal 4 2 5 4 5" xfId="4094" xr:uid="{00000000-0005-0000-0000-00005B0E0000}"/>
    <cellStyle name="Normal 4 2 5 5" xfId="4095" xr:uid="{00000000-0005-0000-0000-00005C0E0000}"/>
    <cellStyle name="Normal 4 2 5 5 2" xfId="4096" xr:uid="{00000000-0005-0000-0000-00005D0E0000}"/>
    <cellStyle name="Normal 4 2 5 5 2 2" xfId="4097" xr:uid="{00000000-0005-0000-0000-00005E0E0000}"/>
    <cellStyle name="Normal 4 2 5 5 2 3" xfId="4098" xr:uid="{00000000-0005-0000-0000-00005F0E0000}"/>
    <cellStyle name="Normal 4 2 5 5 3" xfId="4099" xr:uid="{00000000-0005-0000-0000-0000600E0000}"/>
    <cellStyle name="Normal 4 2 5 5 4" xfId="4100" xr:uid="{00000000-0005-0000-0000-0000610E0000}"/>
    <cellStyle name="Normal 4 2 5 5 5" xfId="4101" xr:uid="{00000000-0005-0000-0000-0000620E0000}"/>
    <cellStyle name="Normal 4 2 5 6" xfId="4102" xr:uid="{00000000-0005-0000-0000-0000630E0000}"/>
    <cellStyle name="Normal 4 2 5 6 2" xfId="4103" xr:uid="{00000000-0005-0000-0000-0000640E0000}"/>
    <cellStyle name="Normal 4 2 5 6 3" xfId="4104" xr:uid="{00000000-0005-0000-0000-0000650E0000}"/>
    <cellStyle name="Normal 4 2 5 7" xfId="4105" xr:uid="{00000000-0005-0000-0000-0000660E0000}"/>
    <cellStyle name="Normal 4 2 5 8" xfId="4106" xr:uid="{00000000-0005-0000-0000-0000670E0000}"/>
    <cellStyle name="Normal 4 2 5 9" xfId="4107" xr:uid="{00000000-0005-0000-0000-0000680E0000}"/>
    <cellStyle name="Normal 4 2 6" xfId="4108" xr:uid="{00000000-0005-0000-0000-0000690E0000}"/>
    <cellStyle name="Normal 4 2 6 2" xfId="4109" xr:uid="{00000000-0005-0000-0000-00006A0E0000}"/>
    <cellStyle name="Normal 4 2 6 2 2" xfId="4110" xr:uid="{00000000-0005-0000-0000-00006B0E0000}"/>
    <cellStyle name="Normal 4 2 6 2 2 2" xfId="4111" xr:uid="{00000000-0005-0000-0000-00006C0E0000}"/>
    <cellStyle name="Normal 4 2 6 2 2 2 2" xfId="4112" xr:uid="{00000000-0005-0000-0000-00006D0E0000}"/>
    <cellStyle name="Normal 4 2 6 2 2 2 2 2" xfId="4113" xr:uid="{00000000-0005-0000-0000-00006E0E0000}"/>
    <cellStyle name="Normal 4 2 6 2 2 2 2 3" xfId="4114" xr:uid="{00000000-0005-0000-0000-00006F0E0000}"/>
    <cellStyle name="Normal 4 2 6 2 2 2 3" xfId="4115" xr:uid="{00000000-0005-0000-0000-0000700E0000}"/>
    <cellStyle name="Normal 4 2 6 2 2 2 4" xfId="4116" xr:uid="{00000000-0005-0000-0000-0000710E0000}"/>
    <cellStyle name="Normal 4 2 6 2 2 2 5" xfId="4117" xr:uid="{00000000-0005-0000-0000-0000720E0000}"/>
    <cellStyle name="Normal 4 2 6 2 2 3" xfId="4118" xr:uid="{00000000-0005-0000-0000-0000730E0000}"/>
    <cellStyle name="Normal 4 2 6 2 2 3 2" xfId="4119" xr:uid="{00000000-0005-0000-0000-0000740E0000}"/>
    <cellStyle name="Normal 4 2 6 2 2 3 2 2" xfId="4120" xr:uid="{00000000-0005-0000-0000-0000750E0000}"/>
    <cellStyle name="Normal 4 2 6 2 2 3 2 3" xfId="4121" xr:uid="{00000000-0005-0000-0000-0000760E0000}"/>
    <cellStyle name="Normal 4 2 6 2 2 3 3" xfId="4122" xr:uid="{00000000-0005-0000-0000-0000770E0000}"/>
    <cellStyle name="Normal 4 2 6 2 2 3 4" xfId="4123" xr:uid="{00000000-0005-0000-0000-0000780E0000}"/>
    <cellStyle name="Normal 4 2 6 2 2 3 5" xfId="4124" xr:uid="{00000000-0005-0000-0000-0000790E0000}"/>
    <cellStyle name="Normal 4 2 6 2 2 4" xfId="4125" xr:uid="{00000000-0005-0000-0000-00007A0E0000}"/>
    <cellStyle name="Normal 4 2 6 2 2 4 2" xfId="4126" xr:uid="{00000000-0005-0000-0000-00007B0E0000}"/>
    <cellStyle name="Normal 4 2 6 2 2 4 3" xfId="4127" xr:uid="{00000000-0005-0000-0000-00007C0E0000}"/>
    <cellStyle name="Normal 4 2 6 2 2 5" xfId="4128" xr:uid="{00000000-0005-0000-0000-00007D0E0000}"/>
    <cellStyle name="Normal 4 2 6 2 2 6" xfId="4129" xr:uid="{00000000-0005-0000-0000-00007E0E0000}"/>
    <cellStyle name="Normal 4 2 6 2 2 7" xfId="4130" xr:uid="{00000000-0005-0000-0000-00007F0E0000}"/>
    <cellStyle name="Normal 4 2 6 2 3" xfId="4131" xr:uid="{00000000-0005-0000-0000-0000800E0000}"/>
    <cellStyle name="Normal 4 2 6 2 3 2" xfId="4132" xr:uid="{00000000-0005-0000-0000-0000810E0000}"/>
    <cellStyle name="Normal 4 2 6 2 3 2 2" xfId="4133" xr:uid="{00000000-0005-0000-0000-0000820E0000}"/>
    <cellStyle name="Normal 4 2 6 2 3 2 3" xfId="4134" xr:uid="{00000000-0005-0000-0000-0000830E0000}"/>
    <cellStyle name="Normal 4 2 6 2 3 3" xfId="4135" xr:uid="{00000000-0005-0000-0000-0000840E0000}"/>
    <cellStyle name="Normal 4 2 6 2 3 4" xfId="4136" xr:uid="{00000000-0005-0000-0000-0000850E0000}"/>
    <cellStyle name="Normal 4 2 6 2 3 5" xfId="4137" xr:uid="{00000000-0005-0000-0000-0000860E0000}"/>
    <cellStyle name="Normal 4 2 6 2 4" xfId="4138" xr:uid="{00000000-0005-0000-0000-0000870E0000}"/>
    <cellStyle name="Normal 4 2 6 2 4 2" xfId="4139" xr:uid="{00000000-0005-0000-0000-0000880E0000}"/>
    <cellStyle name="Normal 4 2 6 2 4 2 2" xfId="4140" xr:uid="{00000000-0005-0000-0000-0000890E0000}"/>
    <cellStyle name="Normal 4 2 6 2 4 2 3" xfId="4141" xr:uid="{00000000-0005-0000-0000-00008A0E0000}"/>
    <cellStyle name="Normal 4 2 6 2 4 3" xfId="4142" xr:uid="{00000000-0005-0000-0000-00008B0E0000}"/>
    <cellStyle name="Normal 4 2 6 2 4 4" xfId="4143" xr:uid="{00000000-0005-0000-0000-00008C0E0000}"/>
    <cellStyle name="Normal 4 2 6 2 4 5" xfId="4144" xr:uid="{00000000-0005-0000-0000-00008D0E0000}"/>
    <cellStyle name="Normal 4 2 6 2 5" xfId="4145" xr:uid="{00000000-0005-0000-0000-00008E0E0000}"/>
    <cellStyle name="Normal 4 2 6 2 5 2" xfId="4146" xr:uid="{00000000-0005-0000-0000-00008F0E0000}"/>
    <cellStyle name="Normal 4 2 6 2 5 3" xfId="4147" xr:uid="{00000000-0005-0000-0000-0000900E0000}"/>
    <cellStyle name="Normal 4 2 6 2 6" xfId="4148" xr:uid="{00000000-0005-0000-0000-0000910E0000}"/>
    <cellStyle name="Normal 4 2 6 2 7" xfId="4149" xr:uid="{00000000-0005-0000-0000-0000920E0000}"/>
    <cellStyle name="Normal 4 2 6 2 8" xfId="4150" xr:uid="{00000000-0005-0000-0000-0000930E0000}"/>
    <cellStyle name="Normal 4 2 6 3" xfId="4151" xr:uid="{00000000-0005-0000-0000-0000940E0000}"/>
    <cellStyle name="Normal 4 2 6 3 2" xfId="4152" xr:uid="{00000000-0005-0000-0000-0000950E0000}"/>
    <cellStyle name="Normal 4 2 6 3 2 2" xfId="4153" xr:uid="{00000000-0005-0000-0000-0000960E0000}"/>
    <cellStyle name="Normal 4 2 6 3 2 2 2" xfId="4154" xr:uid="{00000000-0005-0000-0000-0000970E0000}"/>
    <cellStyle name="Normal 4 2 6 3 2 2 3" xfId="4155" xr:uid="{00000000-0005-0000-0000-0000980E0000}"/>
    <cellStyle name="Normal 4 2 6 3 2 3" xfId="4156" xr:uid="{00000000-0005-0000-0000-0000990E0000}"/>
    <cellStyle name="Normal 4 2 6 3 2 4" xfId="4157" xr:uid="{00000000-0005-0000-0000-00009A0E0000}"/>
    <cellStyle name="Normal 4 2 6 3 2 5" xfId="4158" xr:uid="{00000000-0005-0000-0000-00009B0E0000}"/>
    <cellStyle name="Normal 4 2 6 3 3" xfId="4159" xr:uid="{00000000-0005-0000-0000-00009C0E0000}"/>
    <cellStyle name="Normal 4 2 6 3 3 2" xfId="4160" xr:uid="{00000000-0005-0000-0000-00009D0E0000}"/>
    <cellStyle name="Normal 4 2 6 3 3 2 2" xfId="4161" xr:uid="{00000000-0005-0000-0000-00009E0E0000}"/>
    <cellStyle name="Normal 4 2 6 3 3 2 3" xfId="4162" xr:uid="{00000000-0005-0000-0000-00009F0E0000}"/>
    <cellStyle name="Normal 4 2 6 3 3 3" xfId="4163" xr:uid="{00000000-0005-0000-0000-0000A00E0000}"/>
    <cellStyle name="Normal 4 2 6 3 3 4" xfId="4164" xr:uid="{00000000-0005-0000-0000-0000A10E0000}"/>
    <cellStyle name="Normal 4 2 6 3 3 5" xfId="4165" xr:uid="{00000000-0005-0000-0000-0000A20E0000}"/>
    <cellStyle name="Normal 4 2 6 3 4" xfId="4166" xr:uid="{00000000-0005-0000-0000-0000A30E0000}"/>
    <cellStyle name="Normal 4 2 6 3 4 2" xfId="4167" xr:uid="{00000000-0005-0000-0000-0000A40E0000}"/>
    <cellStyle name="Normal 4 2 6 3 4 3" xfId="4168" xr:uid="{00000000-0005-0000-0000-0000A50E0000}"/>
    <cellStyle name="Normal 4 2 6 3 5" xfId="4169" xr:uid="{00000000-0005-0000-0000-0000A60E0000}"/>
    <cellStyle name="Normal 4 2 6 3 6" xfId="4170" xr:uid="{00000000-0005-0000-0000-0000A70E0000}"/>
    <cellStyle name="Normal 4 2 6 3 7" xfId="4171" xr:uid="{00000000-0005-0000-0000-0000A80E0000}"/>
    <cellStyle name="Normal 4 2 6 4" xfId="4172" xr:uid="{00000000-0005-0000-0000-0000A90E0000}"/>
    <cellStyle name="Normal 4 2 6 4 2" xfId="4173" xr:uid="{00000000-0005-0000-0000-0000AA0E0000}"/>
    <cellStyle name="Normal 4 2 6 4 2 2" xfId="4174" xr:uid="{00000000-0005-0000-0000-0000AB0E0000}"/>
    <cellStyle name="Normal 4 2 6 4 2 3" xfId="4175" xr:uid="{00000000-0005-0000-0000-0000AC0E0000}"/>
    <cellStyle name="Normal 4 2 6 4 3" xfId="4176" xr:uid="{00000000-0005-0000-0000-0000AD0E0000}"/>
    <cellStyle name="Normal 4 2 6 4 4" xfId="4177" xr:uid="{00000000-0005-0000-0000-0000AE0E0000}"/>
    <cellStyle name="Normal 4 2 6 4 5" xfId="4178" xr:uid="{00000000-0005-0000-0000-0000AF0E0000}"/>
    <cellStyle name="Normal 4 2 6 5" xfId="4179" xr:uid="{00000000-0005-0000-0000-0000B00E0000}"/>
    <cellStyle name="Normal 4 2 6 5 2" xfId="4180" xr:uid="{00000000-0005-0000-0000-0000B10E0000}"/>
    <cellStyle name="Normal 4 2 6 5 2 2" xfId="4181" xr:uid="{00000000-0005-0000-0000-0000B20E0000}"/>
    <cellStyle name="Normal 4 2 6 5 2 3" xfId="4182" xr:uid="{00000000-0005-0000-0000-0000B30E0000}"/>
    <cellStyle name="Normal 4 2 6 5 3" xfId="4183" xr:uid="{00000000-0005-0000-0000-0000B40E0000}"/>
    <cellStyle name="Normal 4 2 6 5 4" xfId="4184" xr:uid="{00000000-0005-0000-0000-0000B50E0000}"/>
    <cellStyle name="Normal 4 2 6 5 5" xfId="4185" xr:uid="{00000000-0005-0000-0000-0000B60E0000}"/>
    <cellStyle name="Normal 4 2 6 6" xfId="4186" xr:uid="{00000000-0005-0000-0000-0000B70E0000}"/>
    <cellStyle name="Normal 4 2 6 6 2" xfId="4187" xr:uid="{00000000-0005-0000-0000-0000B80E0000}"/>
    <cellStyle name="Normal 4 2 6 6 3" xfId="4188" xr:uid="{00000000-0005-0000-0000-0000B90E0000}"/>
    <cellStyle name="Normal 4 2 6 7" xfId="4189" xr:uid="{00000000-0005-0000-0000-0000BA0E0000}"/>
    <cellStyle name="Normal 4 2 6 8" xfId="4190" xr:uid="{00000000-0005-0000-0000-0000BB0E0000}"/>
    <cellStyle name="Normal 4 2 6 9" xfId="4191" xr:uid="{00000000-0005-0000-0000-0000BC0E0000}"/>
    <cellStyle name="Normal 4 2 7" xfId="4192" xr:uid="{00000000-0005-0000-0000-0000BD0E0000}"/>
    <cellStyle name="Normal 4 2 7 2" xfId="4193" xr:uid="{00000000-0005-0000-0000-0000BE0E0000}"/>
    <cellStyle name="Normal 4 2 7 2 2" xfId="4194" xr:uid="{00000000-0005-0000-0000-0000BF0E0000}"/>
    <cellStyle name="Normal 4 2 7 2 2 2" xfId="4195" xr:uid="{00000000-0005-0000-0000-0000C00E0000}"/>
    <cellStyle name="Normal 4 2 7 2 2 2 2" xfId="4196" xr:uid="{00000000-0005-0000-0000-0000C10E0000}"/>
    <cellStyle name="Normal 4 2 7 2 2 2 2 2" xfId="4197" xr:uid="{00000000-0005-0000-0000-0000C20E0000}"/>
    <cellStyle name="Normal 4 2 7 2 2 2 2 3" xfId="4198" xr:uid="{00000000-0005-0000-0000-0000C30E0000}"/>
    <cellStyle name="Normal 4 2 7 2 2 2 3" xfId="4199" xr:uid="{00000000-0005-0000-0000-0000C40E0000}"/>
    <cellStyle name="Normal 4 2 7 2 2 2 4" xfId="4200" xr:uid="{00000000-0005-0000-0000-0000C50E0000}"/>
    <cellStyle name="Normal 4 2 7 2 2 2 5" xfId="4201" xr:uid="{00000000-0005-0000-0000-0000C60E0000}"/>
    <cellStyle name="Normal 4 2 7 2 2 3" xfId="4202" xr:uid="{00000000-0005-0000-0000-0000C70E0000}"/>
    <cellStyle name="Normal 4 2 7 2 2 3 2" xfId="4203" xr:uid="{00000000-0005-0000-0000-0000C80E0000}"/>
    <cellStyle name="Normal 4 2 7 2 2 3 2 2" xfId="4204" xr:uid="{00000000-0005-0000-0000-0000C90E0000}"/>
    <cellStyle name="Normal 4 2 7 2 2 3 2 3" xfId="4205" xr:uid="{00000000-0005-0000-0000-0000CA0E0000}"/>
    <cellStyle name="Normal 4 2 7 2 2 3 3" xfId="4206" xr:uid="{00000000-0005-0000-0000-0000CB0E0000}"/>
    <cellStyle name="Normal 4 2 7 2 2 3 4" xfId="4207" xr:uid="{00000000-0005-0000-0000-0000CC0E0000}"/>
    <cellStyle name="Normal 4 2 7 2 2 3 5" xfId="4208" xr:uid="{00000000-0005-0000-0000-0000CD0E0000}"/>
    <cellStyle name="Normal 4 2 7 2 2 4" xfId="4209" xr:uid="{00000000-0005-0000-0000-0000CE0E0000}"/>
    <cellStyle name="Normal 4 2 7 2 2 4 2" xfId="4210" xr:uid="{00000000-0005-0000-0000-0000CF0E0000}"/>
    <cellStyle name="Normal 4 2 7 2 2 4 3" xfId="4211" xr:uid="{00000000-0005-0000-0000-0000D00E0000}"/>
    <cellStyle name="Normal 4 2 7 2 2 5" xfId="4212" xr:uid="{00000000-0005-0000-0000-0000D10E0000}"/>
    <cellStyle name="Normal 4 2 7 2 2 6" xfId="4213" xr:uid="{00000000-0005-0000-0000-0000D20E0000}"/>
    <cellStyle name="Normal 4 2 7 2 2 7" xfId="4214" xr:uid="{00000000-0005-0000-0000-0000D30E0000}"/>
    <cellStyle name="Normal 4 2 7 2 3" xfId="4215" xr:uid="{00000000-0005-0000-0000-0000D40E0000}"/>
    <cellStyle name="Normal 4 2 7 2 3 2" xfId="4216" xr:uid="{00000000-0005-0000-0000-0000D50E0000}"/>
    <cellStyle name="Normal 4 2 7 2 3 2 2" xfId="4217" xr:uid="{00000000-0005-0000-0000-0000D60E0000}"/>
    <cellStyle name="Normal 4 2 7 2 3 2 3" xfId="4218" xr:uid="{00000000-0005-0000-0000-0000D70E0000}"/>
    <cellStyle name="Normal 4 2 7 2 3 3" xfId="4219" xr:uid="{00000000-0005-0000-0000-0000D80E0000}"/>
    <cellStyle name="Normal 4 2 7 2 3 4" xfId="4220" xr:uid="{00000000-0005-0000-0000-0000D90E0000}"/>
    <cellStyle name="Normal 4 2 7 2 3 5" xfId="4221" xr:uid="{00000000-0005-0000-0000-0000DA0E0000}"/>
    <cellStyle name="Normal 4 2 7 2 4" xfId="4222" xr:uid="{00000000-0005-0000-0000-0000DB0E0000}"/>
    <cellStyle name="Normal 4 2 7 2 4 2" xfId="4223" xr:uid="{00000000-0005-0000-0000-0000DC0E0000}"/>
    <cellStyle name="Normal 4 2 7 2 4 2 2" xfId="4224" xr:uid="{00000000-0005-0000-0000-0000DD0E0000}"/>
    <cellStyle name="Normal 4 2 7 2 4 2 3" xfId="4225" xr:uid="{00000000-0005-0000-0000-0000DE0E0000}"/>
    <cellStyle name="Normal 4 2 7 2 4 3" xfId="4226" xr:uid="{00000000-0005-0000-0000-0000DF0E0000}"/>
    <cellStyle name="Normal 4 2 7 2 4 4" xfId="4227" xr:uid="{00000000-0005-0000-0000-0000E00E0000}"/>
    <cellStyle name="Normal 4 2 7 2 4 5" xfId="4228" xr:uid="{00000000-0005-0000-0000-0000E10E0000}"/>
    <cellStyle name="Normal 4 2 7 2 5" xfId="4229" xr:uid="{00000000-0005-0000-0000-0000E20E0000}"/>
    <cellStyle name="Normal 4 2 7 2 5 2" xfId="4230" xr:uid="{00000000-0005-0000-0000-0000E30E0000}"/>
    <cellStyle name="Normal 4 2 7 2 5 3" xfId="4231" xr:uid="{00000000-0005-0000-0000-0000E40E0000}"/>
    <cellStyle name="Normal 4 2 7 2 6" xfId="4232" xr:uid="{00000000-0005-0000-0000-0000E50E0000}"/>
    <cellStyle name="Normal 4 2 7 2 7" xfId="4233" xr:uid="{00000000-0005-0000-0000-0000E60E0000}"/>
    <cellStyle name="Normal 4 2 7 2 8" xfId="4234" xr:uid="{00000000-0005-0000-0000-0000E70E0000}"/>
    <cellStyle name="Normal 4 2 7 3" xfId="4235" xr:uid="{00000000-0005-0000-0000-0000E80E0000}"/>
    <cellStyle name="Normal 4 2 7 3 2" xfId="4236" xr:uid="{00000000-0005-0000-0000-0000E90E0000}"/>
    <cellStyle name="Normal 4 2 7 3 2 2" xfId="4237" xr:uid="{00000000-0005-0000-0000-0000EA0E0000}"/>
    <cellStyle name="Normal 4 2 7 3 2 2 2" xfId="4238" xr:uid="{00000000-0005-0000-0000-0000EB0E0000}"/>
    <cellStyle name="Normal 4 2 7 3 2 2 3" xfId="4239" xr:uid="{00000000-0005-0000-0000-0000EC0E0000}"/>
    <cellStyle name="Normal 4 2 7 3 2 3" xfId="4240" xr:uid="{00000000-0005-0000-0000-0000ED0E0000}"/>
    <cellStyle name="Normal 4 2 7 3 2 4" xfId="4241" xr:uid="{00000000-0005-0000-0000-0000EE0E0000}"/>
    <cellStyle name="Normal 4 2 7 3 2 5" xfId="4242" xr:uid="{00000000-0005-0000-0000-0000EF0E0000}"/>
    <cellStyle name="Normal 4 2 7 3 3" xfId="4243" xr:uid="{00000000-0005-0000-0000-0000F00E0000}"/>
    <cellStyle name="Normal 4 2 7 3 3 2" xfId="4244" xr:uid="{00000000-0005-0000-0000-0000F10E0000}"/>
    <cellStyle name="Normal 4 2 7 3 3 2 2" xfId="4245" xr:uid="{00000000-0005-0000-0000-0000F20E0000}"/>
    <cellStyle name="Normal 4 2 7 3 3 2 3" xfId="4246" xr:uid="{00000000-0005-0000-0000-0000F30E0000}"/>
    <cellStyle name="Normal 4 2 7 3 3 3" xfId="4247" xr:uid="{00000000-0005-0000-0000-0000F40E0000}"/>
    <cellStyle name="Normal 4 2 7 3 3 4" xfId="4248" xr:uid="{00000000-0005-0000-0000-0000F50E0000}"/>
    <cellStyle name="Normal 4 2 7 3 3 5" xfId="4249" xr:uid="{00000000-0005-0000-0000-0000F60E0000}"/>
    <cellStyle name="Normal 4 2 7 3 4" xfId="4250" xr:uid="{00000000-0005-0000-0000-0000F70E0000}"/>
    <cellStyle name="Normal 4 2 7 3 4 2" xfId="4251" xr:uid="{00000000-0005-0000-0000-0000F80E0000}"/>
    <cellStyle name="Normal 4 2 7 3 4 3" xfId="4252" xr:uid="{00000000-0005-0000-0000-0000F90E0000}"/>
    <cellStyle name="Normal 4 2 7 3 5" xfId="4253" xr:uid="{00000000-0005-0000-0000-0000FA0E0000}"/>
    <cellStyle name="Normal 4 2 7 3 6" xfId="4254" xr:uid="{00000000-0005-0000-0000-0000FB0E0000}"/>
    <cellStyle name="Normal 4 2 7 3 7" xfId="4255" xr:uid="{00000000-0005-0000-0000-0000FC0E0000}"/>
    <cellStyle name="Normal 4 2 7 4" xfId="4256" xr:uid="{00000000-0005-0000-0000-0000FD0E0000}"/>
    <cellStyle name="Normal 4 2 7 4 2" xfId="4257" xr:uid="{00000000-0005-0000-0000-0000FE0E0000}"/>
    <cellStyle name="Normal 4 2 7 4 2 2" xfId="4258" xr:uid="{00000000-0005-0000-0000-0000FF0E0000}"/>
    <cellStyle name="Normal 4 2 7 4 2 3" xfId="4259" xr:uid="{00000000-0005-0000-0000-0000000F0000}"/>
    <cellStyle name="Normal 4 2 7 4 3" xfId="4260" xr:uid="{00000000-0005-0000-0000-0000010F0000}"/>
    <cellStyle name="Normal 4 2 7 4 4" xfId="4261" xr:uid="{00000000-0005-0000-0000-0000020F0000}"/>
    <cellStyle name="Normal 4 2 7 4 5" xfId="4262" xr:uid="{00000000-0005-0000-0000-0000030F0000}"/>
    <cellStyle name="Normal 4 2 7 5" xfId="4263" xr:uid="{00000000-0005-0000-0000-0000040F0000}"/>
    <cellStyle name="Normal 4 2 7 5 2" xfId="4264" xr:uid="{00000000-0005-0000-0000-0000050F0000}"/>
    <cellStyle name="Normal 4 2 7 5 2 2" xfId="4265" xr:uid="{00000000-0005-0000-0000-0000060F0000}"/>
    <cellStyle name="Normal 4 2 7 5 2 3" xfId="4266" xr:uid="{00000000-0005-0000-0000-0000070F0000}"/>
    <cellStyle name="Normal 4 2 7 5 3" xfId="4267" xr:uid="{00000000-0005-0000-0000-0000080F0000}"/>
    <cellStyle name="Normal 4 2 7 5 4" xfId="4268" xr:uid="{00000000-0005-0000-0000-0000090F0000}"/>
    <cellStyle name="Normal 4 2 7 5 5" xfId="4269" xr:uid="{00000000-0005-0000-0000-00000A0F0000}"/>
    <cellStyle name="Normal 4 2 7 6" xfId="4270" xr:uid="{00000000-0005-0000-0000-00000B0F0000}"/>
    <cellStyle name="Normal 4 2 7 6 2" xfId="4271" xr:uid="{00000000-0005-0000-0000-00000C0F0000}"/>
    <cellStyle name="Normal 4 2 7 6 3" xfId="4272" xr:uid="{00000000-0005-0000-0000-00000D0F0000}"/>
    <cellStyle name="Normal 4 2 7 7" xfId="4273" xr:uid="{00000000-0005-0000-0000-00000E0F0000}"/>
    <cellStyle name="Normal 4 2 7 8" xfId="4274" xr:uid="{00000000-0005-0000-0000-00000F0F0000}"/>
    <cellStyle name="Normal 4 2 7 9" xfId="4275" xr:uid="{00000000-0005-0000-0000-0000100F0000}"/>
    <cellStyle name="Normal 4 2 8" xfId="4276" xr:uid="{00000000-0005-0000-0000-0000110F0000}"/>
    <cellStyle name="Normal 4 2 8 2" xfId="4277" xr:uid="{00000000-0005-0000-0000-0000120F0000}"/>
    <cellStyle name="Normal 4 2 8 2 2" xfId="4278" xr:uid="{00000000-0005-0000-0000-0000130F0000}"/>
    <cellStyle name="Normal 4 2 8 2 2 2" xfId="4279" xr:uid="{00000000-0005-0000-0000-0000140F0000}"/>
    <cellStyle name="Normal 4 2 8 2 2 2 2" xfId="4280" xr:uid="{00000000-0005-0000-0000-0000150F0000}"/>
    <cellStyle name="Normal 4 2 8 2 2 2 3" xfId="4281" xr:uid="{00000000-0005-0000-0000-0000160F0000}"/>
    <cellStyle name="Normal 4 2 8 2 2 3" xfId="4282" xr:uid="{00000000-0005-0000-0000-0000170F0000}"/>
    <cellStyle name="Normal 4 2 8 2 2 4" xfId="4283" xr:uid="{00000000-0005-0000-0000-0000180F0000}"/>
    <cellStyle name="Normal 4 2 8 2 2 5" xfId="4284" xr:uid="{00000000-0005-0000-0000-0000190F0000}"/>
    <cellStyle name="Normal 4 2 8 2 3" xfId="4285" xr:uid="{00000000-0005-0000-0000-00001A0F0000}"/>
    <cellStyle name="Normal 4 2 8 2 3 2" xfId="4286" xr:uid="{00000000-0005-0000-0000-00001B0F0000}"/>
    <cellStyle name="Normal 4 2 8 2 3 2 2" xfId="4287" xr:uid="{00000000-0005-0000-0000-00001C0F0000}"/>
    <cellStyle name="Normal 4 2 8 2 3 2 3" xfId="4288" xr:uid="{00000000-0005-0000-0000-00001D0F0000}"/>
    <cellStyle name="Normal 4 2 8 2 3 3" xfId="4289" xr:uid="{00000000-0005-0000-0000-00001E0F0000}"/>
    <cellStyle name="Normal 4 2 8 2 3 4" xfId="4290" xr:uid="{00000000-0005-0000-0000-00001F0F0000}"/>
    <cellStyle name="Normal 4 2 8 2 3 5" xfId="4291" xr:uid="{00000000-0005-0000-0000-0000200F0000}"/>
    <cellStyle name="Normal 4 2 8 2 4" xfId="4292" xr:uid="{00000000-0005-0000-0000-0000210F0000}"/>
    <cellStyle name="Normal 4 2 8 2 4 2" xfId="4293" xr:uid="{00000000-0005-0000-0000-0000220F0000}"/>
    <cellStyle name="Normal 4 2 8 2 4 3" xfId="4294" xr:uid="{00000000-0005-0000-0000-0000230F0000}"/>
    <cellStyle name="Normal 4 2 8 2 5" xfId="4295" xr:uid="{00000000-0005-0000-0000-0000240F0000}"/>
    <cellStyle name="Normal 4 2 8 2 6" xfId="4296" xr:uid="{00000000-0005-0000-0000-0000250F0000}"/>
    <cellStyle name="Normal 4 2 8 2 7" xfId="4297" xr:uid="{00000000-0005-0000-0000-0000260F0000}"/>
    <cellStyle name="Normal 4 2 8 3" xfId="4298" xr:uid="{00000000-0005-0000-0000-0000270F0000}"/>
    <cellStyle name="Normal 4 2 8 3 2" xfId="4299" xr:uid="{00000000-0005-0000-0000-0000280F0000}"/>
    <cellStyle name="Normal 4 2 8 3 2 2" xfId="4300" xr:uid="{00000000-0005-0000-0000-0000290F0000}"/>
    <cellStyle name="Normal 4 2 8 3 2 3" xfId="4301" xr:uid="{00000000-0005-0000-0000-00002A0F0000}"/>
    <cellStyle name="Normal 4 2 8 3 3" xfId="4302" xr:uid="{00000000-0005-0000-0000-00002B0F0000}"/>
    <cellStyle name="Normal 4 2 8 3 4" xfId="4303" xr:uid="{00000000-0005-0000-0000-00002C0F0000}"/>
    <cellStyle name="Normal 4 2 8 3 5" xfId="4304" xr:uid="{00000000-0005-0000-0000-00002D0F0000}"/>
    <cellStyle name="Normal 4 2 8 4" xfId="4305" xr:uid="{00000000-0005-0000-0000-00002E0F0000}"/>
    <cellStyle name="Normal 4 2 8 4 2" xfId="4306" xr:uid="{00000000-0005-0000-0000-00002F0F0000}"/>
    <cellStyle name="Normal 4 2 8 4 2 2" xfId="4307" xr:uid="{00000000-0005-0000-0000-0000300F0000}"/>
    <cellStyle name="Normal 4 2 8 4 2 3" xfId="4308" xr:uid="{00000000-0005-0000-0000-0000310F0000}"/>
    <cellStyle name="Normal 4 2 8 4 3" xfId="4309" xr:uid="{00000000-0005-0000-0000-0000320F0000}"/>
    <cellStyle name="Normal 4 2 8 4 4" xfId="4310" xr:uid="{00000000-0005-0000-0000-0000330F0000}"/>
    <cellStyle name="Normal 4 2 8 4 5" xfId="4311" xr:uid="{00000000-0005-0000-0000-0000340F0000}"/>
    <cellStyle name="Normal 4 2 8 5" xfId="4312" xr:uid="{00000000-0005-0000-0000-0000350F0000}"/>
    <cellStyle name="Normal 4 2 8 5 2" xfId="4313" xr:uid="{00000000-0005-0000-0000-0000360F0000}"/>
    <cellStyle name="Normal 4 2 8 5 3" xfId="4314" xr:uid="{00000000-0005-0000-0000-0000370F0000}"/>
    <cellStyle name="Normal 4 2 8 6" xfId="4315" xr:uid="{00000000-0005-0000-0000-0000380F0000}"/>
    <cellStyle name="Normal 4 2 8 7" xfId="4316" xr:uid="{00000000-0005-0000-0000-0000390F0000}"/>
    <cellStyle name="Normal 4 2 8 8" xfId="4317" xr:uid="{00000000-0005-0000-0000-00003A0F0000}"/>
    <cellStyle name="Normal 4 2 9" xfId="4318" xr:uid="{00000000-0005-0000-0000-00003B0F0000}"/>
    <cellStyle name="Normal 4 2 9 2" xfId="4319" xr:uid="{00000000-0005-0000-0000-00003C0F0000}"/>
    <cellStyle name="Normal 4 2 9 2 2" xfId="4320" xr:uid="{00000000-0005-0000-0000-00003D0F0000}"/>
    <cellStyle name="Normal 4 2 9 2 2 2" xfId="4321" xr:uid="{00000000-0005-0000-0000-00003E0F0000}"/>
    <cellStyle name="Normal 4 2 9 2 2 3" xfId="4322" xr:uid="{00000000-0005-0000-0000-00003F0F0000}"/>
    <cellStyle name="Normal 4 2 9 2 3" xfId="4323" xr:uid="{00000000-0005-0000-0000-0000400F0000}"/>
    <cellStyle name="Normal 4 2 9 2 4" xfId="4324" xr:uid="{00000000-0005-0000-0000-0000410F0000}"/>
    <cellStyle name="Normal 4 2 9 2 5" xfId="4325" xr:uid="{00000000-0005-0000-0000-0000420F0000}"/>
    <cellStyle name="Normal 4 2 9 3" xfId="4326" xr:uid="{00000000-0005-0000-0000-0000430F0000}"/>
    <cellStyle name="Normal 4 2 9 3 2" xfId="4327" xr:uid="{00000000-0005-0000-0000-0000440F0000}"/>
    <cellStyle name="Normal 4 2 9 3 2 2" xfId="4328" xr:uid="{00000000-0005-0000-0000-0000450F0000}"/>
    <cellStyle name="Normal 4 2 9 3 2 3" xfId="4329" xr:uid="{00000000-0005-0000-0000-0000460F0000}"/>
    <cellStyle name="Normal 4 2 9 3 3" xfId="4330" xr:uid="{00000000-0005-0000-0000-0000470F0000}"/>
    <cellStyle name="Normal 4 2 9 3 4" xfId="4331" xr:uid="{00000000-0005-0000-0000-0000480F0000}"/>
    <cellStyle name="Normal 4 2 9 3 5" xfId="4332" xr:uid="{00000000-0005-0000-0000-0000490F0000}"/>
    <cellStyle name="Normal 4 2 9 4" xfId="4333" xr:uid="{00000000-0005-0000-0000-00004A0F0000}"/>
    <cellStyle name="Normal 4 2 9 4 2" xfId="4334" xr:uid="{00000000-0005-0000-0000-00004B0F0000}"/>
    <cellStyle name="Normal 4 2 9 4 3" xfId="4335" xr:uid="{00000000-0005-0000-0000-00004C0F0000}"/>
    <cellStyle name="Normal 4 2 9 5" xfId="4336" xr:uid="{00000000-0005-0000-0000-00004D0F0000}"/>
    <cellStyle name="Normal 4 2 9 6" xfId="4337" xr:uid="{00000000-0005-0000-0000-00004E0F0000}"/>
    <cellStyle name="Normal 4 2 9 7" xfId="4338" xr:uid="{00000000-0005-0000-0000-00004F0F0000}"/>
    <cellStyle name="Normal 4 3" xfId="621" xr:uid="{00000000-0005-0000-0000-0000500F0000}"/>
    <cellStyle name="Normal 4 3 10" xfId="4339" xr:uid="{00000000-0005-0000-0000-0000510F0000}"/>
    <cellStyle name="Normal 4 3 10 2" xfId="4340" xr:uid="{00000000-0005-0000-0000-0000520F0000}"/>
    <cellStyle name="Normal 4 3 10 2 2" xfId="4341" xr:uid="{00000000-0005-0000-0000-0000530F0000}"/>
    <cellStyle name="Normal 4 3 10 2 2 2" xfId="4342" xr:uid="{00000000-0005-0000-0000-0000540F0000}"/>
    <cellStyle name="Normal 4 3 10 2 2 3" xfId="4343" xr:uid="{00000000-0005-0000-0000-0000550F0000}"/>
    <cellStyle name="Normal 4 3 10 2 3" xfId="4344" xr:uid="{00000000-0005-0000-0000-0000560F0000}"/>
    <cellStyle name="Normal 4 3 10 2 4" xfId="4345" xr:uid="{00000000-0005-0000-0000-0000570F0000}"/>
    <cellStyle name="Normal 4 3 10 2 5" xfId="4346" xr:uid="{00000000-0005-0000-0000-0000580F0000}"/>
    <cellStyle name="Normal 4 3 10 3" xfId="4347" xr:uid="{00000000-0005-0000-0000-0000590F0000}"/>
    <cellStyle name="Normal 4 3 10 3 2" xfId="4348" xr:uid="{00000000-0005-0000-0000-00005A0F0000}"/>
    <cellStyle name="Normal 4 3 10 3 2 2" xfId="4349" xr:uid="{00000000-0005-0000-0000-00005B0F0000}"/>
    <cellStyle name="Normal 4 3 10 3 2 3" xfId="4350" xr:uid="{00000000-0005-0000-0000-00005C0F0000}"/>
    <cellStyle name="Normal 4 3 10 3 3" xfId="4351" xr:uid="{00000000-0005-0000-0000-00005D0F0000}"/>
    <cellStyle name="Normal 4 3 10 3 4" xfId="4352" xr:uid="{00000000-0005-0000-0000-00005E0F0000}"/>
    <cellStyle name="Normal 4 3 10 3 5" xfId="4353" xr:uid="{00000000-0005-0000-0000-00005F0F0000}"/>
    <cellStyle name="Normal 4 3 10 4" xfId="4354" xr:uid="{00000000-0005-0000-0000-0000600F0000}"/>
    <cellStyle name="Normal 4 3 10 4 2" xfId="4355" xr:uid="{00000000-0005-0000-0000-0000610F0000}"/>
    <cellStyle name="Normal 4 3 10 4 3" xfId="4356" xr:uid="{00000000-0005-0000-0000-0000620F0000}"/>
    <cellStyle name="Normal 4 3 10 5" xfId="4357" xr:uid="{00000000-0005-0000-0000-0000630F0000}"/>
    <cellStyle name="Normal 4 3 10 6" xfId="4358" xr:uid="{00000000-0005-0000-0000-0000640F0000}"/>
    <cellStyle name="Normal 4 3 10 7" xfId="4359" xr:uid="{00000000-0005-0000-0000-0000650F0000}"/>
    <cellStyle name="Normal 4 3 11" xfId="4360" xr:uid="{00000000-0005-0000-0000-0000660F0000}"/>
    <cellStyle name="Normal 4 3 11 2" xfId="4361" xr:uid="{00000000-0005-0000-0000-0000670F0000}"/>
    <cellStyle name="Normal 4 3 11 2 2" xfId="4362" xr:uid="{00000000-0005-0000-0000-0000680F0000}"/>
    <cellStyle name="Normal 4 3 11 2 3" xfId="4363" xr:uid="{00000000-0005-0000-0000-0000690F0000}"/>
    <cellStyle name="Normal 4 3 11 3" xfId="4364" xr:uid="{00000000-0005-0000-0000-00006A0F0000}"/>
    <cellStyle name="Normal 4 3 11 4" xfId="4365" xr:uid="{00000000-0005-0000-0000-00006B0F0000}"/>
    <cellStyle name="Normal 4 3 11 5" xfId="4366" xr:uid="{00000000-0005-0000-0000-00006C0F0000}"/>
    <cellStyle name="Normal 4 3 12" xfId="4367" xr:uid="{00000000-0005-0000-0000-00006D0F0000}"/>
    <cellStyle name="Normal 4 3 12 2" xfId="4368" xr:uid="{00000000-0005-0000-0000-00006E0F0000}"/>
    <cellStyle name="Normal 4 3 12 2 2" xfId="4369" xr:uid="{00000000-0005-0000-0000-00006F0F0000}"/>
    <cellStyle name="Normal 4 3 12 2 3" xfId="4370" xr:uid="{00000000-0005-0000-0000-0000700F0000}"/>
    <cellStyle name="Normal 4 3 12 3" xfId="4371" xr:uid="{00000000-0005-0000-0000-0000710F0000}"/>
    <cellStyle name="Normal 4 3 12 4" xfId="4372" xr:uid="{00000000-0005-0000-0000-0000720F0000}"/>
    <cellStyle name="Normal 4 3 12 5" xfId="4373" xr:uid="{00000000-0005-0000-0000-0000730F0000}"/>
    <cellStyle name="Normal 4 3 13" xfId="4374" xr:uid="{00000000-0005-0000-0000-0000740F0000}"/>
    <cellStyle name="Normal 4 3 13 2" xfId="4375" xr:uid="{00000000-0005-0000-0000-0000750F0000}"/>
    <cellStyle name="Normal 4 3 13 3" xfId="4376" xr:uid="{00000000-0005-0000-0000-0000760F0000}"/>
    <cellStyle name="Normal 4 3 14" xfId="4377" xr:uid="{00000000-0005-0000-0000-0000770F0000}"/>
    <cellStyle name="Normal 4 3 15" xfId="4378" xr:uid="{00000000-0005-0000-0000-0000780F0000}"/>
    <cellStyle name="Normal 4 3 16" xfId="4379" xr:uid="{00000000-0005-0000-0000-0000790F0000}"/>
    <cellStyle name="Normal 4 3 2" xfId="600" xr:uid="{00000000-0005-0000-0000-00007A0F0000}"/>
    <cellStyle name="Normal 4 3 2 10" xfId="4380" xr:uid="{00000000-0005-0000-0000-00007B0F0000}"/>
    <cellStyle name="Normal 4 3 2 10 2" xfId="4381" xr:uid="{00000000-0005-0000-0000-00007C0F0000}"/>
    <cellStyle name="Normal 4 3 2 10 2 2" xfId="4382" xr:uid="{00000000-0005-0000-0000-00007D0F0000}"/>
    <cellStyle name="Normal 4 3 2 10 2 3" xfId="4383" xr:uid="{00000000-0005-0000-0000-00007E0F0000}"/>
    <cellStyle name="Normal 4 3 2 10 3" xfId="4384" xr:uid="{00000000-0005-0000-0000-00007F0F0000}"/>
    <cellStyle name="Normal 4 3 2 10 4" xfId="4385" xr:uid="{00000000-0005-0000-0000-0000800F0000}"/>
    <cellStyle name="Normal 4 3 2 10 5" xfId="4386" xr:uid="{00000000-0005-0000-0000-0000810F0000}"/>
    <cellStyle name="Normal 4 3 2 11" xfId="4387" xr:uid="{00000000-0005-0000-0000-0000820F0000}"/>
    <cellStyle name="Normal 4 3 2 11 2" xfId="4388" xr:uid="{00000000-0005-0000-0000-0000830F0000}"/>
    <cellStyle name="Normal 4 3 2 11 3" xfId="4389" xr:uid="{00000000-0005-0000-0000-0000840F0000}"/>
    <cellStyle name="Normal 4 3 2 12" xfId="4390" xr:uid="{00000000-0005-0000-0000-0000850F0000}"/>
    <cellStyle name="Normal 4 3 2 13" xfId="4391" xr:uid="{00000000-0005-0000-0000-0000860F0000}"/>
    <cellStyle name="Normal 4 3 2 14" xfId="4392" xr:uid="{00000000-0005-0000-0000-0000870F0000}"/>
    <cellStyle name="Normal 4 3 2 2" xfId="4393" xr:uid="{00000000-0005-0000-0000-0000880F0000}"/>
    <cellStyle name="Normal 4 3 2 2 10" xfId="4394" xr:uid="{00000000-0005-0000-0000-0000890F0000}"/>
    <cellStyle name="Normal 4 3 2 2 10 2" xfId="4395" xr:uid="{00000000-0005-0000-0000-00008A0F0000}"/>
    <cellStyle name="Normal 4 3 2 2 10 3" xfId="4396" xr:uid="{00000000-0005-0000-0000-00008B0F0000}"/>
    <cellStyle name="Normal 4 3 2 2 11" xfId="4397" xr:uid="{00000000-0005-0000-0000-00008C0F0000}"/>
    <cellStyle name="Normal 4 3 2 2 12" xfId="4398" xr:uid="{00000000-0005-0000-0000-00008D0F0000}"/>
    <cellStyle name="Normal 4 3 2 2 13" xfId="4399" xr:uid="{00000000-0005-0000-0000-00008E0F0000}"/>
    <cellStyle name="Normal 4 3 2 2 2" xfId="4400" xr:uid="{00000000-0005-0000-0000-00008F0F0000}"/>
    <cellStyle name="Normal 4 3 2 2 2 2" xfId="4401" xr:uid="{00000000-0005-0000-0000-0000900F0000}"/>
    <cellStyle name="Normal 4 3 2 2 2 2 2" xfId="4402" xr:uid="{00000000-0005-0000-0000-0000910F0000}"/>
    <cellStyle name="Normal 4 3 2 2 2 2 2 2" xfId="4403" xr:uid="{00000000-0005-0000-0000-0000920F0000}"/>
    <cellStyle name="Normal 4 3 2 2 2 2 2 2 2" xfId="4404" xr:uid="{00000000-0005-0000-0000-0000930F0000}"/>
    <cellStyle name="Normal 4 3 2 2 2 2 2 2 2 2" xfId="4405" xr:uid="{00000000-0005-0000-0000-0000940F0000}"/>
    <cellStyle name="Normal 4 3 2 2 2 2 2 2 2 3" xfId="4406" xr:uid="{00000000-0005-0000-0000-0000950F0000}"/>
    <cellStyle name="Normal 4 3 2 2 2 2 2 2 3" xfId="4407" xr:uid="{00000000-0005-0000-0000-0000960F0000}"/>
    <cellStyle name="Normal 4 3 2 2 2 2 2 2 4" xfId="4408" xr:uid="{00000000-0005-0000-0000-0000970F0000}"/>
    <cellStyle name="Normal 4 3 2 2 2 2 2 2 5" xfId="4409" xr:uid="{00000000-0005-0000-0000-0000980F0000}"/>
    <cellStyle name="Normal 4 3 2 2 2 2 2 3" xfId="4410" xr:uid="{00000000-0005-0000-0000-0000990F0000}"/>
    <cellStyle name="Normal 4 3 2 2 2 2 2 3 2" xfId="4411" xr:uid="{00000000-0005-0000-0000-00009A0F0000}"/>
    <cellStyle name="Normal 4 3 2 2 2 2 2 3 2 2" xfId="4412" xr:uid="{00000000-0005-0000-0000-00009B0F0000}"/>
    <cellStyle name="Normal 4 3 2 2 2 2 2 3 2 3" xfId="4413" xr:uid="{00000000-0005-0000-0000-00009C0F0000}"/>
    <cellStyle name="Normal 4 3 2 2 2 2 2 3 3" xfId="4414" xr:uid="{00000000-0005-0000-0000-00009D0F0000}"/>
    <cellStyle name="Normal 4 3 2 2 2 2 2 3 4" xfId="4415" xr:uid="{00000000-0005-0000-0000-00009E0F0000}"/>
    <cellStyle name="Normal 4 3 2 2 2 2 2 3 5" xfId="4416" xr:uid="{00000000-0005-0000-0000-00009F0F0000}"/>
    <cellStyle name="Normal 4 3 2 2 2 2 2 4" xfId="4417" xr:uid="{00000000-0005-0000-0000-0000A00F0000}"/>
    <cellStyle name="Normal 4 3 2 2 2 2 2 4 2" xfId="4418" xr:uid="{00000000-0005-0000-0000-0000A10F0000}"/>
    <cellStyle name="Normal 4 3 2 2 2 2 2 4 3" xfId="4419" xr:uid="{00000000-0005-0000-0000-0000A20F0000}"/>
    <cellStyle name="Normal 4 3 2 2 2 2 2 5" xfId="4420" xr:uid="{00000000-0005-0000-0000-0000A30F0000}"/>
    <cellStyle name="Normal 4 3 2 2 2 2 2 6" xfId="4421" xr:uid="{00000000-0005-0000-0000-0000A40F0000}"/>
    <cellStyle name="Normal 4 3 2 2 2 2 2 7" xfId="4422" xr:uid="{00000000-0005-0000-0000-0000A50F0000}"/>
    <cellStyle name="Normal 4 3 2 2 2 2 3" xfId="4423" xr:uid="{00000000-0005-0000-0000-0000A60F0000}"/>
    <cellStyle name="Normal 4 3 2 2 2 2 3 2" xfId="4424" xr:uid="{00000000-0005-0000-0000-0000A70F0000}"/>
    <cellStyle name="Normal 4 3 2 2 2 2 3 2 2" xfId="4425" xr:uid="{00000000-0005-0000-0000-0000A80F0000}"/>
    <cellStyle name="Normal 4 3 2 2 2 2 3 2 3" xfId="4426" xr:uid="{00000000-0005-0000-0000-0000A90F0000}"/>
    <cellStyle name="Normal 4 3 2 2 2 2 3 3" xfId="4427" xr:uid="{00000000-0005-0000-0000-0000AA0F0000}"/>
    <cellStyle name="Normal 4 3 2 2 2 2 3 4" xfId="4428" xr:uid="{00000000-0005-0000-0000-0000AB0F0000}"/>
    <cellStyle name="Normal 4 3 2 2 2 2 3 5" xfId="4429" xr:uid="{00000000-0005-0000-0000-0000AC0F0000}"/>
    <cellStyle name="Normal 4 3 2 2 2 2 4" xfId="4430" xr:uid="{00000000-0005-0000-0000-0000AD0F0000}"/>
    <cellStyle name="Normal 4 3 2 2 2 2 4 2" xfId="4431" xr:uid="{00000000-0005-0000-0000-0000AE0F0000}"/>
    <cellStyle name="Normal 4 3 2 2 2 2 4 2 2" xfId="4432" xr:uid="{00000000-0005-0000-0000-0000AF0F0000}"/>
    <cellStyle name="Normal 4 3 2 2 2 2 4 2 3" xfId="4433" xr:uid="{00000000-0005-0000-0000-0000B00F0000}"/>
    <cellStyle name="Normal 4 3 2 2 2 2 4 3" xfId="4434" xr:uid="{00000000-0005-0000-0000-0000B10F0000}"/>
    <cellStyle name="Normal 4 3 2 2 2 2 4 4" xfId="4435" xr:uid="{00000000-0005-0000-0000-0000B20F0000}"/>
    <cellStyle name="Normal 4 3 2 2 2 2 4 5" xfId="4436" xr:uid="{00000000-0005-0000-0000-0000B30F0000}"/>
    <cellStyle name="Normal 4 3 2 2 2 2 5" xfId="4437" xr:uid="{00000000-0005-0000-0000-0000B40F0000}"/>
    <cellStyle name="Normal 4 3 2 2 2 2 5 2" xfId="4438" xr:uid="{00000000-0005-0000-0000-0000B50F0000}"/>
    <cellStyle name="Normal 4 3 2 2 2 2 5 3" xfId="4439" xr:uid="{00000000-0005-0000-0000-0000B60F0000}"/>
    <cellStyle name="Normal 4 3 2 2 2 2 6" xfId="4440" xr:uid="{00000000-0005-0000-0000-0000B70F0000}"/>
    <cellStyle name="Normal 4 3 2 2 2 2 7" xfId="4441" xr:uid="{00000000-0005-0000-0000-0000B80F0000}"/>
    <cellStyle name="Normal 4 3 2 2 2 2 8" xfId="4442" xr:uid="{00000000-0005-0000-0000-0000B90F0000}"/>
    <cellStyle name="Normal 4 3 2 2 2 3" xfId="4443" xr:uid="{00000000-0005-0000-0000-0000BA0F0000}"/>
    <cellStyle name="Normal 4 3 2 2 2 3 2" xfId="4444" xr:uid="{00000000-0005-0000-0000-0000BB0F0000}"/>
    <cellStyle name="Normal 4 3 2 2 2 3 2 2" xfId="4445" xr:uid="{00000000-0005-0000-0000-0000BC0F0000}"/>
    <cellStyle name="Normal 4 3 2 2 2 3 2 2 2" xfId="4446" xr:uid="{00000000-0005-0000-0000-0000BD0F0000}"/>
    <cellStyle name="Normal 4 3 2 2 2 3 2 2 3" xfId="4447" xr:uid="{00000000-0005-0000-0000-0000BE0F0000}"/>
    <cellStyle name="Normal 4 3 2 2 2 3 2 3" xfId="4448" xr:uid="{00000000-0005-0000-0000-0000BF0F0000}"/>
    <cellStyle name="Normal 4 3 2 2 2 3 2 4" xfId="4449" xr:uid="{00000000-0005-0000-0000-0000C00F0000}"/>
    <cellStyle name="Normal 4 3 2 2 2 3 2 5" xfId="4450" xr:uid="{00000000-0005-0000-0000-0000C10F0000}"/>
    <cellStyle name="Normal 4 3 2 2 2 3 3" xfId="4451" xr:uid="{00000000-0005-0000-0000-0000C20F0000}"/>
    <cellStyle name="Normal 4 3 2 2 2 3 3 2" xfId="4452" xr:uid="{00000000-0005-0000-0000-0000C30F0000}"/>
    <cellStyle name="Normal 4 3 2 2 2 3 3 2 2" xfId="4453" xr:uid="{00000000-0005-0000-0000-0000C40F0000}"/>
    <cellStyle name="Normal 4 3 2 2 2 3 3 2 3" xfId="4454" xr:uid="{00000000-0005-0000-0000-0000C50F0000}"/>
    <cellStyle name="Normal 4 3 2 2 2 3 3 3" xfId="4455" xr:uid="{00000000-0005-0000-0000-0000C60F0000}"/>
    <cellStyle name="Normal 4 3 2 2 2 3 3 4" xfId="4456" xr:uid="{00000000-0005-0000-0000-0000C70F0000}"/>
    <cellStyle name="Normal 4 3 2 2 2 3 3 5" xfId="4457" xr:uid="{00000000-0005-0000-0000-0000C80F0000}"/>
    <cellStyle name="Normal 4 3 2 2 2 3 4" xfId="4458" xr:uid="{00000000-0005-0000-0000-0000C90F0000}"/>
    <cellStyle name="Normal 4 3 2 2 2 3 4 2" xfId="4459" xr:uid="{00000000-0005-0000-0000-0000CA0F0000}"/>
    <cellStyle name="Normal 4 3 2 2 2 3 4 3" xfId="4460" xr:uid="{00000000-0005-0000-0000-0000CB0F0000}"/>
    <cellStyle name="Normal 4 3 2 2 2 3 5" xfId="4461" xr:uid="{00000000-0005-0000-0000-0000CC0F0000}"/>
    <cellStyle name="Normal 4 3 2 2 2 3 6" xfId="4462" xr:uid="{00000000-0005-0000-0000-0000CD0F0000}"/>
    <cellStyle name="Normal 4 3 2 2 2 3 7" xfId="4463" xr:uid="{00000000-0005-0000-0000-0000CE0F0000}"/>
    <cellStyle name="Normal 4 3 2 2 2 4" xfId="4464" xr:uid="{00000000-0005-0000-0000-0000CF0F0000}"/>
    <cellStyle name="Normal 4 3 2 2 2 4 2" xfId="4465" xr:uid="{00000000-0005-0000-0000-0000D00F0000}"/>
    <cellStyle name="Normal 4 3 2 2 2 4 2 2" xfId="4466" xr:uid="{00000000-0005-0000-0000-0000D10F0000}"/>
    <cellStyle name="Normal 4 3 2 2 2 4 2 3" xfId="4467" xr:uid="{00000000-0005-0000-0000-0000D20F0000}"/>
    <cellStyle name="Normal 4 3 2 2 2 4 3" xfId="4468" xr:uid="{00000000-0005-0000-0000-0000D30F0000}"/>
    <cellStyle name="Normal 4 3 2 2 2 4 4" xfId="4469" xr:uid="{00000000-0005-0000-0000-0000D40F0000}"/>
    <cellStyle name="Normal 4 3 2 2 2 4 5" xfId="4470" xr:uid="{00000000-0005-0000-0000-0000D50F0000}"/>
    <cellStyle name="Normal 4 3 2 2 2 5" xfId="4471" xr:uid="{00000000-0005-0000-0000-0000D60F0000}"/>
    <cellStyle name="Normal 4 3 2 2 2 5 2" xfId="4472" xr:uid="{00000000-0005-0000-0000-0000D70F0000}"/>
    <cellStyle name="Normal 4 3 2 2 2 5 2 2" xfId="4473" xr:uid="{00000000-0005-0000-0000-0000D80F0000}"/>
    <cellStyle name="Normal 4 3 2 2 2 5 2 3" xfId="4474" xr:uid="{00000000-0005-0000-0000-0000D90F0000}"/>
    <cellStyle name="Normal 4 3 2 2 2 5 3" xfId="4475" xr:uid="{00000000-0005-0000-0000-0000DA0F0000}"/>
    <cellStyle name="Normal 4 3 2 2 2 5 4" xfId="4476" xr:uid="{00000000-0005-0000-0000-0000DB0F0000}"/>
    <cellStyle name="Normal 4 3 2 2 2 5 5" xfId="4477" xr:uid="{00000000-0005-0000-0000-0000DC0F0000}"/>
    <cellStyle name="Normal 4 3 2 2 2 6" xfId="4478" xr:uid="{00000000-0005-0000-0000-0000DD0F0000}"/>
    <cellStyle name="Normal 4 3 2 2 2 6 2" xfId="4479" xr:uid="{00000000-0005-0000-0000-0000DE0F0000}"/>
    <cellStyle name="Normal 4 3 2 2 2 6 3" xfId="4480" xr:uid="{00000000-0005-0000-0000-0000DF0F0000}"/>
    <cellStyle name="Normal 4 3 2 2 2 7" xfId="4481" xr:uid="{00000000-0005-0000-0000-0000E00F0000}"/>
    <cellStyle name="Normal 4 3 2 2 2 8" xfId="4482" xr:uid="{00000000-0005-0000-0000-0000E10F0000}"/>
    <cellStyle name="Normal 4 3 2 2 2 9" xfId="4483" xr:uid="{00000000-0005-0000-0000-0000E20F0000}"/>
    <cellStyle name="Normal 4 3 2 2 3" xfId="4484" xr:uid="{00000000-0005-0000-0000-0000E30F0000}"/>
    <cellStyle name="Normal 4 3 2 2 3 2" xfId="4485" xr:uid="{00000000-0005-0000-0000-0000E40F0000}"/>
    <cellStyle name="Normal 4 3 2 2 3 2 2" xfId="4486" xr:uid="{00000000-0005-0000-0000-0000E50F0000}"/>
    <cellStyle name="Normal 4 3 2 2 3 2 2 2" xfId="4487" xr:uid="{00000000-0005-0000-0000-0000E60F0000}"/>
    <cellStyle name="Normal 4 3 2 2 3 2 2 2 2" xfId="4488" xr:uid="{00000000-0005-0000-0000-0000E70F0000}"/>
    <cellStyle name="Normal 4 3 2 2 3 2 2 2 2 2" xfId="4489" xr:uid="{00000000-0005-0000-0000-0000E80F0000}"/>
    <cellStyle name="Normal 4 3 2 2 3 2 2 2 2 3" xfId="4490" xr:uid="{00000000-0005-0000-0000-0000E90F0000}"/>
    <cellStyle name="Normal 4 3 2 2 3 2 2 2 3" xfId="4491" xr:uid="{00000000-0005-0000-0000-0000EA0F0000}"/>
    <cellStyle name="Normal 4 3 2 2 3 2 2 2 4" xfId="4492" xr:uid="{00000000-0005-0000-0000-0000EB0F0000}"/>
    <cellStyle name="Normal 4 3 2 2 3 2 2 2 5" xfId="4493" xr:uid="{00000000-0005-0000-0000-0000EC0F0000}"/>
    <cellStyle name="Normal 4 3 2 2 3 2 2 3" xfId="4494" xr:uid="{00000000-0005-0000-0000-0000ED0F0000}"/>
    <cellStyle name="Normal 4 3 2 2 3 2 2 3 2" xfId="4495" xr:uid="{00000000-0005-0000-0000-0000EE0F0000}"/>
    <cellStyle name="Normal 4 3 2 2 3 2 2 3 2 2" xfId="4496" xr:uid="{00000000-0005-0000-0000-0000EF0F0000}"/>
    <cellStyle name="Normal 4 3 2 2 3 2 2 3 2 3" xfId="4497" xr:uid="{00000000-0005-0000-0000-0000F00F0000}"/>
    <cellStyle name="Normal 4 3 2 2 3 2 2 3 3" xfId="4498" xr:uid="{00000000-0005-0000-0000-0000F10F0000}"/>
    <cellStyle name="Normal 4 3 2 2 3 2 2 3 4" xfId="4499" xr:uid="{00000000-0005-0000-0000-0000F20F0000}"/>
    <cellStyle name="Normal 4 3 2 2 3 2 2 3 5" xfId="4500" xr:uid="{00000000-0005-0000-0000-0000F30F0000}"/>
    <cellStyle name="Normal 4 3 2 2 3 2 2 4" xfId="4501" xr:uid="{00000000-0005-0000-0000-0000F40F0000}"/>
    <cellStyle name="Normal 4 3 2 2 3 2 2 4 2" xfId="4502" xr:uid="{00000000-0005-0000-0000-0000F50F0000}"/>
    <cellStyle name="Normal 4 3 2 2 3 2 2 4 3" xfId="4503" xr:uid="{00000000-0005-0000-0000-0000F60F0000}"/>
    <cellStyle name="Normal 4 3 2 2 3 2 2 5" xfId="4504" xr:uid="{00000000-0005-0000-0000-0000F70F0000}"/>
    <cellStyle name="Normal 4 3 2 2 3 2 2 6" xfId="4505" xr:uid="{00000000-0005-0000-0000-0000F80F0000}"/>
    <cellStyle name="Normal 4 3 2 2 3 2 2 7" xfId="4506" xr:uid="{00000000-0005-0000-0000-0000F90F0000}"/>
    <cellStyle name="Normal 4 3 2 2 3 2 3" xfId="4507" xr:uid="{00000000-0005-0000-0000-0000FA0F0000}"/>
    <cellStyle name="Normal 4 3 2 2 3 2 3 2" xfId="4508" xr:uid="{00000000-0005-0000-0000-0000FB0F0000}"/>
    <cellStyle name="Normal 4 3 2 2 3 2 3 2 2" xfId="4509" xr:uid="{00000000-0005-0000-0000-0000FC0F0000}"/>
    <cellStyle name="Normal 4 3 2 2 3 2 3 2 3" xfId="4510" xr:uid="{00000000-0005-0000-0000-0000FD0F0000}"/>
    <cellStyle name="Normal 4 3 2 2 3 2 3 3" xfId="4511" xr:uid="{00000000-0005-0000-0000-0000FE0F0000}"/>
    <cellStyle name="Normal 4 3 2 2 3 2 3 4" xfId="4512" xr:uid="{00000000-0005-0000-0000-0000FF0F0000}"/>
    <cellStyle name="Normal 4 3 2 2 3 2 3 5" xfId="4513" xr:uid="{00000000-0005-0000-0000-000000100000}"/>
    <cellStyle name="Normal 4 3 2 2 3 2 4" xfId="4514" xr:uid="{00000000-0005-0000-0000-000001100000}"/>
    <cellStyle name="Normal 4 3 2 2 3 2 4 2" xfId="4515" xr:uid="{00000000-0005-0000-0000-000002100000}"/>
    <cellStyle name="Normal 4 3 2 2 3 2 4 2 2" xfId="4516" xr:uid="{00000000-0005-0000-0000-000003100000}"/>
    <cellStyle name="Normal 4 3 2 2 3 2 4 2 3" xfId="4517" xr:uid="{00000000-0005-0000-0000-000004100000}"/>
    <cellStyle name="Normal 4 3 2 2 3 2 4 3" xfId="4518" xr:uid="{00000000-0005-0000-0000-000005100000}"/>
    <cellStyle name="Normal 4 3 2 2 3 2 4 4" xfId="4519" xr:uid="{00000000-0005-0000-0000-000006100000}"/>
    <cellStyle name="Normal 4 3 2 2 3 2 4 5" xfId="4520" xr:uid="{00000000-0005-0000-0000-000007100000}"/>
    <cellStyle name="Normal 4 3 2 2 3 2 5" xfId="4521" xr:uid="{00000000-0005-0000-0000-000008100000}"/>
    <cellStyle name="Normal 4 3 2 2 3 2 5 2" xfId="4522" xr:uid="{00000000-0005-0000-0000-000009100000}"/>
    <cellStyle name="Normal 4 3 2 2 3 2 5 3" xfId="4523" xr:uid="{00000000-0005-0000-0000-00000A100000}"/>
    <cellStyle name="Normal 4 3 2 2 3 2 6" xfId="4524" xr:uid="{00000000-0005-0000-0000-00000B100000}"/>
    <cellStyle name="Normal 4 3 2 2 3 2 7" xfId="4525" xr:uid="{00000000-0005-0000-0000-00000C100000}"/>
    <cellStyle name="Normal 4 3 2 2 3 2 8" xfId="4526" xr:uid="{00000000-0005-0000-0000-00000D100000}"/>
    <cellStyle name="Normal 4 3 2 2 3 3" xfId="4527" xr:uid="{00000000-0005-0000-0000-00000E100000}"/>
    <cellStyle name="Normal 4 3 2 2 3 3 2" xfId="4528" xr:uid="{00000000-0005-0000-0000-00000F100000}"/>
    <cellStyle name="Normal 4 3 2 2 3 3 2 2" xfId="4529" xr:uid="{00000000-0005-0000-0000-000010100000}"/>
    <cellStyle name="Normal 4 3 2 2 3 3 2 2 2" xfId="4530" xr:uid="{00000000-0005-0000-0000-000011100000}"/>
    <cellStyle name="Normal 4 3 2 2 3 3 2 2 3" xfId="4531" xr:uid="{00000000-0005-0000-0000-000012100000}"/>
    <cellStyle name="Normal 4 3 2 2 3 3 2 3" xfId="4532" xr:uid="{00000000-0005-0000-0000-000013100000}"/>
    <cellStyle name="Normal 4 3 2 2 3 3 2 4" xfId="4533" xr:uid="{00000000-0005-0000-0000-000014100000}"/>
    <cellStyle name="Normal 4 3 2 2 3 3 2 5" xfId="4534" xr:uid="{00000000-0005-0000-0000-000015100000}"/>
    <cellStyle name="Normal 4 3 2 2 3 3 3" xfId="4535" xr:uid="{00000000-0005-0000-0000-000016100000}"/>
    <cellStyle name="Normal 4 3 2 2 3 3 3 2" xfId="4536" xr:uid="{00000000-0005-0000-0000-000017100000}"/>
    <cellStyle name="Normal 4 3 2 2 3 3 3 2 2" xfId="4537" xr:uid="{00000000-0005-0000-0000-000018100000}"/>
    <cellStyle name="Normal 4 3 2 2 3 3 3 2 3" xfId="4538" xr:uid="{00000000-0005-0000-0000-000019100000}"/>
    <cellStyle name="Normal 4 3 2 2 3 3 3 3" xfId="4539" xr:uid="{00000000-0005-0000-0000-00001A100000}"/>
    <cellStyle name="Normal 4 3 2 2 3 3 3 4" xfId="4540" xr:uid="{00000000-0005-0000-0000-00001B100000}"/>
    <cellStyle name="Normal 4 3 2 2 3 3 3 5" xfId="4541" xr:uid="{00000000-0005-0000-0000-00001C100000}"/>
    <cellStyle name="Normal 4 3 2 2 3 3 4" xfId="4542" xr:uid="{00000000-0005-0000-0000-00001D100000}"/>
    <cellStyle name="Normal 4 3 2 2 3 3 4 2" xfId="4543" xr:uid="{00000000-0005-0000-0000-00001E100000}"/>
    <cellStyle name="Normal 4 3 2 2 3 3 4 3" xfId="4544" xr:uid="{00000000-0005-0000-0000-00001F100000}"/>
    <cellStyle name="Normal 4 3 2 2 3 3 5" xfId="4545" xr:uid="{00000000-0005-0000-0000-000020100000}"/>
    <cellStyle name="Normal 4 3 2 2 3 3 6" xfId="4546" xr:uid="{00000000-0005-0000-0000-000021100000}"/>
    <cellStyle name="Normal 4 3 2 2 3 3 7" xfId="4547" xr:uid="{00000000-0005-0000-0000-000022100000}"/>
    <cellStyle name="Normal 4 3 2 2 3 4" xfId="4548" xr:uid="{00000000-0005-0000-0000-000023100000}"/>
    <cellStyle name="Normal 4 3 2 2 3 4 2" xfId="4549" xr:uid="{00000000-0005-0000-0000-000024100000}"/>
    <cellStyle name="Normal 4 3 2 2 3 4 2 2" xfId="4550" xr:uid="{00000000-0005-0000-0000-000025100000}"/>
    <cellStyle name="Normal 4 3 2 2 3 4 2 3" xfId="4551" xr:uid="{00000000-0005-0000-0000-000026100000}"/>
    <cellStyle name="Normal 4 3 2 2 3 4 3" xfId="4552" xr:uid="{00000000-0005-0000-0000-000027100000}"/>
    <cellStyle name="Normal 4 3 2 2 3 4 4" xfId="4553" xr:uid="{00000000-0005-0000-0000-000028100000}"/>
    <cellStyle name="Normal 4 3 2 2 3 4 5" xfId="4554" xr:uid="{00000000-0005-0000-0000-000029100000}"/>
    <cellStyle name="Normal 4 3 2 2 3 5" xfId="4555" xr:uid="{00000000-0005-0000-0000-00002A100000}"/>
    <cellStyle name="Normal 4 3 2 2 3 5 2" xfId="4556" xr:uid="{00000000-0005-0000-0000-00002B100000}"/>
    <cellStyle name="Normal 4 3 2 2 3 5 2 2" xfId="4557" xr:uid="{00000000-0005-0000-0000-00002C100000}"/>
    <cellStyle name="Normal 4 3 2 2 3 5 2 3" xfId="4558" xr:uid="{00000000-0005-0000-0000-00002D100000}"/>
    <cellStyle name="Normal 4 3 2 2 3 5 3" xfId="4559" xr:uid="{00000000-0005-0000-0000-00002E100000}"/>
    <cellStyle name="Normal 4 3 2 2 3 5 4" xfId="4560" xr:uid="{00000000-0005-0000-0000-00002F100000}"/>
    <cellStyle name="Normal 4 3 2 2 3 5 5" xfId="4561" xr:uid="{00000000-0005-0000-0000-000030100000}"/>
    <cellStyle name="Normal 4 3 2 2 3 6" xfId="4562" xr:uid="{00000000-0005-0000-0000-000031100000}"/>
    <cellStyle name="Normal 4 3 2 2 3 6 2" xfId="4563" xr:uid="{00000000-0005-0000-0000-000032100000}"/>
    <cellStyle name="Normal 4 3 2 2 3 6 3" xfId="4564" xr:uid="{00000000-0005-0000-0000-000033100000}"/>
    <cellStyle name="Normal 4 3 2 2 3 7" xfId="4565" xr:uid="{00000000-0005-0000-0000-000034100000}"/>
    <cellStyle name="Normal 4 3 2 2 3 8" xfId="4566" xr:uid="{00000000-0005-0000-0000-000035100000}"/>
    <cellStyle name="Normal 4 3 2 2 3 9" xfId="4567" xr:uid="{00000000-0005-0000-0000-000036100000}"/>
    <cellStyle name="Normal 4 3 2 2 4" xfId="4568" xr:uid="{00000000-0005-0000-0000-000037100000}"/>
    <cellStyle name="Normal 4 3 2 2 4 2" xfId="4569" xr:uid="{00000000-0005-0000-0000-000038100000}"/>
    <cellStyle name="Normal 4 3 2 2 4 2 2" xfId="4570" xr:uid="{00000000-0005-0000-0000-000039100000}"/>
    <cellStyle name="Normal 4 3 2 2 4 2 2 2" xfId="4571" xr:uid="{00000000-0005-0000-0000-00003A100000}"/>
    <cellStyle name="Normal 4 3 2 2 4 2 2 2 2" xfId="4572" xr:uid="{00000000-0005-0000-0000-00003B100000}"/>
    <cellStyle name="Normal 4 3 2 2 4 2 2 2 2 2" xfId="4573" xr:uid="{00000000-0005-0000-0000-00003C100000}"/>
    <cellStyle name="Normal 4 3 2 2 4 2 2 2 2 3" xfId="4574" xr:uid="{00000000-0005-0000-0000-00003D100000}"/>
    <cellStyle name="Normal 4 3 2 2 4 2 2 2 3" xfId="4575" xr:uid="{00000000-0005-0000-0000-00003E100000}"/>
    <cellStyle name="Normal 4 3 2 2 4 2 2 2 4" xfId="4576" xr:uid="{00000000-0005-0000-0000-00003F100000}"/>
    <cellStyle name="Normal 4 3 2 2 4 2 2 2 5" xfId="4577" xr:uid="{00000000-0005-0000-0000-000040100000}"/>
    <cellStyle name="Normal 4 3 2 2 4 2 2 3" xfId="4578" xr:uid="{00000000-0005-0000-0000-000041100000}"/>
    <cellStyle name="Normal 4 3 2 2 4 2 2 3 2" xfId="4579" xr:uid="{00000000-0005-0000-0000-000042100000}"/>
    <cellStyle name="Normal 4 3 2 2 4 2 2 3 2 2" xfId="4580" xr:uid="{00000000-0005-0000-0000-000043100000}"/>
    <cellStyle name="Normal 4 3 2 2 4 2 2 3 2 3" xfId="4581" xr:uid="{00000000-0005-0000-0000-000044100000}"/>
    <cellStyle name="Normal 4 3 2 2 4 2 2 3 3" xfId="4582" xr:uid="{00000000-0005-0000-0000-000045100000}"/>
    <cellStyle name="Normal 4 3 2 2 4 2 2 3 4" xfId="4583" xr:uid="{00000000-0005-0000-0000-000046100000}"/>
    <cellStyle name="Normal 4 3 2 2 4 2 2 3 5" xfId="4584" xr:uid="{00000000-0005-0000-0000-000047100000}"/>
    <cellStyle name="Normal 4 3 2 2 4 2 2 4" xfId="4585" xr:uid="{00000000-0005-0000-0000-000048100000}"/>
    <cellStyle name="Normal 4 3 2 2 4 2 2 4 2" xfId="4586" xr:uid="{00000000-0005-0000-0000-000049100000}"/>
    <cellStyle name="Normal 4 3 2 2 4 2 2 4 3" xfId="4587" xr:uid="{00000000-0005-0000-0000-00004A100000}"/>
    <cellStyle name="Normal 4 3 2 2 4 2 2 5" xfId="4588" xr:uid="{00000000-0005-0000-0000-00004B100000}"/>
    <cellStyle name="Normal 4 3 2 2 4 2 2 6" xfId="4589" xr:uid="{00000000-0005-0000-0000-00004C100000}"/>
    <cellStyle name="Normal 4 3 2 2 4 2 2 7" xfId="4590" xr:uid="{00000000-0005-0000-0000-00004D100000}"/>
    <cellStyle name="Normal 4 3 2 2 4 2 3" xfId="4591" xr:uid="{00000000-0005-0000-0000-00004E100000}"/>
    <cellStyle name="Normal 4 3 2 2 4 2 3 2" xfId="4592" xr:uid="{00000000-0005-0000-0000-00004F100000}"/>
    <cellStyle name="Normal 4 3 2 2 4 2 3 2 2" xfId="4593" xr:uid="{00000000-0005-0000-0000-000050100000}"/>
    <cellStyle name="Normal 4 3 2 2 4 2 3 2 3" xfId="4594" xr:uid="{00000000-0005-0000-0000-000051100000}"/>
    <cellStyle name="Normal 4 3 2 2 4 2 3 3" xfId="4595" xr:uid="{00000000-0005-0000-0000-000052100000}"/>
    <cellStyle name="Normal 4 3 2 2 4 2 3 4" xfId="4596" xr:uid="{00000000-0005-0000-0000-000053100000}"/>
    <cellStyle name="Normal 4 3 2 2 4 2 3 5" xfId="4597" xr:uid="{00000000-0005-0000-0000-000054100000}"/>
    <cellStyle name="Normal 4 3 2 2 4 2 4" xfId="4598" xr:uid="{00000000-0005-0000-0000-000055100000}"/>
    <cellStyle name="Normal 4 3 2 2 4 2 4 2" xfId="4599" xr:uid="{00000000-0005-0000-0000-000056100000}"/>
    <cellStyle name="Normal 4 3 2 2 4 2 4 2 2" xfId="4600" xr:uid="{00000000-0005-0000-0000-000057100000}"/>
    <cellStyle name="Normal 4 3 2 2 4 2 4 2 3" xfId="4601" xr:uid="{00000000-0005-0000-0000-000058100000}"/>
    <cellStyle name="Normal 4 3 2 2 4 2 4 3" xfId="4602" xr:uid="{00000000-0005-0000-0000-000059100000}"/>
    <cellStyle name="Normal 4 3 2 2 4 2 4 4" xfId="4603" xr:uid="{00000000-0005-0000-0000-00005A100000}"/>
    <cellStyle name="Normal 4 3 2 2 4 2 4 5" xfId="4604" xr:uid="{00000000-0005-0000-0000-00005B100000}"/>
    <cellStyle name="Normal 4 3 2 2 4 2 5" xfId="4605" xr:uid="{00000000-0005-0000-0000-00005C100000}"/>
    <cellStyle name="Normal 4 3 2 2 4 2 5 2" xfId="4606" xr:uid="{00000000-0005-0000-0000-00005D100000}"/>
    <cellStyle name="Normal 4 3 2 2 4 2 5 3" xfId="4607" xr:uid="{00000000-0005-0000-0000-00005E100000}"/>
    <cellStyle name="Normal 4 3 2 2 4 2 6" xfId="4608" xr:uid="{00000000-0005-0000-0000-00005F100000}"/>
    <cellStyle name="Normal 4 3 2 2 4 2 7" xfId="4609" xr:uid="{00000000-0005-0000-0000-000060100000}"/>
    <cellStyle name="Normal 4 3 2 2 4 2 8" xfId="4610" xr:uid="{00000000-0005-0000-0000-000061100000}"/>
    <cellStyle name="Normal 4 3 2 2 4 3" xfId="4611" xr:uid="{00000000-0005-0000-0000-000062100000}"/>
    <cellStyle name="Normal 4 3 2 2 4 3 2" xfId="4612" xr:uid="{00000000-0005-0000-0000-000063100000}"/>
    <cellStyle name="Normal 4 3 2 2 4 3 2 2" xfId="4613" xr:uid="{00000000-0005-0000-0000-000064100000}"/>
    <cellStyle name="Normal 4 3 2 2 4 3 2 2 2" xfId="4614" xr:uid="{00000000-0005-0000-0000-000065100000}"/>
    <cellStyle name="Normal 4 3 2 2 4 3 2 2 3" xfId="4615" xr:uid="{00000000-0005-0000-0000-000066100000}"/>
    <cellStyle name="Normal 4 3 2 2 4 3 2 3" xfId="4616" xr:uid="{00000000-0005-0000-0000-000067100000}"/>
    <cellStyle name="Normal 4 3 2 2 4 3 2 4" xfId="4617" xr:uid="{00000000-0005-0000-0000-000068100000}"/>
    <cellStyle name="Normal 4 3 2 2 4 3 2 5" xfId="4618" xr:uid="{00000000-0005-0000-0000-000069100000}"/>
    <cellStyle name="Normal 4 3 2 2 4 3 3" xfId="4619" xr:uid="{00000000-0005-0000-0000-00006A100000}"/>
    <cellStyle name="Normal 4 3 2 2 4 3 3 2" xfId="4620" xr:uid="{00000000-0005-0000-0000-00006B100000}"/>
    <cellStyle name="Normal 4 3 2 2 4 3 3 2 2" xfId="4621" xr:uid="{00000000-0005-0000-0000-00006C100000}"/>
    <cellStyle name="Normal 4 3 2 2 4 3 3 2 3" xfId="4622" xr:uid="{00000000-0005-0000-0000-00006D100000}"/>
    <cellStyle name="Normal 4 3 2 2 4 3 3 3" xfId="4623" xr:uid="{00000000-0005-0000-0000-00006E100000}"/>
    <cellStyle name="Normal 4 3 2 2 4 3 3 4" xfId="4624" xr:uid="{00000000-0005-0000-0000-00006F100000}"/>
    <cellStyle name="Normal 4 3 2 2 4 3 3 5" xfId="4625" xr:uid="{00000000-0005-0000-0000-000070100000}"/>
    <cellStyle name="Normal 4 3 2 2 4 3 4" xfId="4626" xr:uid="{00000000-0005-0000-0000-000071100000}"/>
    <cellStyle name="Normal 4 3 2 2 4 3 4 2" xfId="4627" xr:uid="{00000000-0005-0000-0000-000072100000}"/>
    <cellStyle name="Normal 4 3 2 2 4 3 4 3" xfId="4628" xr:uid="{00000000-0005-0000-0000-000073100000}"/>
    <cellStyle name="Normal 4 3 2 2 4 3 5" xfId="4629" xr:uid="{00000000-0005-0000-0000-000074100000}"/>
    <cellStyle name="Normal 4 3 2 2 4 3 6" xfId="4630" xr:uid="{00000000-0005-0000-0000-000075100000}"/>
    <cellStyle name="Normal 4 3 2 2 4 3 7" xfId="4631" xr:uid="{00000000-0005-0000-0000-000076100000}"/>
    <cellStyle name="Normal 4 3 2 2 4 4" xfId="4632" xr:uid="{00000000-0005-0000-0000-000077100000}"/>
    <cellStyle name="Normal 4 3 2 2 4 4 2" xfId="4633" xr:uid="{00000000-0005-0000-0000-000078100000}"/>
    <cellStyle name="Normal 4 3 2 2 4 4 2 2" xfId="4634" xr:uid="{00000000-0005-0000-0000-000079100000}"/>
    <cellStyle name="Normal 4 3 2 2 4 4 2 3" xfId="4635" xr:uid="{00000000-0005-0000-0000-00007A100000}"/>
    <cellStyle name="Normal 4 3 2 2 4 4 3" xfId="4636" xr:uid="{00000000-0005-0000-0000-00007B100000}"/>
    <cellStyle name="Normal 4 3 2 2 4 4 4" xfId="4637" xr:uid="{00000000-0005-0000-0000-00007C100000}"/>
    <cellStyle name="Normal 4 3 2 2 4 4 5" xfId="4638" xr:uid="{00000000-0005-0000-0000-00007D100000}"/>
    <cellStyle name="Normal 4 3 2 2 4 5" xfId="4639" xr:uid="{00000000-0005-0000-0000-00007E100000}"/>
    <cellStyle name="Normal 4 3 2 2 4 5 2" xfId="4640" xr:uid="{00000000-0005-0000-0000-00007F100000}"/>
    <cellStyle name="Normal 4 3 2 2 4 5 2 2" xfId="4641" xr:uid="{00000000-0005-0000-0000-000080100000}"/>
    <cellStyle name="Normal 4 3 2 2 4 5 2 3" xfId="4642" xr:uid="{00000000-0005-0000-0000-000081100000}"/>
    <cellStyle name="Normal 4 3 2 2 4 5 3" xfId="4643" xr:uid="{00000000-0005-0000-0000-000082100000}"/>
    <cellStyle name="Normal 4 3 2 2 4 5 4" xfId="4644" xr:uid="{00000000-0005-0000-0000-000083100000}"/>
    <cellStyle name="Normal 4 3 2 2 4 5 5" xfId="4645" xr:uid="{00000000-0005-0000-0000-000084100000}"/>
    <cellStyle name="Normal 4 3 2 2 4 6" xfId="4646" xr:uid="{00000000-0005-0000-0000-000085100000}"/>
    <cellStyle name="Normal 4 3 2 2 4 6 2" xfId="4647" xr:uid="{00000000-0005-0000-0000-000086100000}"/>
    <cellStyle name="Normal 4 3 2 2 4 6 3" xfId="4648" xr:uid="{00000000-0005-0000-0000-000087100000}"/>
    <cellStyle name="Normal 4 3 2 2 4 7" xfId="4649" xr:uid="{00000000-0005-0000-0000-000088100000}"/>
    <cellStyle name="Normal 4 3 2 2 4 8" xfId="4650" xr:uid="{00000000-0005-0000-0000-000089100000}"/>
    <cellStyle name="Normal 4 3 2 2 4 9" xfId="4651" xr:uid="{00000000-0005-0000-0000-00008A100000}"/>
    <cellStyle name="Normal 4 3 2 2 5" xfId="4652" xr:uid="{00000000-0005-0000-0000-00008B100000}"/>
    <cellStyle name="Normal 4 3 2 2 5 2" xfId="4653" xr:uid="{00000000-0005-0000-0000-00008C100000}"/>
    <cellStyle name="Normal 4 3 2 2 5 2 2" xfId="4654" xr:uid="{00000000-0005-0000-0000-00008D100000}"/>
    <cellStyle name="Normal 4 3 2 2 5 2 2 2" xfId="4655" xr:uid="{00000000-0005-0000-0000-00008E100000}"/>
    <cellStyle name="Normal 4 3 2 2 5 2 2 2 2" xfId="4656" xr:uid="{00000000-0005-0000-0000-00008F100000}"/>
    <cellStyle name="Normal 4 3 2 2 5 2 2 2 3" xfId="4657" xr:uid="{00000000-0005-0000-0000-000090100000}"/>
    <cellStyle name="Normal 4 3 2 2 5 2 2 3" xfId="4658" xr:uid="{00000000-0005-0000-0000-000091100000}"/>
    <cellStyle name="Normal 4 3 2 2 5 2 2 4" xfId="4659" xr:uid="{00000000-0005-0000-0000-000092100000}"/>
    <cellStyle name="Normal 4 3 2 2 5 2 2 5" xfId="4660" xr:uid="{00000000-0005-0000-0000-000093100000}"/>
    <cellStyle name="Normal 4 3 2 2 5 2 3" xfId="4661" xr:uid="{00000000-0005-0000-0000-000094100000}"/>
    <cellStyle name="Normal 4 3 2 2 5 2 3 2" xfId="4662" xr:uid="{00000000-0005-0000-0000-000095100000}"/>
    <cellStyle name="Normal 4 3 2 2 5 2 3 2 2" xfId="4663" xr:uid="{00000000-0005-0000-0000-000096100000}"/>
    <cellStyle name="Normal 4 3 2 2 5 2 3 2 3" xfId="4664" xr:uid="{00000000-0005-0000-0000-000097100000}"/>
    <cellStyle name="Normal 4 3 2 2 5 2 3 3" xfId="4665" xr:uid="{00000000-0005-0000-0000-000098100000}"/>
    <cellStyle name="Normal 4 3 2 2 5 2 3 4" xfId="4666" xr:uid="{00000000-0005-0000-0000-000099100000}"/>
    <cellStyle name="Normal 4 3 2 2 5 2 3 5" xfId="4667" xr:uid="{00000000-0005-0000-0000-00009A100000}"/>
    <cellStyle name="Normal 4 3 2 2 5 2 4" xfId="4668" xr:uid="{00000000-0005-0000-0000-00009B100000}"/>
    <cellStyle name="Normal 4 3 2 2 5 2 4 2" xfId="4669" xr:uid="{00000000-0005-0000-0000-00009C100000}"/>
    <cellStyle name="Normal 4 3 2 2 5 2 4 3" xfId="4670" xr:uid="{00000000-0005-0000-0000-00009D100000}"/>
    <cellStyle name="Normal 4 3 2 2 5 2 5" xfId="4671" xr:uid="{00000000-0005-0000-0000-00009E100000}"/>
    <cellStyle name="Normal 4 3 2 2 5 2 6" xfId="4672" xr:uid="{00000000-0005-0000-0000-00009F100000}"/>
    <cellStyle name="Normal 4 3 2 2 5 2 7" xfId="4673" xr:uid="{00000000-0005-0000-0000-0000A0100000}"/>
    <cellStyle name="Normal 4 3 2 2 5 3" xfId="4674" xr:uid="{00000000-0005-0000-0000-0000A1100000}"/>
    <cellStyle name="Normal 4 3 2 2 5 3 2" xfId="4675" xr:uid="{00000000-0005-0000-0000-0000A2100000}"/>
    <cellStyle name="Normal 4 3 2 2 5 3 2 2" xfId="4676" xr:uid="{00000000-0005-0000-0000-0000A3100000}"/>
    <cellStyle name="Normal 4 3 2 2 5 3 2 3" xfId="4677" xr:uid="{00000000-0005-0000-0000-0000A4100000}"/>
    <cellStyle name="Normal 4 3 2 2 5 3 3" xfId="4678" xr:uid="{00000000-0005-0000-0000-0000A5100000}"/>
    <cellStyle name="Normal 4 3 2 2 5 3 4" xfId="4679" xr:uid="{00000000-0005-0000-0000-0000A6100000}"/>
    <cellStyle name="Normal 4 3 2 2 5 3 5" xfId="4680" xr:uid="{00000000-0005-0000-0000-0000A7100000}"/>
    <cellStyle name="Normal 4 3 2 2 5 4" xfId="4681" xr:uid="{00000000-0005-0000-0000-0000A8100000}"/>
    <cellStyle name="Normal 4 3 2 2 5 4 2" xfId="4682" xr:uid="{00000000-0005-0000-0000-0000A9100000}"/>
    <cellStyle name="Normal 4 3 2 2 5 4 2 2" xfId="4683" xr:uid="{00000000-0005-0000-0000-0000AA100000}"/>
    <cellStyle name="Normal 4 3 2 2 5 4 2 3" xfId="4684" xr:uid="{00000000-0005-0000-0000-0000AB100000}"/>
    <cellStyle name="Normal 4 3 2 2 5 4 3" xfId="4685" xr:uid="{00000000-0005-0000-0000-0000AC100000}"/>
    <cellStyle name="Normal 4 3 2 2 5 4 4" xfId="4686" xr:uid="{00000000-0005-0000-0000-0000AD100000}"/>
    <cellStyle name="Normal 4 3 2 2 5 4 5" xfId="4687" xr:uid="{00000000-0005-0000-0000-0000AE100000}"/>
    <cellStyle name="Normal 4 3 2 2 5 5" xfId="4688" xr:uid="{00000000-0005-0000-0000-0000AF100000}"/>
    <cellStyle name="Normal 4 3 2 2 5 5 2" xfId="4689" xr:uid="{00000000-0005-0000-0000-0000B0100000}"/>
    <cellStyle name="Normal 4 3 2 2 5 5 3" xfId="4690" xr:uid="{00000000-0005-0000-0000-0000B1100000}"/>
    <cellStyle name="Normal 4 3 2 2 5 6" xfId="4691" xr:uid="{00000000-0005-0000-0000-0000B2100000}"/>
    <cellStyle name="Normal 4 3 2 2 5 7" xfId="4692" xr:uid="{00000000-0005-0000-0000-0000B3100000}"/>
    <cellStyle name="Normal 4 3 2 2 5 8" xfId="4693" xr:uid="{00000000-0005-0000-0000-0000B4100000}"/>
    <cellStyle name="Normal 4 3 2 2 6" xfId="4694" xr:uid="{00000000-0005-0000-0000-0000B5100000}"/>
    <cellStyle name="Normal 4 3 2 2 6 2" xfId="4695" xr:uid="{00000000-0005-0000-0000-0000B6100000}"/>
    <cellStyle name="Normal 4 3 2 2 6 2 2" xfId="4696" xr:uid="{00000000-0005-0000-0000-0000B7100000}"/>
    <cellStyle name="Normal 4 3 2 2 6 2 2 2" xfId="4697" xr:uid="{00000000-0005-0000-0000-0000B8100000}"/>
    <cellStyle name="Normal 4 3 2 2 6 2 2 3" xfId="4698" xr:uid="{00000000-0005-0000-0000-0000B9100000}"/>
    <cellStyle name="Normal 4 3 2 2 6 2 3" xfId="4699" xr:uid="{00000000-0005-0000-0000-0000BA100000}"/>
    <cellStyle name="Normal 4 3 2 2 6 2 4" xfId="4700" xr:uid="{00000000-0005-0000-0000-0000BB100000}"/>
    <cellStyle name="Normal 4 3 2 2 6 2 5" xfId="4701" xr:uid="{00000000-0005-0000-0000-0000BC100000}"/>
    <cellStyle name="Normal 4 3 2 2 6 3" xfId="4702" xr:uid="{00000000-0005-0000-0000-0000BD100000}"/>
    <cellStyle name="Normal 4 3 2 2 6 3 2" xfId="4703" xr:uid="{00000000-0005-0000-0000-0000BE100000}"/>
    <cellStyle name="Normal 4 3 2 2 6 3 2 2" xfId="4704" xr:uid="{00000000-0005-0000-0000-0000BF100000}"/>
    <cellStyle name="Normal 4 3 2 2 6 3 2 3" xfId="4705" xr:uid="{00000000-0005-0000-0000-0000C0100000}"/>
    <cellStyle name="Normal 4 3 2 2 6 3 3" xfId="4706" xr:uid="{00000000-0005-0000-0000-0000C1100000}"/>
    <cellStyle name="Normal 4 3 2 2 6 3 4" xfId="4707" xr:uid="{00000000-0005-0000-0000-0000C2100000}"/>
    <cellStyle name="Normal 4 3 2 2 6 3 5" xfId="4708" xr:uid="{00000000-0005-0000-0000-0000C3100000}"/>
    <cellStyle name="Normal 4 3 2 2 6 4" xfId="4709" xr:uid="{00000000-0005-0000-0000-0000C4100000}"/>
    <cellStyle name="Normal 4 3 2 2 6 4 2" xfId="4710" xr:uid="{00000000-0005-0000-0000-0000C5100000}"/>
    <cellStyle name="Normal 4 3 2 2 6 4 3" xfId="4711" xr:uid="{00000000-0005-0000-0000-0000C6100000}"/>
    <cellStyle name="Normal 4 3 2 2 6 5" xfId="4712" xr:uid="{00000000-0005-0000-0000-0000C7100000}"/>
    <cellStyle name="Normal 4 3 2 2 6 6" xfId="4713" xr:uid="{00000000-0005-0000-0000-0000C8100000}"/>
    <cellStyle name="Normal 4 3 2 2 6 7" xfId="4714" xr:uid="{00000000-0005-0000-0000-0000C9100000}"/>
    <cellStyle name="Normal 4 3 2 2 7" xfId="4715" xr:uid="{00000000-0005-0000-0000-0000CA100000}"/>
    <cellStyle name="Normal 4 3 2 2 7 2" xfId="4716" xr:uid="{00000000-0005-0000-0000-0000CB100000}"/>
    <cellStyle name="Normal 4 3 2 2 7 2 2" xfId="4717" xr:uid="{00000000-0005-0000-0000-0000CC100000}"/>
    <cellStyle name="Normal 4 3 2 2 7 2 2 2" xfId="4718" xr:uid="{00000000-0005-0000-0000-0000CD100000}"/>
    <cellStyle name="Normal 4 3 2 2 7 2 2 3" xfId="4719" xr:uid="{00000000-0005-0000-0000-0000CE100000}"/>
    <cellStyle name="Normal 4 3 2 2 7 2 3" xfId="4720" xr:uid="{00000000-0005-0000-0000-0000CF100000}"/>
    <cellStyle name="Normal 4 3 2 2 7 2 4" xfId="4721" xr:uid="{00000000-0005-0000-0000-0000D0100000}"/>
    <cellStyle name="Normal 4 3 2 2 7 2 5" xfId="4722" xr:uid="{00000000-0005-0000-0000-0000D1100000}"/>
    <cellStyle name="Normal 4 3 2 2 7 3" xfId="4723" xr:uid="{00000000-0005-0000-0000-0000D2100000}"/>
    <cellStyle name="Normal 4 3 2 2 7 3 2" xfId="4724" xr:uid="{00000000-0005-0000-0000-0000D3100000}"/>
    <cellStyle name="Normal 4 3 2 2 7 3 2 2" xfId="4725" xr:uid="{00000000-0005-0000-0000-0000D4100000}"/>
    <cellStyle name="Normal 4 3 2 2 7 3 2 3" xfId="4726" xr:uid="{00000000-0005-0000-0000-0000D5100000}"/>
    <cellStyle name="Normal 4 3 2 2 7 3 3" xfId="4727" xr:uid="{00000000-0005-0000-0000-0000D6100000}"/>
    <cellStyle name="Normal 4 3 2 2 7 3 4" xfId="4728" xr:uid="{00000000-0005-0000-0000-0000D7100000}"/>
    <cellStyle name="Normal 4 3 2 2 7 3 5" xfId="4729" xr:uid="{00000000-0005-0000-0000-0000D8100000}"/>
    <cellStyle name="Normal 4 3 2 2 7 4" xfId="4730" xr:uid="{00000000-0005-0000-0000-0000D9100000}"/>
    <cellStyle name="Normal 4 3 2 2 7 4 2" xfId="4731" xr:uid="{00000000-0005-0000-0000-0000DA100000}"/>
    <cellStyle name="Normal 4 3 2 2 7 4 3" xfId="4732" xr:uid="{00000000-0005-0000-0000-0000DB100000}"/>
    <cellStyle name="Normal 4 3 2 2 7 5" xfId="4733" xr:uid="{00000000-0005-0000-0000-0000DC100000}"/>
    <cellStyle name="Normal 4 3 2 2 7 6" xfId="4734" xr:uid="{00000000-0005-0000-0000-0000DD100000}"/>
    <cellStyle name="Normal 4 3 2 2 7 7" xfId="4735" xr:uid="{00000000-0005-0000-0000-0000DE100000}"/>
    <cellStyle name="Normal 4 3 2 2 8" xfId="4736" xr:uid="{00000000-0005-0000-0000-0000DF100000}"/>
    <cellStyle name="Normal 4 3 2 2 8 2" xfId="4737" xr:uid="{00000000-0005-0000-0000-0000E0100000}"/>
    <cellStyle name="Normal 4 3 2 2 8 2 2" xfId="4738" xr:uid="{00000000-0005-0000-0000-0000E1100000}"/>
    <cellStyle name="Normal 4 3 2 2 8 2 3" xfId="4739" xr:uid="{00000000-0005-0000-0000-0000E2100000}"/>
    <cellStyle name="Normal 4 3 2 2 8 3" xfId="4740" xr:uid="{00000000-0005-0000-0000-0000E3100000}"/>
    <cellStyle name="Normal 4 3 2 2 8 4" xfId="4741" xr:uid="{00000000-0005-0000-0000-0000E4100000}"/>
    <cellStyle name="Normal 4 3 2 2 8 5" xfId="4742" xr:uid="{00000000-0005-0000-0000-0000E5100000}"/>
    <cellStyle name="Normal 4 3 2 2 9" xfId="4743" xr:uid="{00000000-0005-0000-0000-0000E6100000}"/>
    <cellStyle name="Normal 4 3 2 2 9 2" xfId="4744" xr:uid="{00000000-0005-0000-0000-0000E7100000}"/>
    <cellStyle name="Normal 4 3 2 2 9 2 2" xfId="4745" xr:uid="{00000000-0005-0000-0000-0000E8100000}"/>
    <cellStyle name="Normal 4 3 2 2 9 2 3" xfId="4746" xr:uid="{00000000-0005-0000-0000-0000E9100000}"/>
    <cellStyle name="Normal 4 3 2 2 9 3" xfId="4747" xr:uid="{00000000-0005-0000-0000-0000EA100000}"/>
    <cellStyle name="Normal 4 3 2 2 9 4" xfId="4748" xr:uid="{00000000-0005-0000-0000-0000EB100000}"/>
    <cellStyle name="Normal 4 3 2 2 9 5" xfId="4749" xr:uid="{00000000-0005-0000-0000-0000EC100000}"/>
    <cellStyle name="Normal 4 3 2 3" xfId="4750" xr:uid="{00000000-0005-0000-0000-0000ED100000}"/>
    <cellStyle name="Normal 4 3 2 3 2" xfId="4751" xr:uid="{00000000-0005-0000-0000-0000EE100000}"/>
    <cellStyle name="Normal 4 3 2 3 2 2" xfId="4752" xr:uid="{00000000-0005-0000-0000-0000EF100000}"/>
    <cellStyle name="Normal 4 3 2 3 2 2 2" xfId="4753" xr:uid="{00000000-0005-0000-0000-0000F0100000}"/>
    <cellStyle name="Normal 4 3 2 3 2 2 2 2" xfId="4754" xr:uid="{00000000-0005-0000-0000-0000F1100000}"/>
    <cellStyle name="Normal 4 3 2 3 2 2 2 2 2" xfId="4755" xr:uid="{00000000-0005-0000-0000-0000F2100000}"/>
    <cellStyle name="Normal 4 3 2 3 2 2 2 2 3" xfId="4756" xr:uid="{00000000-0005-0000-0000-0000F3100000}"/>
    <cellStyle name="Normal 4 3 2 3 2 2 2 3" xfId="4757" xr:uid="{00000000-0005-0000-0000-0000F4100000}"/>
    <cellStyle name="Normal 4 3 2 3 2 2 2 4" xfId="4758" xr:uid="{00000000-0005-0000-0000-0000F5100000}"/>
    <cellStyle name="Normal 4 3 2 3 2 2 2 5" xfId="4759" xr:uid="{00000000-0005-0000-0000-0000F6100000}"/>
    <cellStyle name="Normal 4 3 2 3 2 2 3" xfId="4760" xr:uid="{00000000-0005-0000-0000-0000F7100000}"/>
    <cellStyle name="Normal 4 3 2 3 2 2 3 2" xfId="4761" xr:uid="{00000000-0005-0000-0000-0000F8100000}"/>
    <cellStyle name="Normal 4 3 2 3 2 2 3 2 2" xfId="4762" xr:uid="{00000000-0005-0000-0000-0000F9100000}"/>
    <cellStyle name="Normal 4 3 2 3 2 2 3 2 3" xfId="4763" xr:uid="{00000000-0005-0000-0000-0000FA100000}"/>
    <cellStyle name="Normal 4 3 2 3 2 2 3 3" xfId="4764" xr:uid="{00000000-0005-0000-0000-0000FB100000}"/>
    <cellStyle name="Normal 4 3 2 3 2 2 3 4" xfId="4765" xr:uid="{00000000-0005-0000-0000-0000FC100000}"/>
    <cellStyle name="Normal 4 3 2 3 2 2 3 5" xfId="4766" xr:uid="{00000000-0005-0000-0000-0000FD100000}"/>
    <cellStyle name="Normal 4 3 2 3 2 2 4" xfId="4767" xr:uid="{00000000-0005-0000-0000-0000FE100000}"/>
    <cellStyle name="Normal 4 3 2 3 2 2 4 2" xfId="4768" xr:uid="{00000000-0005-0000-0000-0000FF100000}"/>
    <cellStyle name="Normal 4 3 2 3 2 2 4 3" xfId="4769" xr:uid="{00000000-0005-0000-0000-000000110000}"/>
    <cellStyle name="Normal 4 3 2 3 2 2 5" xfId="4770" xr:uid="{00000000-0005-0000-0000-000001110000}"/>
    <cellStyle name="Normal 4 3 2 3 2 2 6" xfId="4771" xr:uid="{00000000-0005-0000-0000-000002110000}"/>
    <cellStyle name="Normal 4 3 2 3 2 2 7" xfId="4772" xr:uid="{00000000-0005-0000-0000-000003110000}"/>
    <cellStyle name="Normal 4 3 2 3 2 3" xfId="4773" xr:uid="{00000000-0005-0000-0000-000004110000}"/>
    <cellStyle name="Normal 4 3 2 3 2 3 2" xfId="4774" xr:uid="{00000000-0005-0000-0000-000005110000}"/>
    <cellStyle name="Normal 4 3 2 3 2 3 2 2" xfId="4775" xr:uid="{00000000-0005-0000-0000-000006110000}"/>
    <cellStyle name="Normal 4 3 2 3 2 3 2 3" xfId="4776" xr:uid="{00000000-0005-0000-0000-000007110000}"/>
    <cellStyle name="Normal 4 3 2 3 2 3 3" xfId="4777" xr:uid="{00000000-0005-0000-0000-000008110000}"/>
    <cellStyle name="Normal 4 3 2 3 2 3 4" xfId="4778" xr:uid="{00000000-0005-0000-0000-000009110000}"/>
    <cellStyle name="Normal 4 3 2 3 2 3 5" xfId="4779" xr:uid="{00000000-0005-0000-0000-00000A110000}"/>
    <cellStyle name="Normal 4 3 2 3 2 4" xfId="4780" xr:uid="{00000000-0005-0000-0000-00000B110000}"/>
    <cellStyle name="Normal 4 3 2 3 2 4 2" xfId="4781" xr:uid="{00000000-0005-0000-0000-00000C110000}"/>
    <cellStyle name="Normal 4 3 2 3 2 4 2 2" xfId="4782" xr:uid="{00000000-0005-0000-0000-00000D110000}"/>
    <cellStyle name="Normal 4 3 2 3 2 4 2 3" xfId="4783" xr:uid="{00000000-0005-0000-0000-00000E110000}"/>
    <cellStyle name="Normal 4 3 2 3 2 4 3" xfId="4784" xr:uid="{00000000-0005-0000-0000-00000F110000}"/>
    <cellStyle name="Normal 4 3 2 3 2 4 4" xfId="4785" xr:uid="{00000000-0005-0000-0000-000010110000}"/>
    <cellStyle name="Normal 4 3 2 3 2 4 5" xfId="4786" xr:uid="{00000000-0005-0000-0000-000011110000}"/>
    <cellStyle name="Normal 4 3 2 3 2 5" xfId="4787" xr:uid="{00000000-0005-0000-0000-000012110000}"/>
    <cellStyle name="Normal 4 3 2 3 2 5 2" xfId="4788" xr:uid="{00000000-0005-0000-0000-000013110000}"/>
    <cellStyle name="Normal 4 3 2 3 2 5 3" xfId="4789" xr:uid="{00000000-0005-0000-0000-000014110000}"/>
    <cellStyle name="Normal 4 3 2 3 2 6" xfId="4790" xr:uid="{00000000-0005-0000-0000-000015110000}"/>
    <cellStyle name="Normal 4 3 2 3 2 7" xfId="4791" xr:uid="{00000000-0005-0000-0000-000016110000}"/>
    <cellStyle name="Normal 4 3 2 3 2 8" xfId="4792" xr:uid="{00000000-0005-0000-0000-000017110000}"/>
    <cellStyle name="Normal 4 3 2 3 3" xfId="4793" xr:uid="{00000000-0005-0000-0000-000018110000}"/>
    <cellStyle name="Normal 4 3 2 3 3 2" xfId="4794" xr:uid="{00000000-0005-0000-0000-000019110000}"/>
    <cellStyle name="Normal 4 3 2 3 3 2 2" xfId="4795" xr:uid="{00000000-0005-0000-0000-00001A110000}"/>
    <cellStyle name="Normal 4 3 2 3 3 2 2 2" xfId="4796" xr:uid="{00000000-0005-0000-0000-00001B110000}"/>
    <cellStyle name="Normal 4 3 2 3 3 2 2 3" xfId="4797" xr:uid="{00000000-0005-0000-0000-00001C110000}"/>
    <cellStyle name="Normal 4 3 2 3 3 2 3" xfId="4798" xr:uid="{00000000-0005-0000-0000-00001D110000}"/>
    <cellStyle name="Normal 4 3 2 3 3 2 4" xfId="4799" xr:uid="{00000000-0005-0000-0000-00001E110000}"/>
    <cellStyle name="Normal 4 3 2 3 3 2 5" xfId="4800" xr:uid="{00000000-0005-0000-0000-00001F110000}"/>
    <cellStyle name="Normal 4 3 2 3 3 3" xfId="4801" xr:uid="{00000000-0005-0000-0000-000020110000}"/>
    <cellStyle name="Normal 4 3 2 3 3 3 2" xfId="4802" xr:uid="{00000000-0005-0000-0000-000021110000}"/>
    <cellStyle name="Normal 4 3 2 3 3 3 2 2" xfId="4803" xr:uid="{00000000-0005-0000-0000-000022110000}"/>
    <cellStyle name="Normal 4 3 2 3 3 3 2 3" xfId="4804" xr:uid="{00000000-0005-0000-0000-000023110000}"/>
    <cellStyle name="Normal 4 3 2 3 3 3 3" xfId="4805" xr:uid="{00000000-0005-0000-0000-000024110000}"/>
    <cellStyle name="Normal 4 3 2 3 3 3 4" xfId="4806" xr:uid="{00000000-0005-0000-0000-000025110000}"/>
    <cellStyle name="Normal 4 3 2 3 3 3 5" xfId="4807" xr:uid="{00000000-0005-0000-0000-000026110000}"/>
    <cellStyle name="Normal 4 3 2 3 3 4" xfId="4808" xr:uid="{00000000-0005-0000-0000-000027110000}"/>
    <cellStyle name="Normal 4 3 2 3 3 4 2" xfId="4809" xr:uid="{00000000-0005-0000-0000-000028110000}"/>
    <cellStyle name="Normal 4 3 2 3 3 4 3" xfId="4810" xr:uid="{00000000-0005-0000-0000-000029110000}"/>
    <cellStyle name="Normal 4 3 2 3 3 5" xfId="4811" xr:uid="{00000000-0005-0000-0000-00002A110000}"/>
    <cellStyle name="Normal 4 3 2 3 3 6" xfId="4812" xr:uid="{00000000-0005-0000-0000-00002B110000}"/>
    <cellStyle name="Normal 4 3 2 3 3 7" xfId="4813" xr:uid="{00000000-0005-0000-0000-00002C110000}"/>
    <cellStyle name="Normal 4 3 2 3 4" xfId="4814" xr:uid="{00000000-0005-0000-0000-00002D110000}"/>
    <cellStyle name="Normal 4 3 2 3 4 2" xfId="4815" xr:uid="{00000000-0005-0000-0000-00002E110000}"/>
    <cellStyle name="Normal 4 3 2 3 4 2 2" xfId="4816" xr:uid="{00000000-0005-0000-0000-00002F110000}"/>
    <cellStyle name="Normal 4 3 2 3 4 2 3" xfId="4817" xr:uid="{00000000-0005-0000-0000-000030110000}"/>
    <cellStyle name="Normal 4 3 2 3 4 3" xfId="4818" xr:uid="{00000000-0005-0000-0000-000031110000}"/>
    <cellStyle name="Normal 4 3 2 3 4 4" xfId="4819" xr:uid="{00000000-0005-0000-0000-000032110000}"/>
    <cellStyle name="Normal 4 3 2 3 4 5" xfId="4820" xr:uid="{00000000-0005-0000-0000-000033110000}"/>
    <cellStyle name="Normal 4 3 2 3 5" xfId="4821" xr:uid="{00000000-0005-0000-0000-000034110000}"/>
    <cellStyle name="Normal 4 3 2 3 5 2" xfId="4822" xr:uid="{00000000-0005-0000-0000-000035110000}"/>
    <cellStyle name="Normal 4 3 2 3 5 2 2" xfId="4823" xr:uid="{00000000-0005-0000-0000-000036110000}"/>
    <cellStyle name="Normal 4 3 2 3 5 2 3" xfId="4824" xr:uid="{00000000-0005-0000-0000-000037110000}"/>
    <cellStyle name="Normal 4 3 2 3 5 3" xfId="4825" xr:uid="{00000000-0005-0000-0000-000038110000}"/>
    <cellStyle name="Normal 4 3 2 3 5 4" xfId="4826" xr:uid="{00000000-0005-0000-0000-000039110000}"/>
    <cellStyle name="Normal 4 3 2 3 5 5" xfId="4827" xr:uid="{00000000-0005-0000-0000-00003A110000}"/>
    <cellStyle name="Normal 4 3 2 3 6" xfId="4828" xr:uid="{00000000-0005-0000-0000-00003B110000}"/>
    <cellStyle name="Normal 4 3 2 3 6 2" xfId="4829" xr:uid="{00000000-0005-0000-0000-00003C110000}"/>
    <cellStyle name="Normal 4 3 2 3 6 3" xfId="4830" xr:uid="{00000000-0005-0000-0000-00003D110000}"/>
    <cellStyle name="Normal 4 3 2 3 7" xfId="4831" xr:uid="{00000000-0005-0000-0000-00003E110000}"/>
    <cellStyle name="Normal 4 3 2 3 8" xfId="4832" xr:uid="{00000000-0005-0000-0000-00003F110000}"/>
    <cellStyle name="Normal 4 3 2 3 9" xfId="4833" xr:uid="{00000000-0005-0000-0000-000040110000}"/>
    <cellStyle name="Normal 4 3 2 4" xfId="4834" xr:uid="{00000000-0005-0000-0000-000041110000}"/>
    <cellStyle name="Normal 4 3 2 4 2" xfId="4835" xr:uid="{00000000-0005-0000-0000-000042110000}"/>
    <cellStyle name="Normal 4 3 2 4 2 2" xfId="4836" xr:uid="{00000000-0005-0000-0000-000043110000}"/>
    <cellStyle name="Normal 4 3 2 4 2 2 2" xfId="4837" xr:uid="{00000000-0005-0000-0000-000044110000}"/>
    <cellStyle name="Normal 4 3 2 4 2 2 2 2" xfId="4838" xr:uid="{00000000-0005-0000-0000-000045110000}"/>
    <cellStyle name="Normal 4 3 2 4 2 2 2 2 2" xfId="4839" xr:uid="{00000000-0005-0000-0000-000046110000}"/>
    <cellStyle name="Normal 4 3 2 4 2 2 2 2 3" xfId="4840" xr:uid="{00000000-0005-0000-0000-000047110000}"/>
    <cellStyle name="Normal 4 3 2 4 2 2 2 3" xfId="4841" xr:uid="{00000000-0005-0000-0000-000048110000}"/>
    <cellStyle name="Normal 4 3 2 4 2 2 2 4" xfId="4842" xr:uid="{00000000-0005-0000-0000-000049110000}"/>
    <cellStyle name="Normal 4 3 2 4 2 2 2 5" xfId="4843" xr:uid="{00000000-0005-0000-0000-00004A110000}"/>
    <cellStyle name="Normal 4 3 2 4 2 2 3" xfId="4844" xr:uid="{00000000-0005-0000-0000-00004B110000}"/>
    <cellStyle name="Normal 4 3 2 4 2 2 3 2" xfId="4845" xr:uid="{00000000-0005-0000-0000-00004C110000}"/>
    <cellStyle name="Normal 4 3 2 4 2 2 3 2 2" xfId="4846" xr:uid="{00000000-0005-0000-0000-00004D110000}"/>
    <cellStyle name="Normal 4 3 2 4 2 2 3 2 3" xfId="4847" xr:uid="{00000000-0005-0000-0000-00004E110000}"/>
    <cellStyle name="Normal 4 3 2 4 2 2 3 3" xfId="4848" xr:uid="{00000000-0005-0000-0000-00004F110000}"/>
    <cellStyle name="Normal 4 3 2 4 2 2 3 4" xfId="4849" xr:uid="{00000000-0005-0000-0000-000050110000}"/>
    <cellStyle name="Normal 4 3 2 4 2 2 3 5" xfId="4850" xr:uid="{00000000-0005-0000-0000-000051110000}"/>
    <cellStyle name="Normal 4 3 2 4 2 2 4" xfId="4851" xr:uid="{00000000-0005-0000-0000-000052110000}"/>
    <cellStyle name="Normal 4 3 2 4 2 2 4 2" xfId="4852" xr:uid="{00000000-0005-0000-0000-000053110000}"/>
    <cellStyle name="Normal 4 3 2 4 2 2 4 3" xfId="4853" xr:uid="{00000000-0005-0000-0000-000054110000}"/>
    <cellStyle name="Normal 4 3 2 4 2 2 5" xfId="4854" xr:uid="{00000000-0005-0000-0000-000055110000}"/>
    <cellStyle name="Normal 4 3 2 4 2 2 6" xfId="4855" xr:uid="{00000000-0005-0000-0000-000056110000}"/>
    <cellStyle name="Normal 4 3 2 4 2 2 7" xfId="4856" xr:uid="{00000000-0005-0000-0000-000057110000}"/>
    <cellStyle name="Normal 4 3 2 4 2 3" xfId="4857" xr:uid="{00000000-0005-0000-0000-000058110000}"/>
    <cellStyle name="Normal 4 3 2 4 2 3 2" xfId="4858" xr:uid="{00000000-0005-0000-0000-000059110000}"/>
    <cellStyle name="Normal 4 3 2 4 2 3 2 2" xfId="4859" xr:uid="{00000000-0005-0000-0000-00005A110000}"/>
    <cellStyle name="Normal 4 3 2 4 2 3 2 3" xfId="4860" xr:uid="{00000000-0005-0000-0000-00005B110000}"/>
    <cellStyle name="Normal 4 3 2 4 2 3 3" xfId="4861" xr:uid="{00000000-0005-0000-0000-00005C110000}"/>
    <cellStyle name="Normal 4 3 2 4 2 3 4" xfId="4862" xr:uid="{00000000-0005-0000-0000-00005D110000}"/>
    <cellStyle name="Normal 4 3 2 4 2 3 5" xfId="4863" xr:uid="{00000000-0005-0000-0000-00005E110000}"/>
    <cellStyle name="Normal 4 3 2 4 2 4" xfId="4864" xr:uid="{00000000-0005-0000-0000-00005F110000}"/>
    <cellStyle name="Normal 4 3 2 4 2 4 2" xfId="4865" xr:uid="{00000000-0005-0000-0000-000060110000}"/>
    <cellStyle name="Normal 4 3 2 4 2 4 2 2" xfId="4866" xr:uid="{00000000-0005-0000-0000-000061110000}"/>
    <cellStyle name="Normal 4 3 2 4 2 4 2 3" xfId="4867" xr:uid="{00000000-0005-0000-0000-000062110000}"/>
    <cellStyle name="Normal 4 3 2 4 2 4 3" xfId="4868" xr:uid="{00000000-0005-0000-0000-000063110000}"/>
    <cellStyle name="Normal 4 3 2 4 2 4 4" xfId="4869" xr:uid="{00000000-0005-0000-0000-000064110000}"/>
    <cellStyle name="Normal 4 3 2 4 2 4 5" xfId="4870" xr:uid="{00000000-0005-0000-0000-000065110000}"/>
    <cellStyle name="Normal 4 3 2 4 2 5" xfId="4871" xr:uid="{00000000-0005-0000-0000-000066110000}"/>
    <cellStyle name="Normal 4 3 2 4 2 5 2" xfId="4872" xr:uid="{00000000-0005-0000-0000-000067110000}"/>
    <cellStyle name="Normal 4 3 2 4 2 5 3" xfId="4873" xr:uid="{00000000-0005-0000-0000-000068110000}"/>
    <cellStyle name="Normal 4 3 2 4 2 6" xfId="4874" xr:uid="{00000000-0005-0000-0000-000069110000}"/>
    <cellStyle name="Normal 4 3 2 4 2 7" xfId="4875" xr:uid="{00000000-0005-0000-0000-00006A110000}"/>
    <cellStyle name="Normal 4 3 2 4 2 8" xfId="4876" xr:uid="{00000000-0005-0000-0000-00006B110000}"/>
    <cellStyle name="Normal 4 3 2 4 3" xfId="4877" xr:uid="{00000000-0005-0000-0000-00006C110000}"/>
    <cellStyle name="Normal 4 3 2 4 3 2" xfId="4878" xr:uid="{00000000-0005-0000-0000-00006D110000}"/>
    <cellStyle name="Normal 4 3 2 4 3 2 2" xfId="4879" xr:uid="{00000000-0005-0000-0000-00006E110000}"/>
    <cellStyle name="Normal 4 3 2 4 3 2 2 2" xfId="4880" xr:uid="{00000000-0005-0000-0000-00006F110000}"/>
    <cellStyle name="Normal 4 3 2 4 3 2 2 3" xfId="4881" xr:uid="{00000000-0005-0000-0000-000070110000}"/>
    <cellStyle name="Normal 4 3 2 4 3 2 3" xfId="4882" xr:uid="{00000000-0005-0000-0000-000071110000}"/>
    <cellStyle name="Normal 4 3 2 4 3 2 4" xfId="4883" xr:uid="{00000000-0005-0000-0000-000072110000}"/>
    <cellStyle name="Normal 4 3 2 4 3 2 5" xfId="4884" xr:uid="{00000000-0005-0000-0000-000073110000}"/>
    <cellStyle name="Normal 4 3 2 4 3 3" xfId="4885" xr:uid="{00000000-0005-0000-0000-000074110000}"/>
    <cellStyle name="Normal 4 3 2 4 3 3 2" xfId="4886" xr:uid="{00000000-0005-0000-0000-000075110000}"/>
    <cellStyle name="Normal 4 3 2 4 3 3 2 2" xfId="4887" xr:uid="{00000000-0005-0000-0000-000076110000}"/>
    <cellStyle name="Normal 4 3 2 4 3 3 2 3" xfId="4888" xr:uid="{00000000-0005-0000-0000-000077110000}"/>
    <cellStyle name="Normal 4 3 2 4 3 3 3" xfId="4889" xr:uid="{00000000-0005-0000-0000-000078110000}"/>
    <cellStyle name="Normal 4 3 2 4 3 3 4" xfId="4890" xr:uid="{00000000-0005-0000-0000-000079110000}"/>
    <cellStyle name="Normal 4 3 2 4 3 3 5" xfId="4891" xr:uid="{00000000-0005-0000-0000-00007A110000}"/>
    <cellStyle name="Normal 4 3 2 4 3 4" xfId="4892" xr:uid="{00000000-0005-0000-0000-00007B110000}"/>
    <cellStyle name="Normal 4 3 2 4 3 4 2" xfId="4893" xr:uid="{00000000-0005-0000-0000-00007C110000}"/>
    <cellStyle name="Normal 4 3 2 4 3 4 3" xfId="4894" xr:uid="{00000000-0005-0000-0000-00007D110000}"/>
    <cellStyle name="Normal 4 3 2 4 3 5" xfId="4895" xr:uid="{00000000-0005-0000-0000-00007E110000}"/>
    <cellStyle name="Normal 4 3 2 4 3 6" xfId="4896" xr:uid="{00000000-0005-0000-0000-00007F110000}"/>
    <cellStyle name="Normal 4 3 2 4 3 7" xfId="4897" xr:uid="{00000000-0005-0000-0000-000080110000}"/>
    <cellStyle name="Normal 4 3 2 4 4" xfId="4898" xr:uid="{00000000-0005-0000-0000-000081110000}"/>
    <cellStyle name="Normal 4 3 2 4 4 2" xfId="4899" xr:uid="{00000000-0005-0000-0000-000082110000}"/>
    <cellStyle name="Normal 4 3 2 4 4 2 2" xfId="4900" xr:uid="{00000000-0005-0000-0000-000083110000}"/>
    <cellStyle name="Normal 4 3 2 4 4 2 3" xfId="4901" xr:uid="{00000000-0005-0000-0000-000084110000}"/>
    <cellStyle name="Normal 4 3 2 4 4 3" xfId="4902" xr:uid="{00000000-0005-0000-0000-000085110000}"/>
    <cellStyle name="Normal 4 3 2 4 4 4" xfId="4903" xr:uid="{00000000-0005-0000-0000-000086110000}"/>
    <cellStyle name="Normal 4 3 2 4 4 5" xfId="4904" xr:uid="{00000000-0005-0000-0000-000087110000}"/>
    <cellStyle name="Normal 4 3 2 4 5" xfId="4905" xr:uid="{00000000-0005-0000-0000-000088110000}"/>
    <cellStyle name="Normal 4 3 2 4 5 2" xfId="4906" xr:uid="{00000000-0005-0000-0000-000089110000}"/>
    <cellStyle name="Normal 4 3 2 4 5 2 2" xfId="4907" xr:uid="{00000000-0005-0000-0000-00008A110000}"/>
    <cellStyle name="Normal 4 3 2 4 5 2 3" xfId="4908" xr:uid="{00000000-0005-0000-0000-00008B110000}"/>
    <cellStyle name="Normal 4 3 2 4 5 3" xfId="4909" xr:uid="{00000000-0005-0000-0000-00008C110000}"/>
    <cellStyle name="Normal 4 3 2 4 5 4" xfId="4910" xr:uid="{00000000-0005-0000-0000-00008D110000}"/>
    <cellStyle name="Normal 4 3 2 4 5 5" xfId="4911" xr:uid="{00000000-0005-0000-0000-00008E110000}"/>
    <cellStyle name="Normal 4 3 2 4 6" xfId="4912" xr:uid="{00000000-0005-0000-0000-00008F110000}"/>
    <cellStyle name="Normal 4 3 2 4 6 2" xfId="4913" xr:uid="{00000000-0005-0000-0000-000090110000}"/>
    <cellStyle name="Normal 4 3 2 4 6 3" xfId="4914" xr:uid="{00000000-0005-0000-0000-000091110000}"/>
    <cellStyle name="Normal 4 3 2 4 7" xfId="4915" xr:uid="{00000000-0005-0000-0000-000092110000}"/>
    <cellStyle name="Normal 4 3 2 4 8" xfId="4916" xr:uid="{00000000-0005-0000-0000-000093110000}"/>
    <cellStyle name="Normal 4 3 2 4 9" xfId="4917" xr:uid="{00000000-0005-0000-0000-000094110000}"/>
    <cellStyle name="Normal 4 3 2 5" xfId="4918" xr:uid="{00000000-0005-0000-0000-000095110000}"/>
    <cellStyle name="Normal 4 3 2 5 2" xfId="4919" xr:uid="{00000000-0005-0000-0000-000096110000}"/>
    <cellStyle name="Normal 4 3 2 5 2 2" xfId="4920" xr:uid="{00000000-0005-0000-0000-000097110000}"/>
    <cellStyle name="Normal 4 3 2 5 2 2 2" xfId="4921" xr:uid="{00000000-0005-0000-0000-000098110000}"/>
    <cellStyle name="Normal 4 3 2 5 2 2 2 2" xfId="4922" xr:uid="{00000000-0005-0000-0000-000099110000}"/>
    <cellStyle name="Normal 4 3 2 5 2 2 2 2 2" xfId="4923" xr:uid="{00000000-0005-0000-0000-00009A110000}"/>
    <cellStyle name="Normal 4 3 2 5 2 2 2 2 3" xfId="4924" xr:uid="{00000000-0005-0000-0000-00009B110000}"/>
    <cellStyle name="Normal 4 3 2 5 2 2 2 3" xfId="4925" xr:uid="{00000000-0005-0000-0000-00009C110000}"/>
    <cellStyle name="Normal 4 3 2 5 2 2 2 4" xfId="4926" xr:uid="{00000000-0005-0000-0000-00009D110000}"/>
    <cellStyle name="Normal 4 3 2 5 2 2 2 5" xfId="4927" xr:uid="{00000000-0005-0000-0000-00009E110000}"/>
    <cellStyle name="Normal 4 3 2 5 2 2 3" xfId="4928" xr:uid="{00000000-0005-0000-0000-00009F110000}"/>
    <cellStyle name="Normal 4 3 2 5 2 2 3 2" xfId="4929" xr:uid="{00000000-0005-0000-0000-0000A0110000}"/>
    <cellStyle name="Normal 4 3 2 5 2 2 3 2 2" xfId="4930" xr:uid="{00000000-0005-0000-0000-0000A1110000}"/>
    <cellStyle name="Normal 4 3 2 5 2 2 3 2 3" xfId="4931" xr:uid="{00000000-0005-0000-0000-0000A2110000}"/>
    <cellStyle name="Normal 4 3 2 5 2 2 3 3" xfId="4932" xr:uid="{00000000-0005-0000-0000-0000A3110000}"/>
    <cellStyle name="Normal 4 3 2 5 2 2 3 4" xfId="4933" xr:uid="{00000000-0005-0000-0000-0000A4110000}"/>
    <cellStyle name="Normal 4 3 2 5 2 2 3 5" xfId="4934" xr:uid="{00000000-0005-0000-0000-0000A5110000}"/>
    <cellStyle name="Normal 4 3 2 5 2 2 4" xfId="4935" xr:uid="{00000000-0005-0000-0000-0000A6110000}"/>
    <cellStyle name="Normal 4 3 2 5 2 2 4 2" xfId="4936" xr:uid="{00000000-0005-0000-0000-0000A7110000}"/>
    <cellStyle name="Normal 4 3 2 5 2 2 4 3" xfId="4937" xr:uid="{00000000-0005-0000-0000-0000A8110000}"/>
    <cellStyle name="Normal 4 3 2 5 2 2 5" xfId="4938" xr:uid="{00000000-0005-0000-0000-0000A9110000}"/>
    <cellStyle name="Normal 4 3 2 5 2 2 6" xfId="4939" xr:uid="{00000000-0005-0000-0000-0000AA110000}"/>
    <cellStyle name="Normal 4 3 2 5 2 2 7" xfId="4940" xr:uid="{00000000-0005-0000-0000-0000AB110000}"/>
    <cellStyle name="Normal 4 3 2 5 2 3" xfId="4941" xr:uid="{00000000-0005-0000-0000-0000AC110000}"/>
    <cellStyle name="Normal 4 3 2 5 2 3 2" xfId="4942" xr:uid="{00000000-0005-0000-0000-0000AD110000}"/>
    <cellStyle name="Normal 4 3 2 5 2 3 2 2" xfId="4943" xr:uid="{00000000-0005-0000-0000-0000AE110000}"/>
    <cellStyle name="Normal 4 3 2 5 2 3 2 3" xfId="4944" xr:uid="{00000000-0005-0000-0000-0000AF110000}"/>
    <cellStyle name="Normal 4 3 2 5 2 3 3" xfId="4945" xr:uid="{00000000-0005-0000-0000-0000B0110000}"/>
    <cellStyle name="Normal 4 3 2 5 2 3 4" xfId="4946" xr:uid="{00000000-0005-0000-0000-0000B1110000}"/>
    <cellStyle name="Normal 4 3 2 5 2 3 5" xfId="4947" xr:uid="{00000000-0005-0000-0000-0000B2110000}"/>
    <cellStyle name="Normal 4 3 2 5 2 4" xfId="4948" xr:uid="{00000000-0005-0000-0000-0000B3110000}"/>
    <cellStyle name="Normal 4 3 2 5 2 4 2" xfId="4949" xr:uid="{00000000-0005-0000-0000-0000B4110000}"/>
    <cellStyle name="Normal 4 3 2 5 2 4 2 2" xfId="4950" xr:uid="{00000000-0005-0000-0000-0000B5110000}"/>
    <cellStyle name="Normal 4 3 2 5 2 4 2 3" xfId="4951" xr:uid="{00000000-0005-0000-0000-0000B6110000}"/>
    <cellStyle name="Normal 4 3 2 5 2 4 3" xfId="4952" xr:uid="{00000000-0005-0000-0000-0000B7110000}"/>
    <cellStyle name="Normal 4 3 2 5 2 4 4" xfId="4953" xr:uid="{00000000-0005-0000-0000-0000B8110000}"/>
    <cellStyle name="Normal 4 3 2 5 2 4 5" xfId="4954" xr:uid="{00000000-0005-0000-0000-0000B9110000}"/>
    <cellStyle name="Normal 4 3 2 5 2 5" xfId="4955" xr:uid="{00000000-0005-0000-0000-0000BA110000}"/>
    <cellStyle name="Normal 4 3 2 5 2 5 2" xfId="4956" xr:uid="{00000000-0005-0000-0000-0000BB110000}"/>
    <cellStyle name="Normal 4 3 2 5 2 5 3" xfId="4957" xr:uid="{00000000-0005-0000-0000-0000BC110000}"/>
    <cellStyle name="Normal 4 3 2 5 2 6" xfId="4958" xr:uid="{00000000-0005-0000-0000-0000BD110000}"/>
    <cellStyle name="Normal 4 3 2 5 2 7" xfId="4959" xr:uid="{00000000-0005-0000-0000-0000BE110000}"/>
    <cellStyle name="Normal 4 3 2 5 2 8" xfId="4960" xr:uid="{00000000-0005-0000-0000-0000BF110000}"/>
    <cellStyle name="Normal 4 3 2 5 3" xfId="4961" xr:uid="{00000000-0005-0000-0000-0000C0110000}"/>
    <cellStyle name="Normal 4 3 2 5 3 2" xfId="4962" xr:uid="{00000000-0005-0000-0000-0000C1110000}"/>
    <cellStyle name="Normal 4 3 2 5 3 2 2" xfId="4963" xr:uid="{00000000-0005-0000-0000-0000C2110000}"/>
    <cellStyle name="Normal 4 3 2 5 3 2 2 2" xfId="4964" xr:uid="{00000000-0005-0000-0000-0000C3110000}"/>
    <cellStyle name="Normal 4 3 2 5 3 2 2 3" xfId="4965" xr:uid="{00000000-0005-0000-0000-0000C4110000}"/>
    <cellStyle name="Normal 4 3 2 5 3 2 3" xfId="4966" xr:uid="{00000000-0005-0000-0000-0000C5110000}"/>
    <cellStyle name="Normal 4 3 2 5 3 2 4" xfId="4967" xr:uid="{00000000-0005-0000-0000-0000C6110000}"/>
    <cellStyle name="Normal 4 3 2 5 3 2 5" xfId="4968" xr:uid="{00000000-0005-0000-0000-0000C7110000}"/>
    <cellStyle name="Normal 4 3 2 5 3 3" xfId="4969" xr:uid="{00000000-0005-0000-0000-0000C8110000}"/>
    <cellStyle name="Normal 4 3 2 5 3 3 2" xfId="4970" xr:uid="{00000000-0005-0000-0000-0000C9110000}"/>
    <cellStyle name="Normal 4 3 2 5 3 3 2 2" xfId="4971" xr:uid="{00000000-0005-0000-0000-0000CA110000}"/>
    <cellStyle name="Normal 4 3 2 5 3 3 2 3" xfId="4972" xr:uid="{00000000-0005-0000-0000-0000CB110000}"/>
    <cellStyle name="Normal 4 3 2 5 3 3 3" xfId="4973" xr:uid="{00000000-0005-0000-0000-0000CC110000}"/>
    <cellStyle name="Normal 4 3 2 5 3 3 4" xfId="4974" xr:uid="{00000000-0005-0000-0000-0000CD110000}"/>
    <cellStyle name="Normal 4 3 2 5 3 3 5" xfId="4975" xr:uid="{00000000-0005-0000-0000-0000CE110000}"/>
    <cellStyle name="Normal 4 3 2 5 3 4" xfId="4976" xr:uid="{00000000-0005-0000-0000-0000CF110000}"/>
    <cellStyle name="Normal 4 3 2 5 3 4 2" xfId="4977" xr:uid="{00000000-0005-0000-0000-0000D0110000}"/>
    <cellStyle name="Normal 4 3 2 5 3 4 3" xfId="4978" xr:uid="{00000000-0005-0000-0000-0000D1110000}"/>
    <cellStyle name="Normal 4 3 2 5 3 5" xfId="4979" xr:uid="{00000000-0005-0000-0000-0000D2110000}"/>
    <cellStyle name="Normal 4 3 2 5 3 6" xfId="4980" xr:uid="{00000000-0005-0000-0000-0000D3110000}"/>
    <cellStyle name="Normal 4 3 2 5 3 7" xfId="4981" xr:uid="{00000000-0005-0000-0000-0000D4110000}"/>
    <cellStyle name="Normal 4 3 2 5 4" xfId="4982" xr:uid="{00000000-0005-0000-0000-0000D5110000}"/>
    <cellStyle name="Normal 4 3 2 5 4 2" xfId="4983" xr:uid="{00000000-0005-0000-0000-0000D6110000}"/>
    <cellStyle name="Normal 4 3 2 5 4 2 2" xfId="4984" xr:uid="{00000000-0005-0000-0000-0000D7110000}"/>
    <cellStyle name="Normal 4 3 2 5 4 2 3" xfId="4985" xr:uid="{00000000-0005-0000-0000-0000D8110000}"/>
    <cellStyle name="Normal 4 3 2 5 4 3" xfId="4986" xr:uid="{00000000-0005-0000-0000-0000D9110000}"/>
    <cellStyle name="Normal 4 3 2 5 4 4" xfId="4987" xr:uid="{00000000-0005-0000-0000-0000DA110000}"/>
    <cellStyle name="Normal 4 3 2 5 4 5" xfId="4988" xr:uid="{00000000-0005-0000-0000-0000DB110000}"/>
    <cellStyle name="Normal 4 3 2 5 5" xfId="4989" xr:uid="{00000000-0005-0000-0000-0000DC110000}"/>
    <cellStyle name="Normal 4 3 2 5 5 2" xfId="4990" xr:uid="{00000000-0005-0000-0000-0000DD110000}"/>
    <cellStyle name="Normal 4 3 2 5 5 2 2" xfId="4991" xr:uid="{00000000-0005-0000-0000-0000DE110000}"/>
    <cellStyle name="Normal 4 3 2 5 5 2 3" xfId="4992" xr:uid="{00000000-0005-0000-0000-0000DF110000}"/>
    <cellStyle name="Normal 4 3 2 5 5 3" xfId="4993" xr:uid="{00000000-0005-0000-0000-0000E0110000}"/>
    <cellStyle name="Normal 4 3 2 5 5 4" xfId="4994" xr:uid="{00000000-0005-0000-0000-0000E1110000}"/>
    <cellStyle name="Normal 4 3 2 5 5 5" xfId="4995" xr:uid="{00000000-0005-0000-0000-0000E2110000}"/>
    <cellStyle name="Normal 4 3 2 5 6" xfId="4996" xr:uid="{00000000-0005-0000-0000-0000E3110000}"/>
    <cellStyle name="Normal 4 3 2 5 6 2" xfId="4997" xr:uid="{00000000-0005-0000-0000-0000E4110000}"/>
    <cellStyle name="Normal 4 3 2 5 6 3" xfId="4998" xr:uid="{00000000-0005-0000-0000-0000E5110000}"/>
    <cellStyle name="Normal 4 3 2 5 7" xfId="4999" xr:uid="{00000000-0005-0000-0000-0000E6110000}"/>
    <cellStyle name="Normal 4 3 2 5 8" xfId="5000" xr:uid="{00000000-0005-0000-0000-0000E7110000}"/>
    <cellStyle name="Normal 4 3 2 5 9" xfId="5001" xr:uid="{00000000-0005-0000-0000-0000E8110000}"/>
    <cellStyle name="Normal 4 3 2 6" xfId="5002" xr:uid="{00000000-0005-0000-0000-0000E9110000}"/>
    <cellStyle name="Normal 4 3 2 6 2" xfId="5003" xr:uid="{00000000-0005-0000-0000-0000EA110000}"/>
    <cellStyle name="Normal 4 3 2 6 2 2" xfId="5004" xr:uid="{00000000-0005-0000-0000-0000EB110000}"/>
    <cellStyle name="Normal 4 3 2 6 2 2 2" xfId="5005" xr:uid="{00000000-0005-0000-0000-0000EC110000}"/>
    <cellStyle name="Normal 4 3 2 6 2 2 2 2" xfId="5006" xr:uid="{00000000-0005-0000-0000-0000ED110000}"/>
    <cellStyle name="Normal 4 3 2 6 2 2 2 3" xfId="5007" xr:uid="{00000000-0005-0000-0000-0000EE110000}"/>
    <cellStyle name="Normal 4 3 2 6 2 2 3" xfId="5008" xr:uid="{00000000-0005-0000-0000-0000EF110000}"/>
    <cellStyle name="Normal 4 3 2 6 2 2 4" xfId="5009" xr:uid="{00000000-0005-0000-0000-0000F0110000}"/>
    <cellStyle name="Normal 4 3 2 6 2 2 5" xfId="5010" xr:uid="{00000000-0005-0000-0000-0000F1110000}"/>
    <cellStyle name="Normal 4 3 2 6 2 3" xfId="5011" xr:uid="{00000000-0005-0000-0000-0000F2110000}"/>
    <cellStyle name="Normal 4 3 2 6 2 3 2" xfId="5012" xr:uid="{00000000-0005-0000-0000-0000F3110000}"/>
    <cellStyle name="Normal 4 3 2 6 2 3 2 2" xfId="5013" xr:uid="{00000000-0005-0000-0000-0000F4110000}"/>
    <cellStyle name="Normal 4 3 2 6 2 3 2 3" xfId="5014" xr:uid="{00000000-0005-0000-0000-0000F5110000}"/>
    <cellStyle name="Normal 4 3 2 6 2 3 3" xfId="5015" xr:uid="{00000000-0005-0000-0000-0000F6110000}"/>
    <cellStyle name="Normal 4 3 2 6 2 3 4" xfId="5016" xr:uid="{00000000-0005-0000-0000-0000F7110000}"/>
    <cellStyle name="Normal 4 3 2 6 2 3 5" xfId="5017" xr:uid="{00000000-0005-0000-0000-0000F8110000}"/>
    <cellStyle name="Normal 4 3 2 6 2 4" xfId="5018" xr:uid="{00000000-0005-0000-0000-0000F9110000}"/>
    <cellStyle name="Normal 4 3 2 6 2 4 2" xfId="5019" xr:uid="{00000000-0005-0000-0000-0000FA110000}"/>
    <cellStyle name="Normal 4 3 2 6 2 4 3" xfId="5020" xr:uid="{00000000-0005-0000-0000-0000FB110000}"/>
    <cellStyle name="Normal 4 3 2 6 2 5" xfId="5021" xr:uid="{00000000-0005-0000-0000-0000FC110000}"/>
    <cellStyle name="Normal 4 3 2 6 2 6" xfId="5022" xr:uid="{00000000-0005-0000-0000-0000FD110000}"/>
    <cellStyle name="Normal 4 3 2 6 2 7" xfId="5023" xr:uid="{00000000-0005-0000-0000-0000FE110000}"/>
    <cellStyle name="Normal 4 3 2 6 3" xfId="5024" xr:uid="{00000000-0005-0000-0000-0000FF110000}"/>
    <cellStyle name="Normal 4 3 2 6 3 2" xfId="5025" xr:uid="{00000000-0005-0000-0000-000000120000}"/>
    <cellStyle name="Normal 4 3 2 6 3 2 2" xfId="5026" xr:uid="{00000000-0005-0000-0000-000001120000}"/>
    <cellStyle name="Normal 4 3 2 6 3 2 3" xfId="5027" xr:uid="{00000000-0005-0000-0000-000002120000}"/>
    <cellStyle name="Normal 4 3 2 6 3 3" xfId="5028" xr:uid="{00000000-0005-0000-0000-000003120000}"/>
    <cellStyle name="Normal 4 3 2 6 3 4" xfId="5029" xr:uid="{00000000-0005-0000-0000-000004120000}"/>
    <cellStyle name="Normal 4 3 2 6 3 5" xfId="5030" xr:uid="{00000000-0005-0000-0000-000005120000}"/>
    <cellStyle name="Normal 4 3 2 6 4" xfId="5031" xr:uid="{00000000-0005-0000-0000-000006120000}"/>
    <cellStyle name="Normal 4 3 2 6 4 2" xfId="5032" xr:uid="{00000000-0005-0000-0000-000007120000}"/>
    <cellStyle name="Normal 4 3 2 6 4 2 2" xfId="5033" xr:uid="{00000000-0005-0000-0000-000008120000}"/>
    <cellStyle name="Normal 4 3 2 6 4 2 3" xfId="5034" xr:uid="{00000000-0005-0000-0000-000009120000}"/>
    <cellStyle name="Normal 4 3 2 6 4 3" xfId="5035" xr:uid="{00000000-0005-0000-0000-00000A120000}"/>
    <cellStyle name="Normal 4 3 2 6 4 4" xfId="5036" xr:uid="{00000000-0005-0000-0000-00000B120000}"/>
    <cellStyle name="Normal 4 3 2 6 4 5" xfId="5037" xr:uid="{00000000-0005-0000-0000-00000C120000}"/>
    <cellStyle name="Normal 4 3 2 6 5" xfId="5038" xr:uid="{00000000-0005-0000-0000-00000D120000}"/>
    <cellStyle name="Normal 4 3 2 6 5 2" xfId="5039" xr:uid="{00000000-0005-0000-0000-00000E120000}"/>
    <cellStyle name="Normal 4 3 2 6 5 3" xfId="5040" xr:uid="{00000000-0005-0000-0000-00000F120000}"/>
    <cellStyle name="Normal 4 3 2 6 6" xfId="5041" xr:uid="{00000000-0005-0000-0000-000010120000}"/>
    <cellStyle name="Normal 4 3 2 6 7" xfId="5042" xr:uid="{00000000-0005-0000-0000-000011120000}"/>
    <cellStyle name="Normal 4 3 2 6 8" xfId="5043" xr:uid="{00000000-0005-0000-0000-000012120000}"/>
    <cellStyle name="Normal 4 3 2 7" xfId="5044" xr:uid="{00000000-0005-0000-0000-000013120000}"/>
    <cellStyle name="Normal 4 3 2 7 2" xfId="5045" xr:uid="{00000000-0005-0000-0000-000014120000}"/>
    <cellStyle name="Normal 4 3 2 7 2 2" xfId="5046" xr:uid="{00000000-0005-0000-0000-000015120000}"/>
    <cellStyle name="Normal 4 3 2 7 2 2 2" xfId="5047" xr:uid="{00000000-0005-0000-0000-000016120000}"/>
    <cellStyle name="Normal 4 3 2 7 2 2 3" xfId="5048" xr:uid="{00000000-0005-0000-0000-000017120000}"/>
    <cellStyle name="Normal 4 3 2 7 2 3" xfId="5049" xr:uid="{00000000-0005-0000-0000-000018120000}"/>
    <cellStyle name="Normal 4 3 2 7 2 4" xfId="5050" xr:uid="{00000000-0005-0000-0000-000019120000}"/>
    <cellStyle name="Normal 4 3 2 7 2 5" xfId="5051" xr:uid="{00000000-0005-0000-0000-00001A120000}"/>
    <cellStyle name="Normal 4 3 2 7 3" xfId="5052" xr:uid="{00000000-0005-0000-0000-00001B120000}"/>
    <cellStyle name="Normal 4 3 2 7 3 2" xfId="5053" xr:uid="{00000000-0005-0000-0000-00001C120000}"/>
    <cellStyle name="Normal 4 3 2 7 3 2 2" xfId="5054" xr:uid="{00000000-0005-0000-0000-00001D120000}"/>
    <cellStyle name="Normal 4 3 2 7 3 2 3" xfId="5055" xr:uid="{00000000-0005-0000-0000-00001E120000}"/>
    <cellStyle name="Normal 4 3 2 7 3 3" xfId="5056" xr:uid="{00000000-0005-0000-0000-00001F120000}"/>
    <cellStyle name="Normal 4 3 2 7 3 4" xfId="5057" xr:uid="{00000000-0005-0000-0000-000020120000}"/>
    <cellStyle name="Normal 4 3 2 7 3 5" xfId="5058" xr:uid="{00000000-0005-0000-0000-000021120000}"/>
    <cellStyle name="Normal 4 3 2 7 4" xfId="5059" xr:uid="{00000000-0005-0000-0000-000022120000}"/>
    <cellStyle name="Normal 4 3 2 7 4 2" xfId="5060" xr:uid="{00000000-0005-0000-0000-000023120000}"/>
    <cellStyle name="Normal 4 3 2 7 4 3" xfId="5061" xr:uid="{00000000-0005-0000-0000-000024120000}"/>
    <cellStyle name="Normal 4 3 2 7 5" xfId="5062" xr:uid="{00000000-0005-0000-0000-000025120000}"/>
    <cellStyle name="Normal 4 3 2 7 6" xfId="5063" xr:uid="{00000000-0005-0000-0000-000026120000}"/>
    <cellStyle name="Normal 4 3 2 7 7" xfId="5064" xr:uid="{00000000-0005-0000-0000-000027120000}"/>
    <cellStyle name="Normal 4 3 2 8" xfId="5065" xr:uid="{00000000-0005-0000-0000-000028120000}"/>
    <cellStyle name="Normal 4 3 2 8 2" xfId="5066" xr:uid="{00000000-0005-0000-0000-000029120000}"/>
    <cellStyle name="Normal 4 3 2 8 2 2" xfId="5067" xr:uid="{00000000-0005-0000-0000-00002A120000}"/>
    <cellStyle name="Normal 4 3 2 8 2 2 2" xfId="5068" xr:uid="{00000000-0005-0000-0000-00002B120000}"/>
    <cellStyle name="Normal 4 3 2 8 2 2 3" xfId="5069" xr:uid="{00000000-0005-0000-0000-00002C120000}"/>
    <cellStyle name="Normal 4 3 2 8 2 3" xfId="5070" xr:uid="{00000000-0005-0000-0000-00002D120000}"/>
    <cellStyle name="Normal 4 3 2 8 2 4" xfId="5071" xr:uid="{00000000-0005-0000-0000-00002E120000}"/>
    <cellStyle name="Normal 4 3 2 8 2 5" xfId="5072" xr:uid="{00000000-0005-0000-0000-00002F120000}"/>
    <cellStyle name="Normal 4 3 2 8 3" xfId="5073" xr:uid="{00000000-0005-0000-0000-000030120000}"/>
    <cellStyle name="Normal 4 3 2 8 3 2" xfId="5074" xr:uid="{00000000-0005-0000-0000-000031120000}"/>
    <cellStyle name="Normal 4 3 2 8 3 2 2" xfId="5075" xr:uid="{00000000-0005-0000-0000-000032120000}"/>
    <cellStyle name="Normal 4 3 2 8 3 2 3" xfId="5076" xr:uid="{00000000-0005-0000-0000-000033120000}"/>
    <cellStyle name="Normal 4 3 2 8 3 3" xfId="5077" xr:uid="{00000000-0005-0000-0000-000034120000}"/>
    <cellStyle name="Normal 4 3 2 8 3 4" xfId="5078" xr:uid="{00000000-0005-0000-0000-000035120000}"/>
    <cellStyle name="Normal 4 3 2 8 3 5" xfId="5079" xr:uid="{00000000-0005-0000-0000-000036120000}"/>
    <cellStyle name="Normal 4 3 2 8 4" xfId="5080" xr:uid="{00000000-0005-0000-0000-000037120000}"/>
    <cellStyle name="Normal 4 3 2 8 4 2" xfId="5081" xr:uid="{00000000-0005-0000-0000-000038120000}"/>
    <cellStyle name="Normal 4 3 2 8 4 3" xfId="5082" xr:uid="{00000000-0005-0000-0000-000039120000}"/>
    <cellStyle name="Normal 4 3 2 8 5" xfId="5083" xr:uid="{00000000-0005-0000-0000-00003A120000}"/>
    <cellStyle name="Normal 4 3 2 8 6" xfId="5084" xr:uid="{00000000-0005-0000-0000-00003B120000}"/>
    <cellStyle name="Normal 4 3 2 8 7" xfId="5085" xr:uid="{00000000-0005-0000-0000-00003C120000}"/>
    <cellStyle name="Normal 4 3 2 9" xfId="5086" xr:uid="{00000000-0005-0000-0000-00003D120000}"/>
    <cellStyle name="Normal 4 3 2 9 2" xfId="5087" xr:uid="{00000000-0005-0000-0000-00003E120000}"/>
    <cellStyle name="Normal 4 3 2 9 2 2" xfId="5088" xr:uid="{00000000-0005-0000-0000-00003F120000}"/>
    <cellStyle name="Normal 4 3 2 9 2 3" xfId="5089" xr:uid="{00000000-0005-0000-0000-000040120000}"/>
    <cellStyle name="Normal 4 3 2 9 3" xfId="5090" xr:uid="{00000000-0005-0000-0000-000041120000}"/>
    <cellStyle name="Normal 4 3 2 9 4" xfId="5091" xr:uid="{00000000-0005-0000-0000-000042120000}"/>
    <cellStyle name="Normal 4 3 2 9 5" xfId="5092" xr:uid="{00000000-0005-0000-0000-000043120000}"/>
    <cellStyle name="Normal 4 3 3" xfId="5093" xr:uid="{00000000-0005-0000-0000-000044120000}"/>
    <cellStyle name="Normal 4 3 3 10" xfId="5094" xr:uid="{00000000-0005-0000-0000-000045120000}"/>
    <cellStyle name="Normal 4 3 3 10 2" xfId="5095" xr:uid="{00000000-0005-0000-0000-000046120000}"/>
    <cellStyle name="Normal 4 3 3 10 2 2" xfId="5096" xr:uid="{00000000-0005-0000-0000-000047120000}"/>
    <cellStyle name="Normal 4 3 3 10 2 3" xfId="5097" xr:uid="{00000000-0005-0000-0000-000048120000}"/>
    <cellStyle name="Normal 4 3 3 10 3" xfId="5098" xr:uid="{00000000-0005-0000-0000-000049120000}"/>
    <cellStyle name="Normal 4 3 3 10 4" xfId="5099" xr:uid="{00000000-0005-0000-0000-00004A120000}"/>
    <cellStyle name="Normal 4 3 3 10 5" xfId="5100" xr:uid="{00000000-0005-0000-0000-00004B120000}"/>
    <cellStyle name="Normal 4 3 3 11" xfId="5101" xr:uid="{00000000-0005-0000-0000-00004C120000}"/>
    <cellStyle name="Normal 4 3 3 11 2" xfId="5102" xr:uid="{00000000-0005-0000-0000-00004D120000}"/>
    <cellStyle name="Normal 4 3 3 11 3" xfId="5103" xr:uid="{00000000-0005-0000-0000-00004E120000}"/>
    <cellStyle name="Normal 4 3 3 12" xfId="5104" xr:uid="{00000000-0005-0000-0000-00004F120000}"/>
    <cellStyle name="Normal 4 3 3 13" xfId="5105" xr:uid="{00000000-0005-0000-0000-000050120000}"/>
    <cellStyle name="Normal 4 3 3 14" xfId="5106" xr:uid="{00000000-0005-0000-0000-000051120000}"/>
    <cellStyle name="Normal 4 3 3 2" xfId="5107" xr:uid="{00000000-0005-0000-0000-000052120000}"/>
    <cellStyle name="Normal 4 3 3 2 10" xfId="5108" xr:uid="{00000000-0005-0000-0000-000053120000}"/>
    <cellStyle name="Normal 4 3 3 2 11" xfId="5109" xr:uid="{00000000-0005-0000-0000-000054120000}"/>
    <cellStyle name="Normal 4 3 3 2 12" xfId="5110" xr:uid="{00000000-0005-0000-0000-000055120000}"/>
    <cellStyle name="Normal 4 3 3 2 2" xfId="5111" xr:uid="{00000000-0005-0000-0000-000056120000}"/>
    <cellStyle name="Normal 4 3 3 2 2 2" xfId="5112" xr:uid="{00000000-0005-0000-0000-000057120000}"/>
    <cellStyle name="Normal 4 3 3 2 2 2 2" xfId="5113" xr:uid="{00000000-0005-0000-0000-000058120000}"/>
    <cellStyle name="Normal 4 3 3 2 2 2 2 2" xfId="5114" xr:uid="{00000000-0005-0000-0000-000059120000}"/>
    <cellStyle name="Normal 4 3 3 2 2 2 2 2 2" xfId="5115" xr:uid="{00000000-0005-0000-0000-00005A120000}"/>
    <cellStyle name="Normal 4 3 3 2 2 2 2 2 2 2" xfId="5116" xr:uid="{00000000-0005-0000-0000-00005B120000}"/>
    <cellStyle name="Normal 4 3 3 2 2 2 2 2 2 3" xfId="5117" xr:uid="{00000000-0005-0000-0000-00005C120000}"/>
    <cellStyle name="Normal 4 3 3 2 2 2 2 2 3" xfId="5118" xr:uid="{00000000-0005-0000-0000-00005D120000}"/>
    <cellStyle name="Normal 4 3 3 2 2 2 2 2 4" xfId="5119" xr:uid="{00000000-0005-0000-0000-00005E120000}"/>
    <cellStyle name="Normal 4 3 3 2 2 2 2 2 5" xfId="5120" xr:uid="{00000000-0005-0000-0000-00005F120000}"/>
    <cellStyle name="Normal 4 3 3 2 2 2 2 3" xfId="5121" xr:uid="{00000000-0005-0000-0000-000060120000}"/>
    <cellStyle name="Normal 4 3 3 2 2 2 2 3 2" xfId="5122" xr:uid="{00000000-0005-0000-0000-000061120000}"/>
    <cellStyle name="Normal 4 3 3 2 2 2 2 3 2 2" xfId="5123" xr:uid="{00000000-0005-0000-0000-000062120000}"/>
    <cellStyle name="Normal 4 3 3 2 2 2 2 3 2 3" xfId="5124" xr:uid="{00000000-0005-0000-0000-000063120000}"/>
    <cellStyle name="Normal 4 3 3 2 2 2 2 3 3" xfId="5125" xr:uid="{00000000-0005-0000-0000-000064120000}"/>
    <cellStyle name="Normal 4 3 3 2 2 2 2 3 4" xfId="5126" xr:uid="{00000000-0005-0000-0000-000065120000}"/>
    <cellStyle name="Normal 4 3 3 2 2 2 2 3 5" xfId="5127" xr:uid="{00000000-0005-0000-0000-000066120000}"/>
    <cellStyle name="Normal 4 3 3 2 2 2 2 4" xfId="5128" xr:uid="{00000000-0005-0000-0000-000067120000}"/>
    <cellStyle name="Normal 4 3 3 2 2 2 2 4 2" xfId="5129" xr:uid="{00000000-0005-0000-0000-000068120000}"/>
    <cellStyle name="Normal 4 3 3 2 2 2 2 4 3" xfId="5130" xr:uid="{00000000-0005-0000-0000-000069120000}"/>
    <cellStyle name="Normal 4 3 3 2 2 2 2 5" xfId="5131" xr:uid="{00000000-0005-0000-0000-00006A120000}"/>
    <cellStyle name="Normal 4 3 3 2 2 2 2 6" xfId="5132" xr:uid="{00000000-0005-0000-0000-00006B120000}"/>
    <cellStyle name="Normal 4 3 3 2 2 2 2 7" xfId="5133" xr:uid="{00000000-0005-0000-0000-00006C120000}"/>
    <cellStyle name="Normal 4 3 3 2 2 2 3" xfId="5134" xr:uid="{00000000-0005-0000-0000-00006D120000}"/>
    <cellStyle name="Normal 4 3 3 2 2 2 3 2" xfId="5135" xr:uid="{00000000-0005-0000-0000-00006E120000}"/>
    <cellStyle name="Normal 4 3 3 2 2 2 3 2 2" xfId="5136" xr:uid="{00000000-0005-0000-0000-00006F120000}"/>
    <cellStyle name="Normal 4 3 3 2 2 2 3 2 3" xfId="5137" xr:uid="{00000000-0005-0000-0000-000070120000}"/>
    <cellStyle name="Normal 4 3 3 2 2 2 3 3" xfId="5138" xr:uid="{00000000-0005-0000-0000-000071120000}"/>
    <cellStyle name="Normal 4 3 3 2 2 2 3 4" xfId="5139" xr:uid="{00000000-0005-0000-0000-000072120000}"/>
    <cellStyle name="Normal 4 3 3 2 2 2 3 5" xfId="5140" xr:uid="{00000000-0005-0000-0000-000073120000}"/>
    <cellStyle name="Normal 4 3 3 2 2 2 4" xfId="5141" xr:uid="{00000000-0005-0000-0000-000074120000}"/>
    <cellStyle name="Normal 4 3 3 2 2 2 4 2" xfId="5142" xr:uid="{00000000-0005-0000-0000-000075120000}"/>
    <cellStyle name="Normal 4 3 3 2 2 2 4 2 2" xfId="5143" xr:uid="{00000000-0005-0000-0000-000076120000}"/>
    <cellStyle name="Normal 4 3 3 2 2 2 4 2 3" xfId="5144" xr:uid="{00000000-0005-0000-0000-000077120000}"/>
    <cellStyle name="Normal 4 3 3 2 2 2 4 3" xfId="5145" xr:uid="{00000000-0005-0000-0000-000078120000}"/>
    <cellStyle name="Normal 4 3 3 2 2 2 4 4" xfId="5146" xr:uid="{00000000-0005-0000-0000-000079120000}"/>
    <cellStyle name="Normal 4 3 3 2 2 2 4 5" xfId="5147" xr:uid="{00000000-0005-0000-0000-00007A120000}"/>
    <cellStyle name="Normal 4 3 3 2 2 2 5" xfId="5148" xr:uid="{00000000-0005-0000-0000-00007B120000}"/>
    <cellStyle name="Normal 4 3 3 2 2 2 5 2" xfId="5149" xr:uid="{00000000-0005-0000-0000-00007C120000}"/>
    <cellStyle name="Normal 4 3 3 2 2 2 5 3" xfId="5150" xr:uid="{00000000-0005-0000-0000-00007D120000}"/>
    <cellStyle name="Normal 4 3 3 2 2 2 6" xfId="5151" xr:uid="{00000000-0005-0000-0000-00007E120000}"/>
    <cellStyle name="Normal 4 3 3 2 2 2 7" xfId="5152" xr:uid="{00000000-0005-0000-0000-00007F120000}"/>
    <cellStyle name="Normal 4 3 3 2 2 2 8" xfId="5153" xr:uid="{00000000-0005-0000-0000-000080120000}"/>
    <cellStyle name="Normal 4 3 3 2 2 3" xfId="5154" xr:uid="{00000000-0005-0000-0000-000081120000}"/>
    <cellStyle name="Normal 4 3 3 2 2 3 2" xfId="5155" xr:uid="{00000000-0005-0000-0000-000082120000}"/>
    <cellStyle name="Normal 4 3 3 2 2 3 2 2" xfId="5156" xr:uid="{00000000-0005-0000-0000-000083120000}"/>
    <cellStyle name="Normal 4 3 3 2 2 3 2 2 2" xfId="5157" xr:uid="{00000000-0005-0000-0000-000084120000}"/>
    <cellStyle name="Normal 4 3 3 2 2 3 2 2 3" xfId="5158" xr:uid="{00000000-0005-0000-0000-000085120000}"/>
    <cellStyle name="Normal 4 3 3 2 2 3 2 3" xfId="5159" xr:uid="{00000000-0005-0000-0000-000086120000}"/>
    <cellStyle name="Normal 4 3 3 2 2 3 2 4" xfId="5160" xr:uid="{00000000-0005-0000-0000-000087120000}"/>
    <cellStyle name="Normal 4 3 3 2 2 3 2 5" xfId="5161" xr:uid="{00000000-0005-0000-0000-000088120000}"/>
    <cellStyle name="Normal 4 3 3 2 2 3 3" xfId="5162" xr:uid="{00000000-0005-0000-0000-000089120000}"/>
    <cellStyle name="Normal 4 3 3 2 2 3 3 2" xfId="5163" xr:uid="{00000000-0005-0000-0000-00008A120000}"/>
    <cellStyle name="Normal 4 3 3 2 2 3 3 2 2" xfId="5164" xr:uid="{00000000-0005-0000-0000-00008B120000}"/>
    <cellStyle name="Normal 4 3 3 2 2 3 3 2 3" xfId="5165" xr:uid="{00000000-0005-0000-0000-00008C120000}"/>
    <cellStyle name="Normal 4 3 3 2 2 3 3 3" xfId="5166" xr:uid="{00000000-0005-0000-0000-00008D120000}"/>
    <cellStyle name="Normal 4 3 3 2 2 3 3 4" xfId="5167" xr:uid="{00000000-0005-0000-0000-00008E120000}"/>
    <cellStyle name="Normal 4 3 3 2 2 3 3 5" xfId="5168" xr:uid="{00000000-0005-0000-0000-00008F120000}"/>
    <cellStyle name="Normal 4 3 3 2 2 3 4" xfId="5169" xr:uid="{00000000-0005-0000-0000-000090120000}"/>
    <cellStyle name="Normal 4 3 3 2 2 3 4 2" xfId="5170" xr:uid="{00000000-0005-0000-0000-000091120000}"/>
    <cellStyle name="Normal 4 3 3 2 2 3 4 3" xfId="5171" xr:uid="{00000000-0005-0000-0000-000092120000}"/>
    <cellStyle name="Normal 4 3 3 2 2 3 5" xfId="5172" xr:uid="{00000000-0005-0000-0000-000093120000}"/>
    <cellStyle name="Normal 4 3 3 2 2 3 6" xfId="5173" xr:uid="{00000000-0005-0000-0000-000094120000}"/>
    <cellStyle name="Normal 4 3 3 2 2 3 7" xfId="5174" xr:uid="{00000000-0005-0000-0000-000095120000}"/>
    <cellStyle name="Normal 4 3 3 2 2 4" xfId="5175" xr:uid="{00000000-0005-0000-0000-000096120000}"/>
    <cellStyle name="Normal 4 3 3 2 2 4 2" xfId="5176" xr:uid="{00000000-0005-0000-0000-000097120000}"/>
    <cellStyle name="Normal 4 3 3 2 2 4 2 2" xfId="5177" xr:uid="{00000000-0005-0000-0000-000098120000}"/>
    <cellStyle name="Normal 4 3 3 2 2 4 2 3" xfId="5178" xr:uid="{00000000-0005-0000-0000-000099120000}"/>
    <cellStyle name="Normal 4 3 3 2 2 4 3" xfId="5179" xr:uid="{00000000-0005-0000-0000-00009A120000}"/>
    <cellStyle name="Normal 4 3 3 2 2 4 4" xfId="5180" xr:uid="{00000000-0005-0000-0000-00009B120000}"/>
    <cellStyle name="Normal 4 3 3 2 2 4 5" xfId="5181" xr:uid="{00000000-0005-0000-0000-00009C120000}"/>
    <cellStyle name="Normal 4 3 3 2 2 5" xfId="5182" xr:uid="{00000000-0005-0000-0000-00009D120000}"/>
    <cellStyle name="Normal 4 3 3 2 2 5 2" xfId="5183" xr:uid="{00000000-0005-0000-0000-00009E120000}"/>
    <cellStyle name="Normal 4 3 3 2 2 5 2 2" xfId="5184" xr:uid="{00000000-0005-0000-0000-00009F120000}"/>
    <cellStyle name="Normal 4 3 3 2 2 5 2 3" xfId="5185" xr:uid="{00000000-0005-0000-0000-0000A0120000}"/>
    <cellStyle name="Normal 4 3 3 2 2 5 3" xfId="5186" xr:uid="{00000000-0005-0000-0000-0000A1120000}"/>
    <cellStyle name="Normal 4 3 3 2 2 5 4" xfId="5187" xr:uid="{00000000-0005-0000-0000-0000A2120000}"/>
    <cellStyle name="Normal 4 3 3 2 2 5 5" xfId="5188" xr:uid="{00000000-0005-0000-0000-0000A3120000}"/>
    <cellStyle name="Normal 4 3 3 2 2 6" xfId="5189" xr:uid="{00000000-0005-0000-0000-0000A4120000}"/>
    <cellStyle name="Normal 4 3 3 2 2 6 2" xfId="5190" xr:uid="{00000000-0005-0000-0000-0000A5120000}"/>
    <cellStyle name="Normal 4 3 3 2 2 6 3" xfId="5191" xr:uid="{00000000-0005-0000-0000-0000A6120000}"/>
    <cellStyle name="Normal 4 3 3 2 2 7" xfId="5192" xr:uid="{00000000-0005-0000-0000-0000A7120000}"/>
    <cellStyle name="Normal 4 3 3 2 2 8" xfId="5193" xr:uid="{00000000-0005-0000-0000-0000A8120000}"/>
    <cellStyle name="Normal 4 3 3 2 2 9" xfId="5194" xr:uid="{00000000-0005-0000-0000-0000A9120000}"/>
    <cellStyle name="Normal 4 3 3 2 3" xfId="5195" xr:uid="{00000000-0005-0000-0000-0000AA120000}"/>
    <cellStyle name="Normal 4 3 3 2 3 2" xfId="5196" xr:uid="{00000000-0005-0000-0000-0000AB120000}"/>
    <cellStyle name="Normal 4 3 3 2 3 2 2" xfId="5197" xr:uid="{00000000-0005-0000-0000-0000AC120000}"/>
    <cellStyle name="Normal 4 3 3 2 3 2 2 2" xfId="5198" xr:uid="{00000000-0005-0000-0000-0000AD120000}"/>
    <cellStyle name="Normal 4 3 3 2 3 2 2 2 2" xfId="5199" xr:uid="{00000000-0005-0000-0000-0000AE120000}"/>
    <cellStyle name="Normal 4 3 3 2 3 2 2 2 2 2" xfId="5200" xr:uid="{00000000-0005-0000-0000-0000AF120000}"/>
    <cellStyle name="Normal 4 3 3 2 3 2 2 2 2 3" xfId="5201" xr:uid="{00000000-0005-0000-0000-0000B0120000}"/>
    <cellStyle name="Normal 4 3 3 2 3 2 2 2 3" xfId="5202" xr:uid="{00000000-0005-0000-0000-0000B1120000}"/>
    <cellStyle name="Normal 4 3 3 2 3 2 2 2 4" xfId="5203" xr:uid="{00000000-0005-0000-0000-0000B2120000}"/>
    <cellStyle name="Normal 4 3 3 2 3 2 2 2 5" xfId="5204" xr:uid="{00000000-0005-0000-0000-0000B3120000}"/>
    <cellStyle name="Normal 4 3 3 2 3 2 2 3" xfId="5205" xr:uid="{00000000-0005-0000-0000-0000B4120000}"/>
    <cellStyle name="Normal 4 3 3 2 3 2 2 3 2" xfId="5206" xr:uid="{00000000-0005-0000-0000-0000B5120000}"/>
    <cellStyle name="Normal 4 3 3 2 3 2 2 3 2 2" xfId="5207" xr:uid="{00000000-0005-0000-0000-0000B6120000}"/>
    <cellStyle name="Normal 4 3 3 2 3 2 2 3 2 3" xfId="5208" xr:uid="{00000000-0005-0000-0000-0000B7120000}"/>
    <cellStyle name="Normal 4 3 3 2 3 2 2 3 3" xfId="5209" xr:uid="{00000000-0005-0000-0000-0000B8120000}"/>
    <cellStyle name="Normal 4 3 3 2 3 2 2 3 4" xfId="5210" xr:uid="{00000000-0005-0000-0000-0000B9120000}"/>
    <cellStyle name="Normal 4 3 3 2 3 2 2 3 5" xfId="5211" xr:uid="{00000000-0005-0000-0000-0000BA120000}"/>
    <cellStyle name="Normal 4 3 3 2 3 2 2 4" xfId="5212" xr:uid="{00000000-0005-0000-0000-0000BB120000}"/>
    <cellStyle name="Normal 4 3 3 2 3 2 2 4 2" xfId="5213" xr:uid="{00000000-0005-0000-0000-0000BC120000}"/>
    <cellStyle name="Normal 4 3 3 2 3 2 2 4 3" xfId="5214" xr:uid="{00000000-0005-0000-0000-0000BD120000}"/>
    <cellStyle name="Normal 4 3 3 2 3 2 2 5" xfId="5215" xr:uid="{00000000-0005-0000-0000-0000BE120000}"/>
    <cellStyle name="Normal 4 3 3 2 3 2 2 6" xfId="5216" xr:uid="{00000000-0005-0000-0000-0000BF120000}"/>
    <cellStyle name="Normal 4 3 3 2 3 2 2 7" xfId="5217" xr:uid="{00000000-0005-0000-0000-0000C0120000}"/>
    <cellStyle name="Normal 4 3 3 2 3 2 3" xfId="5218" xr:uid="{00000000-0005-0000-0000-0000C1120000}"/>
    <cellStyle name="Normal 4 3 3 2 3 2 3 2" xfId="5219" xr:uid="{00000000-0005-0000-0000-0000C2120000}"/>
    <cellStyle name="Normal 4 3 3 2 3 2 3 2 2" xfId="5220" xr:uid="{00000000-0005-0000-0000-0000C3120000}"/>
    <cellStyle name="Normal 4 3 3 2 3 2 3 2 3" xfId="5221" xr:uid="{00000000-0005-0000-0000-0000C4120000}"/>
    <cellStyle name="Normal 4 3 3 2 3 2 3 3" xfId="5222" xr:uid="{00000000-0005-0000-0000-0000C5120000}"/>
    <cellStyle name="Normal 4 3 3 2 3 2 3 4" xfId="5223" xr:uid="{00000000-0005-0000-0000-0000C6120000}"/>
    <cellStyle name="Normal 4 3 3 2 3 2 3 5" xfId="5224" xr:uid="{00000000-0005-0000-0000-0000C7120000}"/>
    <cellStyle name="Normal 4 3 3 2 3 2 4" xfId="5225" xr:uid="{00000000-0005-0000-0000-0000C8120000}"/>
    <cellStyle name="Normal 4 3 3 2 3 2 4 2" xfId="5226" xr:uid="{00000000-0005-0000-0000-0000C9120000}"/>
    <cellStyle name="Normal 4 3 3 2 3 2 4 2 2" xfId="5227" xr:uid="{00000000-0005-0000-0000-0000CA120000}"/>
    <cellStyle name="Normal 4 3 3 2 3 2 4 2 3" xfId="5228" xr:uid="{00000000-0005-0000-0000-0000CB120000}"/>
    <cellStyle name="Normal 4 3 3 2 3 2 4 3" xfId="5229" xr:uid="{00000000-0005-0000-0000-0000CC120000}"/>
    <cellStyle name="Normal 4 3 3 2 3 2 4 4" xfId="5230" xr:uid="{00000000-0005-0000-0000-0000CD120000}"/>
    <cellStyle name="Normal 4 3 3 2 3 2 4 5" xfId="5231" xr:uid="{00000000-0005-0000-0000-0000CE120000}"/>
    <cellStyle name="Normal 4 3 3 2 3 2 5" xfId="5232" xr:uid="{00000000-0005-0000-0000-0000CF120000}"/>
    <cellStyle name="Normal 4 3 3 2 3 2 5 2" xfId="5233" xr:uid="{00000000-0005-0000-0000-0000D0120000}"/>
    <cellStyle name="Normal 4 3 3 2 3 2 5 3" xfId="5234" xr:uid="{00000000-0005-0000-0000-0000D1120000}"/>
    <cellStyle name="Normal 4 3 3 2 3 2 6" xfId="5235" xr:uid="{00000000-0005-0000-0000-0000D2120000}"/>
    <cellStyle name="Normal 4 3 3 2 3 2 7" xfId="5236" xr:uid="{00000000-0005-0000-0000-0000D3120000}"/>
    <cellStyle name="Normal 4 3 3 2 3 2 8" xfId="5237" xr:uid="{00000000-0005-0000-0000-0000D4120000}"/>
    <cellStyle name="Normal 4 3 3 2 3 3" xfId="5238" xr:uid="{00000000-0005-0000-0000-0000D5120000}"/>
    <cellStyle name="Normal 4 3 3 2 3 3 2" xfId="5239" xr:uid="{00000000-0005-0000-0000-0000D6120000}"/>
    <cellStyle name="Normal 4 3 3 2 3 3 2 2" xfId="5240" xr:uid="{00000000-0005-0000-0000-0000D7120000}"/>
    <cellStyle name="Normal 4 3 3 2 3 3 2 2 2" xfId="5241" xr:uid="{00000000-0005-0000-0000-0000D8120000}"/>
    <cellStyle name="Normal 4 3 3 2 3 3 2 2 3" xfId="5242" xr:uid="{00000000-0005-0000-0000-0000D9120000}"/>
    <cellStyle name="Normal 4 3 3 2 3 3 2 3" xfId="5243" xr:uid="{00000000-0005-0000-0000-0000DA120000}"/>
    <cellStyle name="Normal 4 3 3 2 3 3 2 4" xfId="5244" xr:uid="{00000000-0005-0000-0000-0000DB120000}"/>
    <cellStyle name="Normal 4 3 3 2 3 3 2 5" xfId="5245" xr:uid="{00000000-0005-0000-0000-0000DC120000}"/>
    <cellStyle name="Normal 4 3 3 2 3 3 3" xfId="5246" xr:uid="{00000000-0005-0000-0000-0000DD120000}"/>
    <cellStyle name="Normal 4 3 3 2 3 3 3 2" xfId="5247" xr:uid="{00000000-0005-0000-0000-0000DE120000}"/>
    <cellStyle name="Normal 4 3 3 2 3 3 3 2 2" xfId="5248" xr:uid="{00000000-0005-0000-0000-0000DF120000}"/>
    <cellStyle name="Normal 4 3 3 2 3 3 3 2 3" xfId="5249" xr:uid="{00000000-0005-0000-0000-0000E0120000}"/>
    <cellStyle name="Normal 4 3 3 2 3 3 3 3" xfId="5250" xr:uid="{00000000-0005-0000-0000-0000E1120000}"/>
    <cellStyle name="Normal 4 3 3 2 3 3 3 4" xfId="5251" xr:uid="{00000000-0005-0000-0000-0000E2120000}"/>
    <cellStyle name="Normal 4 3 3 2 3 3 3 5" xfId="5252" xr:uid="{00000000-0005-0000-0000-0000E3120000}"/>
    <cellStyle name="Normal 4 3 3 2 3 3 4" xfId="5253" xr:uid="{00000000-0005-0000-0000-0000E4120000}"/>
    <cellStyle name="Normal 4 3 3 2 3 3 4 2" xfId="5254" xr:uid="{00000000-0005-0000-0000-0000E5120000}"/>
    <cellStyle name="Normal 4 3 3 2 3 3 4 3" xfId="5255" xr:uid="{00000000-0005-0000-0000-0000E6120000}"/>
    <cellStyle name="Normal 4 3 3 2 3 3 5" xfId="5256" xr:uid="{00000000-0005-0000-0000-0000E7120000}"/>
    <cellStyle name="Normal 4 3 3 2 3 3 6" xfId="5257" xr:uid="{00000000-0005-0000-0000-0000E8120000}"/>
    <cellStyle name="Normal 4 3 3 2 3 3 7" xfId="5258" xr:uid="{00000000-0005-0000-0000-0000E9120000}"/>
    <cellStyle name="Normal 4 3 3 2 3 4" xfId="5259" xr:uid="{00000000-0005-0000-0000-0000EA120000}"/>
    <cellStyle name="Normal 4 3 3 2 3 4 2" xfId="5260" xr:uid="{00000000-0005-0000-0000-0000EB120000}"/>
    <cellStyle name="Normal 4 3 3 2 3 4 2 2" xfId="5261" xr:uid="{00000000-0005-0000-0000-0000EC120000}"/>
    <cellStyle name="Normal 4 3 3 2 3 4 2 3" xfId="5262" xr:uid="{00000000-0005-0000-0000-0000ED120000}"/>
    <cellStyle name="Normal 4 3 3 2 3 4 3" xfId="5263" xr:uid="{00000000-0005-0000-0000-0000EE120000}"/>
    <cellStyle name="Normal 4 3 3 2 3 4 4" xfId="5264" xr:uid="{00000000-0005-0000-0000-0000EF120000}"/>
    <cellStyle name="Normal 4 3 3 2 3 4 5" xfId="5265" xr:uid="{00000000-0005-0000-0000-0000F0120000}"/>
    <cellStyle name="Normal 4 3 3 2 3 5" xfId="5266" xr:uid="{00000000-0005-0000-0000-0000F1120000}"/>
    <cellStyle name="Normal 4 3 3 2 3 5 2" xfId="5267" xr:uid="{00000000-0005-0000-0000-0000F2120000}"/>
    <cellStyle name="Normal 4 3 3 2 3 5 2 2" xfId="5268" xr:uid="{00000000-0005-0000-0000-0000F3120000}"/>
    <cellStyle name="Normal 4 3 3 2 3 5 2 3" xfId="5269" xr:uid="{00000000-0005-0000-0000-0000F4120000}"/>
    <cellStyle name="Normal 4 3 3 2 3 5 3" xfId="5270" xr:uid="{00000000-0005-0000-0000-0000F5120000}"/>
    <cellStyle name="Normal 4 3 3 2 3 5 4" xfId="5271" xr:uid="{00000000-0005-0000-0000-0000F6120000}"/>
    <cellStyle name="Normal 4 3 3 2 3 5 5" xfId="5272" xr:uid="{00000000-0005-0000-0000-0000F7120000}"/>
    <cellStyle name="Normal 4 3 3 2 3 6" xfId="5273" xr:uid="{00000000-0005-0000-0000-0000F8120000}"/>
    <cellStyle name="Normal 4 3 3 2 3 6 2" xfId="5274" xr:uid="{00000000-0005-0000-0000-0000F9120000}"/>
    <cellStyle name="Normal 4 3 3 2 3 6 3" xfId="5275" xr:uid="{00000000-0005-0000-0000-0000FA120000}"/>
    <cellStyle name="Normal 4 3 3 2 3 7" xfId="5276" xr:uid="{00000000-0005-0000-0000-0000FB120000}"/>
    <cellStyle name="Normal 4 3 3 2 3 8" xfId="5277" xr:uid="{00000000-0005-0000-0000-0000FC120000}"/>
    <cellStyle name="Normal 4 3 3 2 3 9" xfId="5278" xr:uid="{00000000-0005-0000-0000-0000FD120000}"/>
    <cellStyle name="Normal 4 3 3 2 4" xfId="5279" xr:uid="{00000000-0005-0000-0000-0000FE120000}"/>
    <cellStyle name="Normal 4 3 3 2 4 2" xfId="5280" xr:uid="{00000000-0005-0000-0000-0000FF120000}"/>
    <cellStyle name="Normal 4 3 3 2 4 2 2" xfId="5281" xr:uid="{00000000-0005-0000-0000-000000130000}"/>
    <cellStyle name="Normal 4 3 3 2 4 2 2 2" xfId="5282" xr:uid="{00000000-0005-0000-0000-000001130000}"/>
    <cellStyle name="Normal 4 3 3 2 4 2 2 2 2" xfId="5283" xr:uid="{00000000-0005-0000-0000-000002130000}"/>
    <cellStyle name="Normal 4 3 3 2 4 2 2 2 2 2" xfId="5284" xr:uid="{00000000-0005-0000-0000-000003130000}"/>
    <cellStyle name="Normal 4 3 3 2 4 2 2 2 2 3" xfId="5285" xr:uid="{00000000-0005-0000-0000-000004130000}"/>
    <cellStyle name="Normal 4 3 3 2 4 2 2 2 3" xfId="5286" xr:uid="{00000000-0005-0000-0000-000005130000}"/>
    <cellStyle name="Normal 4 3 3 2 4 2 2 2 4" xfId="5287" xr:uid="{00000000-0005-0000-0000-000006130000}"/>
    <cellStyle name="Normal 4 3 3 2 4 2 2 2 5" xfId="5288" xr:uid="{00000000-0005-0000-0000-000007130000}"/>
    <cellStyle name="Normal 4 3 3 2 4 2 2 3" xfId="5289" xr:uid="{00000000-0005-0000-0000-000008130000}"/>
    <cellStyle name="Normal 4 3 3 2 4 2 2 3 2" xfId="5290" xr:uid="{00000000-0005-0000-0000-000009130000}"/>
    <cellStyle name="Normal 4 3 3 2 4 2 2 3 2 2" xfId="5291" xr:uid="{00000000-0005-0000-0000-00000A130000}"/>
    <cellStyle name="Normal 4 3 3 2 4 2 2 3 2 3" xfId="5292" xr:uid="{00000000-0005-0000-0000-00000B130000}"/>
    <cellStyle name="Normal 4 3 3 2 4 2 2 3 3" xfId="5293" xr:uid="{00000000-0005-0000-0000-00000C130000}"/>
    <cellStyle name="Normal 4 3 3 2 4 2 2 3 4" xfId="5294" xr:uid="{00000000-0005-0000-0000-00000D130000}"/>
    <cellStyle name="Normal 4 3 3 2 4 2 2 3 5" xfId="5295" xr:uid="{00000000-0005-0000-0000-00000E130000}"/>
    <cellStyle name="Normal 4 3 3 2 4 2 2 4" xfId="5296" xr:uid="{00000000-0005-0000-0000-00000F130000}"/>
    <cellStyle name="Normal 4 3 3 2 4 2 2 4 2" xfId="5297" xr:uid="{00000000-0005-0000-0000-000010130000}"/>
    <cellStyle name="Normal 4 3 3 2 4 2 2 4 3" xfId="5298" xr:uid="{00000000-0005-0000-0000-000011130000}"/>
    <cellStyle name="Normal 4 3 3 2 4 2 2 5" xfId="5299" xr:uid="{00000000-0005-0000-0000-000012130000}"/>
    <cellStyle name="Normal 4 3 3 2 4 2 2 6" xfId="5300" xr:uid="{00000000-0005-0000-0000-000013130000}"/>
    <cellStyle name="Normal 4 3 3 2 4 2 2 7" xfId="5301" xr:uid="{00000000-0005-0000-0000-000014130000}"/>
    <cellStyle name="Normal 4 3 3 2 4 2 3" xfId="5302" xr:uid="{00000000-0005-0000-0000-000015130000}"/>
    <cellStyle name="Normal 4 3 3 2 4 2 3 2" xfId="5303" xr:uid="{00000000-0005-0000-0000-000016130000}"/>
    <cellStyle name="Normal 4 3 3 2 4 2 3 2 2" xfId="5304" xr:uid="{00000000-0005-0000-0000-000017130000}"/>
    <cellStyle name="Normal 4 3 3 2 4 2 3 2 3" xfId="5305" xr:uid="{00000000-0005-0000-0000-000018130000}"/>
    <cellStyle name="Normal 4 3 3 2 4 2 3 3" xfId="5306" xr:uid="{00000000-0005-0000-0000-000019130000}"/>
    <cellStyle name="Normal 4 3 3 2 4 2 3 4" xfId="5307" xr:uid="{00000000-0005-0000-0000-00001A130000}"/>
    <cellStyle name="Normal 4 3 3 2 4 2 3 5" xfId="5308" xr:uid="{00000000-0005-0000-0000-00001B130000}"/>
    <cellStyle name="Normal 4 3 3 2 4 2 4" xfId="5309" xr:uid="{00000000-0005-0000-0000-00001C130000}"/>
    <cellStyle name="Normal 4 3 3 2 4 2 4 2" xfId="5310" xr:uid="{00000000-0005-0000-0000-00001D130000}"/>
    <cellStyle name="Normal 4 3 3 2 4 2 4 2 2" xfId="5311" xr:uid="{00000000-0005-0000-0000-00001E130000}"/>
    <cellStyle name="Normal 4 3 3 2 4 2 4 2 3" xfId="5312" xr:uid="{00000000-0005-0000-0000-00001F130000}"/>
    <cellStyle name="Normal 4 3 3 2 4 2 4 3" xfId="5313" xr:uid="{00000000-0005-0000-0000-000020130000}"/>
    <cellStyle name="Normal 4 3 3 2 4 2 4 4" xfId="5314" xr:uid="{00000000-0005-0000-0000-000021130000}"/>
    <cellStyle name="Normal 4 3 3 2 4 2 4 5" xfId="5315" xr:uid="{00000000-0005-0000-0000-000022130000}"/>
    <cellStyle name="Normal 4 3 3 2 4 2 5" xfId="5316" xr:uid="{00000000-0005-0000-0000-000023130000}"/>
    <cellStyle name="Normal 4 3 3 2 4 2 5 2" xfId="5317" xr:uid="{00000000-0005-0000-0000-000024130000}"/>
    <cellStyle name="Normal 4 3 3 2 4 2 5 3" xfId="5318" xr:uid="{00000000-0005-0000-0000-000025130000}"/>
    <cellStyle name="Normal 4 3 3 2 4 2 6" xfId="5319" xr:uid="{00000000-0005-0000-0000-000026130000}"/>
    <cellStyle name="Normal 4 3 3 2 4 2 7" xfId="5320" xr:uid="{00000000-0005-0000-0000-000027130000}"/>
    <cellStyle name="Normal 4 3 3 2 4 2 8" xfId="5321" xr:uid="{00000000-0005-0000-0000-000028130000}"/>
    <cellStyle name="Normal 4 3 3 2 4 3" xfId="5322" xr:uid="{00000000-0005-0000-0000-000029130000}"/>
    <cellStyle name="Normal 4 3 3 2 4 3 2" xfId="5323" xr:uid="{00000000-0005-0000-0000-00002A130000}"/>
    <cellStyle name="Normal 4 3 3 2 4 3 2 2" xfId="5324" xr:uid="{00000000-0005-0000-0000-00002B130000}"/>
    <cellStyle name="Normal 4 3 3 2 4 3 2 2 2" xfId="5325" xr:uid="{00000000-0005-0000-0000-00002C130000}"/>
    <cellStyle name="Normal 4 3 3 2 4 3 2 2 3" xfId="5326" xr:uid="{00000000-0005-0000-0000-00002D130000}"/>
    <cellStyle name="Normal 4 3 3 2 4 3 2 3" xfId="5327" xr:uid="{00000000-0005-0000-0000-00002E130000}"/>
    <cellStyle name="Normal 4 3 3 2 4 3 2 4" xfId="5328" xr:uid="{00000000-0005-0000-0000-00002F130000}"/>
    <cellStyle name="Normal 4 3 3 2 4 3 2 5" xfId="5329" xr:uid="{00000000-0005-0000-0000-000030130000}"/>
    <cellStyle name="Normal 4 3 3 2 4 3 3" xfId="5330" xr:uid="{00000000-0005-0000-0000-000031130000}"/>
    <cellStyle name="Normal 4 3 3 2 4 3 3 2" xfId="5331" xr:uid="{00000000-0005-0000-0000-000032130000}"/>
    <cellStyle name="Normal 4 3 3 2 4 3 3 2 2" xfId="5332" xr:uid="{00000000-0005-0000-0000-000033130000}"/>
    <cellStyle name="Normal 4 3 3 2 4 3 3 2 3" xfId="5333" xr:uid="{00000000-0005-0000-0000-000034130000}"/>
    <cellStyle name="Normal 4 3 3 2 4 3 3 3" xfId="5334" xr:uid="{00000000-0005-0000-0000-000035130000}"/>
    <cellStyle name="Normal 4 3 3 2 4 3 3 4" xfId="5335" xr:uid="{00000000-0005-0000-0000-000036130000}"/>
    <cellStyle name="Normal 4 3 3 2 4 3 3 5" xfId="5336" xr:uid="{00000000-0005-0000-0000-000037130000}"/>
    <cellStyle name="Normal 4 3 3 2 4 3 4" xfId="5337" xr:uid="{00000000-0005-0000-0000-000038130000}"/>
    <cellStyle name="Normal 4 3 3 2 4 3 4 2" xfId="5338" xr:uid="{00000000-0005-0000-0000-000039130000}"/>
    <cellStyle name="Normal 4 3 3 2 4 3 4 3" xfId="5339" xr:uid="{00000000-0005-0000-0000-00003A130000}"/>
    <cellStyle name="Normal 4 3 3 2 4 3 5" xfId="5340" xr:uid="{00000000-0005-0000-0000-00003B130000}"/>
    <cellStyle name="Normal 4 3 3 2 4 3 6" xfId="5341" xr:uid="{00000000-0005-0000-0000-00003C130000}"/>
    <cellStyle name="Normal 4 3 3 2 4 3 7" xfId="5342" xr:uid="{00000000-0005-0000-0000-00003D130000}"/>
    <cellStyle name="Normal 4 3 3 2 4 4" xfId="5343" xr:uid="{00000000-0005-0000-0000-00003E130000}"/>
    <cellStyle name="Normal 4 3 3 2 4 4 2" xfId="5344" xr:uid="{00000000-0005-0000-0000-00003F130000}"/>
    <cellStyle name="Normal 4 3 3 2 4 4 2 2" xfId="5345" xr:uid="{00000000-0005-0000-0000-000040130000}"/>
    <cellStyle name="Normal 4 3 3 2 4 4 2 3" xfId="5346" xr:uid="{00000000-0005-0000-0000-000041130000}"/>
    <cellStyle name="Normal 4 3 3 2 4 4 3" xfId="5347" xr:uid="{00000000-0005-0000-0000-000042130000}"/>
    <cellStyle name="Normal 4 3 3 2 4 4 4" xfId="5348" xr:uid="{00000000-0005-0000-0000-000043130000}"/>
    <cellStyle name="Normal 4 3 3 2 4 4 5" xfId="5349" xr:uid="{00000000-0005-0000-0000-000044130000}"/>
    <cellStyle name="Normal 4 3 3 2 4 5" xfId="5350" xr:uid="{00000000-0005-0000-0000-000045130000}"/>
    <cellStyle name="Normal 4 3 3 2 4 5 2" xfId="5351" xr:uid="{00000000-0005-0000-0000-000046130000}"/>
    <cellStyle name="Normal 4 3 3 2 4 5 2 2" xfId="5352" xr:uid="{00000000-0005-0000-0000-000047130000}"/>
    <cellStyle name="Normal 4 3 3 2 4 5 2 3" xfId="5353" xr:uid="{00000000-0005-0000-0000-000048130000}"/>
    <cellStyle name="Normal 4 3 3 2 4 5 3" xfId="5354" xr:uid="{00000000-0005-0000-0000-000049130000}"/>
    <cellStyle name="Normal 4 3 3 2 4 5 4" xfId="5355" xr:uid="{00000000-0005-0000-0000-00004A130000}"/>
    <cellStyle name="Normal 4 3 3 2 4 5 5" xfId="5356" xr:uid="{00000000-0005-0000-0000-00004B130000}"/>
    <cellStyle name="Normal 4 3 3 2 4 6" xfId="5357" xr:uid="{00000000-0005-0000-0000-00004C130000}"/>
    <cellStyle name="Normal 4 3 3 2 4 6 2" xfId="5358" xr:uid="{00000000-0005-0000-0000-00004D130000}"/>
    <cellStyle name="Normal 4 3 3 2 4 6 3" xfId="5359" xr:uid="{00000000-0005-0000-0000-00004E130000}"/>
    <cellStyle name="Normal 4 3 3 2 4 7" xfId="5360" xr:uid="{00000000-0005-0000-0000-00004F130000}"/>
    <cellStyle name="Normal 4 3 3 2 4 8" xfId="5361" xr:uid="{00000000-0005-0000-0000-000050130000}"/>
    <cellStyle name="Normal 4 3 3 2 4 9" xfId="5362" xr:uid="{00000000-0005-0000-0000-000051130000}"/>
    <cellStyle name="Normal 4 3 3 2 5" xfId="5363" xr:uid="{00000000-0005-0000-0000-000052130000}"/>
    <cellStyle name="Normal 4 3 3 2 5 2" xfId="5364" xr:uid="{00000000-0005-0000-0000-000053130000}"/>
    <cellStyle name="Normal 4 3 3 2 5 2 2" xfId="5365" xr:uid="{00000000-0005-0000-0000-000054130000}"/>
    <cellStyle name="Normal 4 3 3 2 5 2 2 2" xfId="5366" xr:uid="{00000000-0005-0000-0000-000055130000}"/>
    <cellStyle name="Normal 4 3 3 2 5 2 2 2 2" xfId="5367" xr:uid="{00000000-0005-0000-0000-000056130000}"/>
    <cellStyle name="Normal 4 3 3 2 5 2 2 2 3" xfId="5368" xr:uid="{00000000-0005-0000-0000-000057130000}"/>
    <cellStyle name="Normal 4 3 3 2 5 2 2 3" xfId="5369" xr:uid="{00000000-0005-0000-0000-000058130000}"/>
    <cellStyle name="Normal 4 3 3 2 5 2 2 4" xfId="5370" xr:uid="{00000000-0005-0000-0000-000059130000}"/>
    <cellStyle name="Normal 4 3 3 2 5 2 2 5" xfId="5371" xr:uid="{00000000-0005-0000-0000-00005A130000}"/>
    <cellStyle name="Normal 4 3 3 2 5 2 3" xfId="5372" xr:uid="{00000000-0005-0000-0000-00005B130000}"/>
    <cellStyle name="Normal 4 3 3 2 5 2 3 2" xfId="5373" xr:uid="{00000000-0005-0000-0000-00005C130000}"/>
    <cellStyle name="Normal 4 3 3 2 5 2 3 2 2" xfId="5374" xr:uid="{00000000-0005-0000-0000-00005D130000}"/>
    <cellStyle name="Normal 4 3 3 2 5 2 3 2 3" xfId="5375" xr:uid="{00000000-0005-0000-0000-00005E130000}"/>
    <cellStyle name="Normal 4 3 3 2 5 2 3 3" xfId="5376" xr:uid="{00000000-0005-0000-0000-00005F130000}"/>
    <cellStyle name="Normal 4 3 3 2 5 2 3 4" xfId="5377" xr:uid="{00000000-0005-0000-0000-000060130000}"/>
    <cellStyle name="Normal 4 3 3 2 5 2 3 5" xfId="5378" xr:uid="{00000000-0005-0000-0000-000061130000}"/>
    <cellStyle name="Normal 4 3 3 2 5 2 4" xfId="5379" xr:uid="{00000000-0005-0000-0000-000062130000}"/>
    <cellStyle name="Normal 4 3 3 2 5 2 4 2" xfId="5380" xr:uid="{00000000-0005-0000-0000-000063130000}"/>
    <cellStyle name="Normal 4 3 3 2 5 2 4 3" xfId="5381" xr:uid="{00000000-0005-0000-0000-000064130000}"/>
    <cellStyle name="Normal 4 3 3 2 5 2 5" xfId="5382" xr:uid="{00000000-0005-0000-0000-000065130000}"/>
    <cellStyle name="Normal 4 3 3 2 5 2 6" xfId="5383" xr:uid="{00000000-0005-0000-0000-000066130000}"/>
    <cellStyle name="Normal 4 3 3 2 5 2 7" xfId="5384" xr:uid="{00000000-0005-0000-0000-000067130000}"/>
    <cellStyle name="Normal 4 3 3 2 5 3" xfId="5385" xr:uid="{00000000-0005-0000-0000-000068130000}"/>
    <cellStyle name="Normal 4 3 3 2 5 3 2" xfId="5386" xr:uid="{00000000-0005-0000-0000-000069130000}"/>
    <cellStyle name="Normal 4 3 3 2 5 3 2 2" xfId="5387" xr:uid="{00000000-0005-0000-0000-00006A130000}"/>
    <cellStyle name="Normal 4 3 3 2 5 3 2 3" xfId="5388" xr:uid="{00000000-0005-0000-0000-00006B130000}"/>
    <cellStyle name="Normal 4 3 3 2 5 3 3" xfId="5389" xr:uid="{00000000-0005-0000-0000-00006C130000}"/>
    <cellStyle name="Normal 4 3 3 2 5 3 4" xfId="5390" xr:uid="{00000000-0005-0000-0000-00006D130000}"/>
    <cellStyle name="Normal 4 3 3 2 5 3 5" xfId="5391" xr:uid="{00000000-0005-0000-0000-00006E130000}"/>
    <cellStyle name="Normal 4 3 3 2 5 4" xfId="5392" xr:uid="{00000000-0005-0000-0000-00006F130000}"/>
    <cellStyle name="Normal 4 3 3 2 5 4 2" xfId="5393" xr:uid="{00000000-0005-0000-0000-000070130000}"/>
    <cellStyle name="Normal 4 3 3 2 5 4 2 2" xfId="5394" xr:uid="{00000000-0005-0000-0000-000071130000}"/>
    <cellStyle name="Normal 4 3 3 2 5 4 2 3" xfId="5395" xr:uid="{00000000-0005-0000-0000-000072130000}"/>
    <cellStyle name="Normal 4 3 3 2 5 4 3" xfId="5396" xr:uid="{00000000-0005-0000-0000-000073130000}"/>
    <cellStyle name="Normal 4 3 3 2 5 4 4" xfId="5397" xr:uid="{00000000-0005-0000-0000-000074130000}"/>
    <cellStyle name="Normal 4 3 3 2 5 4 5" xfId="5398" xr:uid="{00000000-0005-0000-0000-000075130000}"/>
    <cellStyle name="Normal 4 3 3 2 5 5" xfId="5399" xr:uid="{00000000-0005-0000-0000-000076130000}"/>
    <cellStyle name="Normal 4 3 3 2 5 5 2" xfId="5400" xr:uid="{00000000-0005-0000-0000-000077130000}"/>
    <cellStyle name="Normal 4 3 3 2 5 5 3" xfId="5401" xr:uid="{00000000-0005-0000-0000-000078130000}"/>
    <cellStyle name="Normal 4 3 3 2 5 6" xfId="5402" xr:uid="{00000000-0005-0000-0000-000079130000}"/>
    <cellStyle name="Normal 4 3 3 2 5 7" xfId="5403" xr:uid="{00000000-0005-0000-0000-00007A130000}"/>
    <cellStyle name="Normal 4 3 3 2 5 8" xfId="5404" xr:uid="{00000000-0005-0000-0000-00007B130000}"/>
    <cellStyle name="Normal 4 3 3 2 6" xfId="5405" xr:uid="{00000000-0005-0000-0000-00007C130000}"/>
    <cellStyle name="Normal 4 3 3 2 6 2" xfId="5406" xr:uid="{00000000-0005-0000-0000-00007D130000}"/>
    <cellStyle name="Normal 4 3 3 2 6 2 2" xfId="5407" xr:uid="{00000000-0005-0000-0000-00007E130000}"/>
    <cellStyle name="Normal 4 3 3 2 6 2 2 2" xfId="5408" xr:uid="{00000000-0005-0000-0000-00007F130000}"/>
    <cellStyle name="Normal 4 3 3 2 6 2 2 3" xfId="5409" xr:uid="{00000000-0005-0000-0000-000080130000}"/>
    <cellStyle name="Normal 4 3 3 2 6 2 3" xfId="5410" xr:uid="{00000000-0005-0000-0000-000081130000}"/>
    <cellStyle name="Normal 4 3 3 2 6 2 4" xfId="5411" xr:uid="{00000000-0005-0000-0000-000082130000}"/>
    <cellStyle name="Normal 4 3 3 2 6 2 5" xfId="5412" xr:uid="{00000000-0005-0000-0000-000083130000}"/>
    <cellStyle name="Normal 4 3 3 2 6 3" xfId="5413" xr:uid="{00000000-0005-0000-0000-000084130000}"/>
    <cellStyle name="Normal 4 3 3 2 6 3 2" xfId="5414" xr:uid="{00000000-0005-0000-0000-000085130000}"/>
    <cellStyle name="Normal 4 3 3 2 6 3 2 2" xfId="5415" xr:uid="{00000000-0005-0000-0000-000086130000}"/>
    <cellStyle name="Normal 4 3 3 2 6 3 2 3" xfId="5416" xr:uid="{00000000-0005-0000-0000-000087130000}"/>
    <cellStyle name="Normal 4 3 3 2 6 3 3" xfId="5417" xr:uid="{00000000-0005-0000-0000-000088130000}"/>
    <cellStyle name="Normal 4 3 3 2 6 3 4" xfId="5418" xr:uid="{00000000-0005-0000-0000-000089130000}"/>
    <cellStyle name="Normal 4 3 3 2 6 3 5" xfId="5419" xr:uid="{00000000-0005-0000-0000-00008A130000}"/>
    <cellStyle name="Normal 4 3 3 2 6 4" xfId="5420" xr:uid="{00000000-0005-0000-0000-00008B130000}"/>
    <cellStyle name="Normal 4 3 3 2 6 4 2" xfId="5421" xr:uid="{00000000-0005-0000-0000-00008C130000}"/>
    <cellStyle name="Normal 4 3 3 2 6 4 3" xfId="5422" xr:uid="{00000000-0005-0000-0000-00008D130000}"/>
    <cellStyle name="Normal 4 3 3 2 6 5" xfId="5423" xr:uid="{00000000-0005-0000-0000-00008E130000}"/>
    <cellStyle name="Normal 4 3 3 2 6 6" xfId="5424" xr:uid="{00000000-0005-0000-0000-00008F130000}"/>
    <cellStyle name="Normal 4 3 3 2 6 7" xfId="5425" xr:uid="{00000000-0005-0000-0000-000090130000}"/>
    <cellStyle name="Normal 4 3 3 2 7" xfId="5426" xr:uid="{00000000-0005-0000-0000-000091130000}"/>
    <cellStyle name="Normal 4 3 3 2 7 2" xfId="5427" xr:uid="{00000000-0005-0000-0000-000092130000}"/>
    <cellStyle name="Normal 4 3 3 2 7 2 2" xfId="5428" xr:uid="{00000000-0005-0000-0000-000093130000}"/>
    <cellStyle name="Normal 4 3 3 2 7 2 3" xfId="5429" xr:uid="{00000000-0005-0000-0000-000094130000}"/>
    <cellStyle name="Normal 4 3 3 2 7 3" xfId="5430" xr:uid="{00000000-0005-0000-0000-000095130000}"/>
    <cellStyle name="Normal 4 3 3 2 7 4" xfId="5431" xr:uid="{00000000-0005-0000-0000-000096130000}"/>
    <cellStyle name="Normal 4 3 3 2 7 5" xfId="5432" xr:uid="{00000000-0005-0000-0000-000097130000}"/>
    <cellStyle name="Normal 4 3 3 2 8" xfId="5433" xr:uid="{00000000-0005-0000-0000-000098130000}"/>
    <cellStyle name="Normal 4 3 3 2 8 2" xfId="5434" xr:uid="{00000000-0005-0000-0000-000099130000}"/>
    <cellStyle name="Normal 4 3 3 2 8 2 2" xfId="5435" xr:uid="{00000000-0005-0000-0000-00009A130000}"/>
    <cellStyle name="Normal 4 3 3 2 8 2 3" xfId="5436" xr:uid="{00000000-0005-0000-0000-00009B130000}"/>
    <cellStyle name="Normal 4 3 3 2 8 3" xfId="5437" xr:uid="{00000000-0005-0000-0000-00009C130000}"/>
    <cellStyle name="Normal 4 3 3 2 8 4" xfId="5438" xr:uid="{00000000-0005-0000-0000-00009D130000}"/>
    <cellStyle name="Normal 4 3 3 2 8 5" xfId="5439" xr:uid="{00000000-0005-0000-0000-00009E130000}"/>
    <cellStyle name="Normal 4 3 3 2 9" xfId="5440" xr:uid="{00000000-0005-0000-0000-00009F130000}"/>
    <cellStyle name="Normal 4 3 3 2 9 2" xfId="5441" xr:uid="{00000000-0005-0000-0000-0000A0130000}"/>
    <cellStyle name="Normal 4 3 3 2 9 3" xfId="5442" xr:uid="{00000000-0005-0000-0000-0000A1130000}"/>
    <cellStyle name="Normal 4 3 3 3" xfId="5443" xr:uid="{00000000-0005-0000-0000-0000A2130000}"/>
    <cellStyle name="Normal 4 3 3 3 2" xfId="5444" xr:uid="{00000000-0005-0000-0000-0000A3130000}"/>
    <cellStyle name="Normal 4 3 3 3 2 2" xfId="5445" xr:uid="{00000000-0005-0000-0000-0000A4130000}"/>
    <cellStyle name="Normal 4 3 3 3 2 2 2" xfId="5446" xr:uid="{00000000-0005-0000-0000-0000A5130000}"/>
    <cellStyle name="Normal 4 3 3 3 2 2 2 2" xfId="5447" xr:uid="{00000000-0005-0000-0000-0000A6130000}"/>
    <cellStyle name="Normal 4 3 3 3 2 2 2 2 2" xfId="5448" xr:uid="{00000000-0005-0000-0000-0000A7130000}"/>
    <cellStyle name="Normal 4 3 3 3 2 2 2 2 3" xfId="5449" xr:uid="{00000000-0005-0000-0000-0000A8130000}"/>
    <cellStyle name="Normal 4 3 3 3 2 2 2 3" xfId="5450" xr:uid="{00000000-0005-0000-0000-0000A9130000}"/>
    <cellStyle name="Normal 4 3 3 3 2 2 2 4" xfId="5451" xr:uid="{00000000-0005-0000-0000-0000AA130000}"/>
    <cellStyle name="Normal 4 3 3 3 2 2 2 5" xfId="5452" xr:uid="{00000000-0005-0000-0000-0000AB130000}"/>
    <cellStyle name="Normal 4 3 3 3 2 2 3" xfId="5453" xr:uid="{00000000-0005-0000-0000-0000AC130000}"/>
    <cellStyle name="Normal 4 3 3 3 2 2 3 2" xfId="5454" xr:uid="{00000000-0005-0000-0000-0000AD130000}"/>
    <cellStyle name="Normal 4 3 3 3 2 2 3 2 2" xfId="5455" xr:uid="{00000000-0005-0000-0000-0000AE130000}"/>
    <cellStyle name="Normal 4 3 3 3 2 2 3 2 3" xfId="5456" xr:uid="{00000000-0005-0000-0000-0000AF130000}"/>
    <cellStyle name="Normal 4 3 3 3 2 2 3 3" xfId="5457" xr:uid="{00000000-0005-0000-0000-0000B0130000}"/>
    <cellStyle name="Normal 4 3 3 3 2 2 3 4" xfId="5458" xr:uid="{00000000-0005-0000-0000-0000B1130000}"/>
    <cellStyle name="Normal 4 3 3 3 2 2 3 5" xfId="5459" xr:uid="{00000000-0005-0000-0000-0000B2130000}"/>
    <cellStyle name="Normal 4 3 3 3 2 2 4" xfId="5460" xr:uid="{00000000-0005-0000-0000-0000B3130000}"/>
    <cellStyle name="Normal 4 3 3 3 2 2 4 2" xfId="5461" xr:uid="{00000000-0005-0000-0000-0000B4130000}"/>
    <cellStyle name="Normal 4 3 3 3 2 2 4 3" xfId="5462" xr:uid="{00000000-0005-0000-0000-0000B5130000}"/>
    <cellStyle name="Normal 4 3 3 3 2 2 5" xfId="5463" xr:uid="{00000000-0005-0000-0000-0000B6130000}"/>
    <cellStyle name="Normal 4 3 3 3 2 2 6" xfId="5464" xr:uid="{00000000-0005-0000-0000-0000B7130000}"/>
    <cellStyle name="Normal 4 3 3 3 2 2 7" xfId="5465" xr:uid="{00000000-0005-0000-0000-0000B8130000}"/>
    <cellStyle name="Normal 4 3 3 3 2 3" xfId="5466" xr:uid="{00000000-0005-0000-0000-0000B9130000}"/>
    <cellStyle name="Normal 4 3 3 3 2 3 2" xfId="5467" xr:uid="{00000000-0005-0000-0000-0000BA130000}"/>
    <cellStyle name="Normal 4 3 3 3 2 3 2 2" xfId="5468" xr:uid="{00000000-0005-0000-0000-0000BB130000}"/>
    <cellStyle name="Normal 4 3 3 3 2 3 2 3" xfId="5469" xr:uid="{00000000-0005-0000-0000-0000BC130000}"/>
    <cellStyle name="Normal 4 3 3 3 2 3 3" xfId="5470" xr:uid="{00000000-0005-0000-0000-0000BD130000}"/>
    <cellStyle name="Normal 4 3 3 3 2 3 4" xfId="5471" xr:uid="{00000000-0005-0000-0000-0000BE130000}"/>
    <cellStyle name="Normal 4 3 3 3 2 3 5" xfId="5472" xr:uid="{00000000-0005-0000-0000-0000BF130000}"/>
    <cellStyle name="Normal 4 3 3 3 2 4" xfId="5473" xr:uid="{00000000-0005-0000-0000-0000C0130000}"/>
    <cellStyle name="Normal 4 3 3 3 2 4 2" xfId="5474" xr:uid="{00000000-0005-0000-0000-0000C1130000}"/>
    <cellStyle name="Normal 4 3 3 3 2 4 2 2" xfId="5475" xr:uid="{00000000-0005-0000-0000-0000C2130000}"/>
    <cellStyle name="Normal 4 3 3 3 2 4 2 3" xfId="5476" xr:uid="{00000000-0005-0000-0000-0000C3130000}"/>
    <cellStyle name="Normal 4 3 3 3 2 4 3" xfId="5477" xr:uid="{00000000-0005-0000-0000-0000C4130000}"/>
    <cellStyle name="Normal 4 3 3 3 2 4 4" xfId="5478" xr:uid="{00000000-0005-0000-0000-0000C5130000}"/>
    <cellStyle name="Normal 4 3 3 3 2 4 5" xfId="5479" xr:uid="{00000000-0005-0000-0000-0000C6130000}"/>
    <cellStyle name="Normal 4 3 3 3 2 5" xfId="5480" xr:uid="{00000000-0005-0000-0000-0000C7130000}"/>
    <cellStyle name="Normal 4 3 3 3 2 5 2" xfId="5481" xr:uid="{00000000-0005-0000-0000-0000C8130000}"/>
    <cellStyle name="Normal 4 3 3 3 2 5 3" xfId="5482" xr:uid="{00000000-0005-0000-0000-0000C9130000}"/>
    <cellStyle name="Normal 4 3 3 3 2 6" xfId="5483" xr:uid="{00000000-0005-0000-0000-0000CA130000}"/>
    <cellStyle name="Normal 4 3 3 3 2 7" xfId="5484" xr:uid="{00000000-0005-0000-0000-0000CB130000}"/>
    <cellStyle name="Normal 4 3 3 3 2 8" xfId="5485" xr:uid="{00000000-0005-0000-0000-0000CC130000}"/>
    <cellStyle name="Normal 4 3 3 3 3" xfId="5486" xr:uid="{00000000-0005-0000-0000-0000CD130000}"/>
    <cellStyle name="Normal 4 3 3 3 3 2" xfId="5487" xr:uid="{00000000-0005-0000-0000-0000CE130000}"/>
    <cellStyle name="Normal 4 3 3 3 3 2 2" xfId="5488" xr:uid="{00000000-0005-0000-0000-0000CF130000}"/>
    <cellStyle name="Normal 4 3 3 3 3 2 2 2" xfId="5489" xr:uid="{00000000-0005-0000-0000-0000D0130000}"/>
    <cellStyle name="Normal 4 3 3 3 3 2 2 3" xfId="5490" xr:uid="{00000000-0005-0000-0000-0000D1130000}"/>
    <cellStyle name="Normal 4 3 3 3 3 2 3" xfId="5491" xr:uid="{00000000-0005-0000-0000-0000D2130000}"/>
    <cellStyle name="Normal 4 3 3 3 3 2 4" xfId="5492" xr:uid="{00000000-0005-0000-0000-0000D3130000}"/>
    <cellStyle name="Normal 4 3 3 3 3 2 5" xfId="5493" xr:uid="{00000000-0005-0000-0000-0000D4130000}"/>
    <cellStyle name="Normal 4 3 3 3 3 3" xfId="5494" xr:uid="{00000000-0005-0000-0000-0000D5130000}"/>
    <cellStyle name="Normal 4 3 3 3 3 3 2" xfId="5495" xr:uid="{00000000-0005-0000-0000-0000D6130000}"/>
    <cellStyle name="Normal 4 3 3 3 3 3 2 2" xfId="5496" xr:uid="{00000000-0005-0000-0000-0000D7130000}"/>
    <cellStyle name="Normal 4 3 3 3 3 3 2 3" xfId="5497" xr:uid="{00000000-0005-0000-0000-0000D8130000}"/>
    <cellStyle name="Normal 4 3 3 3 3 3 3" xfId="5498" xr:uid="{00000000-0005-0000-0000-0000D9130000}"/>
    <cellStyle name="Normal 4 3 3 3 3 3 4" xfId="5499" xr:uid="{00000000-0005-0000-0000-0000DA130000}"/>
    <cellStyle name="Normal 4 3 3 3 3 3 5" xfId="5500" xr:uid="{00000000-0005-0000-0000-0000DB130000}"/>
    <cellStyle name="Normal 4 3 3 3 3 4" xfId="5501" xr:uid="{00000000-0005-0000-0000-0000DC130000}"/>
    <cellStyle name="Normal 4 3 3 3 3 4 2" xfId="5502" xr:uid="{00000000-0005-0000-0000-0000DD130000}"/>
    <cellStyle name="Normal 4 3 3 3 3 4 3" xfId="5503" xr:uid="{00000000-0005-0000-0000-0000DE130000}"/>
    <cellStyle name="Normal 4 3 3 3 3 5" xfId="5504" xr:uid="{00000000-0005-0000-0000-0000DF130000}"/>
    <cellStyle name="Normal 4 3 3 3 3 6" xfId="5505" xr:uid="{00000000-0005-0000-0000-0000E0130000}"/>
    <cellStyle name="Normal 4 3 3 3 3 7" xfId="5506" xr:uid="{00000000-0005-0000-0000-0000E1130000}"/>
    <cellStyle name="Normal 4 3 3 3 4" xfId="5507" xr:uid="{00000000-0005-0000-0000-0000E2130000}"/>
    <cellStyle name="Normal 4 3 3 3 4 2" xfId="5508" xr:uid="{00000000-0005-0000-0000-0000E3130000}"/>
    <cellStyle name="Normal 4 3 3 3 4 2 2" xfId="5509" xr:uid="{00000000-0005-0000-0000-0000E4130000}"/>
    <cellStyle name="Normal 4 3 3 3 4 2 3" xfId="5510" xr:uid="{00000000-0005-0000-0000-0000E5130000}"/>
    <cellStyle name="Normal 4 3 3 3 4 3" xfId="5511" xr:uid="{00000000-0005-0000-0000-0000E6130000}"/>
    <cellStyle name="Normal 4 3 3 3 4 4" xfId="5512" xr:uid="{00000000-0005-0000-0000-0000E7130000}"/>
    <cellStyle name="Normal 4 3 3 3 4 5" xfId="5513" xr:uid="{00000000-0005-0000-0000-0000E8130000}"/>
    <cellStyle name="Normal 4 3 3 3 5" xfId="5514" xr:uid="{00000000-0005-0000-0000-0000E9130000}"/>
    <cellStyle name="Normal 4 3 3 3 5 2" xfId="5515" xr:uid="{00000000-0005-0000-0000-0000EA130000}"/>
    <cellStyle name="Normal 4 3 3 3 5 2 2" xfId="5516" xr:uid="{00000000-0005-0000-0000-0000EB130000}"/>
    <cellStyle name="Normal 4 3 3 3 5 2 3" xfId="5517" xr:uid="{00000000-0005-0000-0000-0000EC130000}"/>
    <cellStyle name="Normal 4 3 3 3 5 3" xfId="5518" xr:uid="{00000000-0005-0000-0000-0000ED130000}"/>
    <cellStyle name="Normal 4 3 3 3 5 4" xfId="5519" xr:uid="{00000000-0005-0000-0000-0000EE130000}"/>
    <cellStyle name="Normal 4 3 3 3 5 5" xfId="5520" xr:uid="{00000000-0005-0000-0000-0000EF130000}"/>
    <cellStyle name="Normal 4 3 3 3 6" xfId="5521" xr:uid="{00000000-0005-0000-0000-0000F0130000}"/>
    <cellStyle name="Normal 4 3 3 3 6 2" xfId="5522" xr:uid="{00000000-0005-0000-0000-0000F1130000}"/>
    <cellStyle name="Normal 4 3 3 3 6 3" xfId="5523" xr:uid="{00000000-0005-0000-0000-0000F2130000}"/>
    <cellStyle name="Normal 4 3 3 3 7" xfId="5524" xr:uid="{00000000-0005-0000-0000-0000F3130000}"/>
    <cellStyle name="Normal 4 3 3 3 8" xfId="5525" xr:uid="{00000000-0005-0000-0000-0000F4130000}"/>
    <cellStyle name="Normal 4 3 3 3 9" xfId="5526" xr:uid="{00000000-0005-0000-0000-0000F5130000}"/>
    <cellStyle name="Normal 4 3 3 4" xfId="5527" xr:uid="{00000000-0005-0000-0000-0000F6130000}"/>
    <cellStyle name="Normal 4 3 3 4 2" xfId="5528" xr:uid="{00000000-0005-0000-0000-0000F7130000}"/>
    <cellStyle name="Normal 4 3 3 4 2 2" xfId="5529" xr:uid="{00000000-0005-0000-0000-0000F8130000}"/>
    <cellStyle name="Normal 4 3 3 4 2 2 2" xfId="5530" xr:uid="{00000000-0005-0000-0000-0000F9130000}"/>
    <cellStyle name="Normal 4 3 3 4 2 2 2 2" xfId="5531" xr:uid="{00000000-0005-0000-0000-0000FA130000}"/>
    <cellStyle name="Normal 4 3 3 4 2 2 2 2 2" xfId="5532" xr:uid="{00000000-0005-0000-0000-0000FB130000}"/>
    <cellStyle name="Normal 4 3 3 4 2 2 2 2 3" xfId="5533" xr:uid="{00000000-0005-0000-0000-0000FC130000}"/>
    <cellStyle name="Normal 4 3 3 4 2 2 2 3" xfId="5534" xr:uid="{00000000-0005-0000-0000-0000FD130000}"/>
    <cellStyle name="Normal 4 3 3 4 2 2 2 4" xfId="5535" xr:uid="{00000000-0005-0000-0000-0000FE130000}"/>
    <cellStyle name="Normal 4 3 3 4 2 2 2 5" xfId="5536" xr:uid="{00000000-0005-0000-0000-0000FF130000}"/>
    <cellStyle name="Normal 4 3 3 4 2 2 3" xfId="5537" xr:uid="{00000000-0005-0000-0000-000000140000}"/>
    <cellStyle name="Normal 4 3 3 4 2 2 3 2" xfId="5538" xr:uid="{00000000-0005-0000-0000-000001140000}"/>
    <cellStyle name="Normal 4 3 3 4 2 2 3 2 2" xfId="5539" xr:uid="{00000000-0005-0000-0000-000002140000}"/>
    <cellStyle name="Normal 4 3 3 4 2 2 3 2 3" xfId="5540" xr:uid="{00000000-0005-0000-0000-000003140000}"/>
    <cellStyle name="Normal 4 3 3 4 2 2 3 3" xfId="5541" xr:uid="{00000000-0005-0000-0000-000004140000}"/>
    <cellStyle name="Normal 4 3 3 4 2 2 3 4" xfId="5542" xr:uid="{00000000-0005-0000-0000-000005140000}"/>
    <cellStyle name="Normal 4 3 3 4 2 2 3 5" xfId="5543" xr:uid="{00000000-0005-0000-0000-000006140000}"/>
    <cellStyle name="Normal 4 3 3 4 2 2 4" xfId="5544" xr:uid="{00000000-0005-0000-0000-000007140000}"/>
    <cellStyle name="Normal 4 3 3 4 2 2 4 2" xfId="5545" xr:uid="{00000000-0005-0000-0000-000008140000}"/>
    <cellStyle name="Normal 4 3 3 4 2 2 4 3" xfId="5546" xr:uid="{00000000-0005-0000-0000-000009140000}"/>
    <cellStyle name="Normal 4 3 3 4 2 2 5" xfId="5547" xr:uid="{00000000-0005-0000-0000-00000A140000}"/>
    <cellStyle name="Normal 4 3 3 4 2 2 6" xfId="5548" xr:uid="{00000000-0005-0000-0000-00000B140000}"/>
    <cellStyle name="Normal 4 3 3 4 2 2 7" xfId="5549" xr:uid="{00000000-0005-0000-0000-00000C140000}"/>
    <cellStyle name="Normal 4 3 3 4 2 3" xfId="5550" xr:uid="{00000000-0005-0000-0000-00000D140000}"/>
    <cellStyle name="Normal 4 3 3 4 2 3 2" xfId="5551" xr:uid="{00000000-0005-0000-0000-00000E140000}"/>
    <cellStyle name="Normal 4 3 3 4 2 3 2 2" xfId="5552" xr:uid="{00000000-0005-0000-0000-00000F140000}"/>
    <cellStyle name="Normal 4 3 3 4 2 3 2 3" xfId="5553" xr:uid="{00000000-0005-0000-0000-000010140000}"/>
    <cellStyle name="Normal 4 3 3 4 2 3 3" xfId="5554" xr:uid="{00000000-0005-0000-0000-000011140000}"/>
    <cellStyle name="Normal 4 3 3 4 2 3 4" xfId="5555" xr:uid="{00000000-0005-0000-0000-000012140000}"/>
    <cellStyle name="Normal 4 3 3 4 2 3 5" xfId="5556" xr:uid="{00000000-0005-0000-0000-000013140000}"/>
    <cellStyle name="Normal 4 3 3 4 2 4" xfId="5557" xr:uid="{00000000-0005-0000-0000-000014140000}"/>
    <cellStyle name="Normal 4 3 3 4 2 4 2" xfId="5558" xr:uid="{00000000-0005-0000-0000-000015140000}"/>
    <cellStyle name="Normal 4 3 3 4 2 4 2 2" xfId="5559" xr:uid="{00000000-0005-0000-0000-000016140000}"/>
    <cellStyle name="Normal 4 3 3 4 2 4 2 3" xfId="5560" xr:uid="{00000000-0005-0000-0000-000017140000}"/>
    <cellStyle name="Normal 4 3 3 4 2 4 3" xfId="5561" xr:uid="{00000000-0005-0000-0000-000018140000}"/>
    <cellStyle name="Normal 4 3 3 4 2 4 4" xfId="5562" xr:uid="{00000000-0005-0000-0000-000019140000}"/>
    <cellStyle name="Normal 4 3 3 4 2 4 5" xfId="5563" xr:uid="{00000000-0005-0000-0000-00001A140000}"/>
    <cellStyle name="Normal 4 3 3 4 2 5" xfId="5564" xr:uid="{00000000-0005-0000-0000-00001B140000}"/>
    <cellStyle name="Normal 4 3 3 4 2 5 2" xfId="5565" xr:uid="{00000000-0005-0000-0000-00001C140000}"/>
    <cellStyle name="Normal 4 3 3 4 2 5 3" xfId="5566" xr:uid="{00000000-0005-0000-0000-00001D140000}"/>
    <cellStyle name="Normal 4 3 3 4 2 6" xfId="5567" xr:uid="{00000000-0005-0000-0000-00001E140000}"/>
    <cellStyle name="Normal 4 3 3 4 2 7" xfId="5568" xr:uid="{00000000-0005-0000-0000-00001F140000}"/>
    <cellStyle name="Normal 4 3 3 4 2 8" xfId="5569" xr:uid="{00000000-0005-0000-0000-000020140000}"/>
    <cellStyle name="Normal 4 3 3 4 3" xfId="5570" xr:uid="{00000000-0005-0000-0000-000021140000}"/>
    <cellStyle name="Normal 4 3 3 4 3 2" xfId="5571" xr:uid="{00000000-0005-0000-0000-000022140000}"/>
    <cellStyle name="Normal 4 3 3 4 3 2 2" xfId="5572" xr:uid="{00000000-0005-0000-0000-000023140000}"/>
    <cellStyle name="Normal 4 3 3 4 3 2 2 2" xfId="5573" xr:uid="{00000000-0005-0000-0000-000024140000}"/>
    <cellStyle name="Normal 4 3 3 4 3 2 2 3" xfId="5574" xr:uid="{00000000-0005-0000-0000-000025140000}"/>
    <cellStyle name="Normal 4 3 3 4 3 2 3" xfId="5575" xr:uid="{00000000-0005-0000-0000-000026140000}"/>
    <cellStyle name="Normal 4 3 3 4 3 2 4" xfId="5576" xr:uid="{00000000-0005-0000-0000-000027140000}"/>
    <cellStyle name="Normal 4 3 3 4 3 2 5" xfId="5577" xr:uid="{00000000-0005-0000-0000-000028140000}"/>
    <cellStyle name="Normal 4 3 3 4 3 3" xfId="5578" xr:uid="{00000000-0005-0000-0000-000029140000}"/>
    <cellStyle name="Normal 4 3 3 4 3 3 2" xfId="5579" xr:uid="{00000000-0005-0000-0000-00002A140000}"/>
    <cellStyle name="Normal 4 3 3 4 3 3 2 2" xfId="5580" xr:uid="{00000000-0005-0000-0000-00002B140000}"/>
    <cellStyle name="Normal 4 3 3 4 3 3 2 3" xfId="5581" xr:uid="{00000000-0005-0000-0000-00002C140000}"/>
    <cellStyle name="Normal 4 3 3 4 3 3 3" xfId="5582" xr:uid="{00000000-0005-0000-0000-00002D140000}"/>
    <cellStyle name="Normal 4 3 3 4 3 3 4" xfId="5583" xr:uid="{00000000-0005-0000-0000-00002E140000}"/>
    <cellStyle name="Normal 4 3 3 4 3 3 5" xfId="5584" xr:uid="{00000000-0005-0000-0000-00002F140000}"/>
    <cellStyle name="Normal 4 3 3 4 3 4" xfId="5585" xr:uid="{00000000-0005-0000-0000-000030140000}"/>
    <cellStyle name="Normal 4 3 3 4 3 4 2" xfId="5586" xr:uid="{00000000-0005-0000-0000-000031140000}"/>
    <cellStyle name="Normal 4 3 3 4 3 4 3" xfId="5587" xr:uid="{00000000-0005-0000-0000-000032140000}"/>
    <cellStyle name="Normal 4 3 3 4 3 5" xfId="5588" xr:uid="{00000000-0005-0000-0000-000033140000}"/>
    <cellStyle name="Normal 4 3 3 4 3 6" xfId="5589" xr:uid="{00000000-0005-0000-0000-000034140000}"/>
    <cellStyle name="Normal 4 3 3 4 3 7" xfId="5590" xr:uid="{00000000-0005-0000-0000-000035140000}"/>
    <cellStyle name="Normal 4 3 3 4 4" xfId="5591" xr:uid="{00000000-0005-0000-0000-000036140000}"/>
    <cellStyle name="Normal 4 3 3 4 4 2" xfId="5592" xr:uid="{00000000-0005-0000-0000-000037140000}"/>
    <cellStyle name="Normal 4 3 3 4 4 2 2" xfId="5593" xr:uid="{00000000-0005-0000-0000-000038140000}"/>
    <cellStyle name="Normal 4 3 3 4 4 2 3" xfId="5594" xr:uid="{00000000-0005-0000-0000-000039140000}"/>
    <cellStyle name="Normal 4 3 3 4 4 3" xfId="5595" xr:uid="{00000000-0005-0000-0000-00003A140000}"/>
    <cellStyle name="Normal 4 3 3 4 4 4" xfId="5596" xr:uid="{00000000-0005-0000-0000-00003B140000}"/>
    <cellStyle name="Normal 4 3 3 4 4 5" xfId="5597" xr:uid="{00000000-0005-0000-0000-00003C140000}"/>
    <cellStyle name="Normal 4 3 3 4 5" xfId="5598" xr:uid="{00000000-0005-0000-0000-00003D140000}"/>
    <cellStyle name="Normal 4 3 3 4 5 2" xfId="5599" xr:uid="{00000000-0005-0000-0000-00003E140000}"/>
    <cellStyle name="Normal 4 3 3 4 5 2 2" xfId="5600" xr:uid="{00000000-0005-0000-0000-00003F140000}"/>
    <cellStyle name="Normal 4 3 3 4 5 2 3" xfId="5601" xr:uid="{00000000-0005-0000-0000-000040140000}"/>
    <cellStyle name="Normal 4 3 3 4 5 3" xfId="5602" xr:uid="{00000000-0005-0000-0000-000041140000}"/>
    <cellStyle name="Normal 4 3 3 4 5 4" xfId="5603" xr:uid="{00000000-0005-0000-0000-000042140000}"/>
    <cellStyle name="Normal 4 3 3 4 5 5" xfId="5604" xr:uid="{00000000-0005-0000-0000-000043140000}"/>
    <cellStyle name="Normal 4 3 3 4 6" xfId="5605" xr:uid="{00000000-0005-0000-0000-000044140000}"/>
    <cellStyle name="Normal 4 3 3 4 6 2" xfId="5606" xr:uid="{00000000-0005-0000-0000-000045140000}"/>
    <cellStyle name="Normal 4 3 3 4 6 3" xfId="5607" xr:uid="{00000000-0005-0000-0000-000046140000}"/>
    <cellStyle name="Normal 4 3 3 4 7" xfId="5608" xr:uid="{00000000-0005-0000-0000-000047140000}"/>
    <cellStyle name="Normal 4 3 3 4 8" xfId="5609" xr:uid="{00000000-0005-0000-0000-000048140000}"/>
    <cellStyle name="Normal 4 3 3 4 9" xfId="5610" xr:uid="{00000000-0005-0000-0000-000049140000}"/>
    <cellStyle name="Normal 4 3 3 5" xfId="5611" xr:uid="{00000000-0005-0000-0000-00004A140000}"/>
    <cellStyle name="Normal 4 3 3 5 2" xfId="5612" xr:uid="{00000000-0005-0000-0000-00004B140000}"/>
    <cellStyle name="Normal 4 3 3 5 2 2" xfId="5613" xr:uid="{00000000-0005-0000-0000-00004C140000}"/>
    <cellStyle name="Normal 4 3 3 5 2 2 2" xfId="5614" xr:uid="{00000000-0005-0000-0000-00004D140000}"/>
    <cellStyle name="Normal 4 3 3 5 2 2 2 2" xfId="5615" xr:uid="{00000000-0005-0000-0000-00004E140000}"/>
    <cellStyle name="Normal 4 3 3 5 2 2 2 2 2" xfId="5616" xr:uid="{00000000-0005-0000-0000-00004F140000}"/>
    <cellStyle name="Normal 4 3 3 5 2 2 2 2 3" xfId="5617" xr:uid="{00000000-0005-0000-0000-000050140000}"/>
    <cellStyle name="Normal 4 3 3 5 2 2 2 3" xfId="5618" xr:uid="{00000000-0005-0000-0000-000051140000}"/>
    <cellStyle name="Normal 4 3 3 5 2 2 2 4" xfId="5619" xr:uid="{00000000-0005-0000-0000-000052140000}"/>
    <cellStyle name="Normal 4 3 3 5 2 2 2 5" xfId="5620" xr:uid="{00000000-0005-0000-0000-000053140000}"/>
    <cellStyle name="Normal 4 3 3 5 2 2 3" xfId="5621" xr:uid="{00000000-0005-0000-0000-000054140000}"/>
    <cellStyle name="Normal 4 3 3 5 2 2 3 2" xfId="5622" xr:uid="{00000000-0005-0000-0000-000055140000}"/>
    <cellStyle name="Normal 4 3 3 5 2 2 3 2 2" xfId="5623" xr:uid="{00000000-0005-0000-0000-000056140000}"/>
    <cellStyle name="Normal 4 3 3 5 2 2 3 2 3" xfId="5624" xr:uid="{00000000-0005-0000-0000-000057140000}"/>
    <cellStyle name="Normal 4 3 3 5 2 2 3 3" xfId="5625" xr:uid="{00000000-0005-0000-0000-000058140000}"/>
    <cellStyle name="Normal 4 3 3 5 2 2 3 4" xfId="5626" xr:uid="{00000000-0005-0000-0000-000059140000}"/>
    <cellStyle name="Normal 4 3 3 5 2 2 3 5" xfId="5627" xr:uid="{00000000-0005-0000-0000-00005A140000}"/>
    <cellStyle name="Normal 4 3 3 5 2 2 4" xfId="5628" xr:uid="{00000000-0005-0000-0000-00005B140000}"/>
    <cellStyle name="Normal 4 3 3 5 2 2 4 2" xfId="5629" xr:uid="{00000000-0005-0000-0000-00005C140000}"/>
    <cellStyle name="Normal 4 3 3 5 2 2 4 3" xfId="5630" xr:uid="{00000000-0005-0000-0000-00005D140000}"/>
    <cellStyle name="Normal 4 3 3 5 2 2 5" xfId="5631" xr:uid="{00000000-0005-0000-0000-00005E140000}"/>
    <cellStyle name="Normal 4 3 3 5 2 2 6" xfId="5632" xr:uid="{00000000-0005-0000-0000-00005F140000}"/>
    <cellStyle name="Normal 4 3 3 5 2 2 7" xfId="5633" xr:uid="{00000000-0005-0000-0000-000060140000}"/>
    <cellStyle name="Normal 4 3 3 5 2 3" xfId="5634" xr:uid="{00000000-0005-0000-0000-000061140000}"/>
    <cellStyle name="Normal 4 3 3 5 2 3 2" xfId="5635" xr:uid="{00000000-0005-0000-0000-000062140000}"/>
    <cellStyle name="Normal 4 3 3 5 2 3 2 2" xfId="5636" xr:uid="{00000000-0005-0000-0000-000063140000}"/>
    <cellStyle name="Normal 4 3 3 5 2 3 2 3" xfId="5637" xr:uid="{00000000-0005-0000-0000-000064140000}"/>
    <cellStyle name="Normal 4 3 3 5 2 3 3" xfId="5638" xr:uid="{00000000-0005-0000-0000-000065140000}"/>
    <cellStyle name="Normal 4 3 3 5 2 3 4" xfId="5639" xr:uid="{00000000-0005-0000-0000-000066140000}"/>
    <cellStyle name="Normal 4 3 3 5 2 3 5" xfId="5640" xr:uid="{00000000-0005-0000-0000-000067140000}"/>
    <cellStyle name="Normal 4 3 3 5 2 4" xfId="5641" xr:uid="{00000000-0005-0000-0000-000068140000}"/>
    <cellStyle name="Normal 4 3 3 5 2 4 2" xfId="5642" xr:uid="{00000000-0005-0000-0000-000069140000}"/>
    <cellStyle name="Normal 4 3 3 5 2 4 2 2" xfId="5643" xr:uid="{00000000-0005-0000-0000-00006A140000}"/>
    <cellStyle name="Normal 4 3 3 5 2 4 2 3" xfId="5644" xr:uid="{00000000-0005-0000-0000-00006B140000}"/>
    <cellStyle name="Normal 4 3 3 5 2 4 3" xfId="5645" xr:uid="{00000000-0005-0000-0000-00006C140000}"/>
    <cellStyle name="Normal 4 3 3 5 2 4 4" xfId="5646" xr:uid="{00000000-0005-0000-0000-00006D140000}"/>
    <cellStyle name="Normal 4 3 3 5 2 4 5" xfId="5647" xr:uid="{00000000-0005-0000-0000-00006E140000}"/>
    <cellStyle name="Normal 4 3 3 5 2 5" xfId="5648" xr:uid="{00000000-0005-0000-0000-00006F140000}"/>
    <cellStyle name="Normal 4 3 3 5 2 5 2" xfId="5649" xr:uid="{00000000-0005-0000-0000-000070140000}"/>
    <cellStyle name="Normal 4 3 3 5 2 5 3" xfId="5650" xr:uid="{00000000-0005-0000-0000-000071140000}"/>
    <cellStyle name="Normal 4 3 3 5 2 6" xfId="5651" xr:uid="{00000000-0005-0000-0000-000072140000}"/>
    <cellStyle name="Normal 4 3 3 5 2 7" xfId="5652" xr:uid="{00000000-0005-0000-0000-000073140000}"/>
    <cellStyle name="Normal 4 3 3 5 2 8" xfId="5653" xr:uid="{00000000-0005-0000-0000-000074140000}"/>
    <cellStyle name="Normal 4 3 3 5 3" xfId="5654" xr:uid="{00000000-0005-0000-0000-000075140000}"/>
    <cellStyle name="Normal 4 3 3 5 3 2" xfId="5655" xr:uid="{00000000-0005-0000-0000-000076140000}"/>
    <cellStyle name="Normal 4 3 3 5 3 2 2" xfId="5656" xr:uid="{00000000-0005-0000-0000-000077140000}"/>
    <cellStyle name="Normal 4 3 3 5 3 2 2 2" xfId="5657" xr:uid="{00000000-0005-0000-0000-000078140000}"/>
    <cellStyle name="Normal 4 3 3 5 3 2 2 3" xfId="5658" xr:uid="{00000000-0005-0000-0000-000079140000}"/>
    <cellStyle name="Normal 4 3 3 5 3 2 3" xfId="5659" xr:uid="{00000000-0005-0000-0000-00007A140000}"/>
    <cellStyle name="Normal 4 3 3 5 3 2 4" xfId="5660" xr:uid="{00000000-0005-0000-0000-00007B140000}"/>
    <cellStyle name="Normal 4 3 3 5 3 2 5" xfId="5661" xr:uid="{00000000-0005-0000-0000-00007C140000}"/>
    <cellStyle name="Normal 4 3 3 5 3 3" xfId="5662" xr:uid="{00000000-0005-0000-0000-00007D140000}"/>
    <cellStyle name="Normal 4 3 3 5 3 3 2" xfId="5663" xr:uid="{00000000-0005-0000-0000-00007E140000}"/>
    <cellStyle name="Normal 4 3 3 5 3 3 2 2" xfId="5664" xr:uid="{00000000-0005-0000-0000-00007F140000}"/>
    <cellStyle name="Normal 4 3 3 5 3 3 2 3" xfId="5665" xr:uid="{00000000-0005-0000-0000-000080140000}"/>
    <cellStyle name="Normal 4 3 3 5 3 3 3" xfId="5666" xr:uid="{00000000-0005-0000-0000-000081140000}"/>
    <cellStyle name="Normal 4 3 3 5 3 3 4" xfId="5667" xr:uid="{00000000-0005-0000-0000-000082140000}"/>
    <cellStyle name="Normal 4 3 3 5 3 3 5" xfId="5668" xr:uid="{00000000-0005-0000-0000-000083140000}"/>
    <cellStyle name="Normal 4 3 3 5 3 4" xfId="5669" xr:uid="{00000000-0005-0000-0000-000084140000}"/>
    <cellStyle name="Normal 4 3 3 5 3 4 2" xfId="5670" xr:uid="{00000000-0005-0000-0000-000085140000}"/>
    <cellStyle name="Normal 4 3 3 5 3 4 3" xfId="5671" xr:uid="{00000000-0005-0000-0000-000086140000}"/>
    <cellStyle name="Normal 4 3 3 5 3 5" xfId="5672" xr:uid="{00000000-0005-0000-0000-000087140000}"/>
    <cellStyle name="Normal 4 3 3 5 3 6" xfId="5673" xr:uid="{00000000-0005-0000-0000-000088140000}"/>
    <cellStyle name="Normal 4 3 3 5 3 7" xfId="5674" xr:uid="{00000000-0005-0000-0000-000089140000}"/>
    <cellStyle name="Normal 4 3 3 5 4" xfId="5675" xr:uid="{00000000-0005-0000-0000-00008A140000}"/>
    <cellStyle name="Normal 4 3 3 5 4 2" xfId="5676" xr:uid="{00000000-0005-0000-0000-00008B140000}"/>
    <cellStyle name="Normal 4 3 3 5 4 2 2" xfId="5677" xr:uid="{00000000-0005-0000-0000-00008C140000}"/>
    <cellStyle name="Normal 4 3 3 5 4 2 3" xfId="5678" xr:uid="{00000000-0005-0000-0000-00008D140000}"/>
    <cellStyle name="Normal 4 3 3 5 4 3" xfId="5679" xr:uid="{00000000-0005-0000-0000-00008E140000}"/>
    <cellStyle name="Normal 4 3 3 5 4 4" xfId="5680" xr:uid="{00000000-0005-0000-0000-00008F140000}"/>
    <cellStyle name="Normal 4 3 3 5 4 5" xfId="5681" xr:uid="{00000000-0005-0000-0000-000090140000}"/>
    <cellStyle name="Normal 4 3 3 5 5" xfId="5682" xr:uid="{00000000-0005-0000-0000-000091140000}"/>
    <cellStyle name="Normal 4 3 3 5 5 2" xfId="5683" xr:uid="{00000000-0005-0000-0000-000092140000}"/>
    <cellStyle name="Normal 4 3 3 5 5 2 2" xfId="5684" xr:uid="{00000000-0005-0000-0000-000093140000}"/>
    <cellStyle name="Normal 4 3 3 5 5 2 3" xfId="5685" xr:uid="{00000000-0005-0000-0000-000094140000}"/>
    <cellStyle name="Normal 4 3 3 5 5 3" xfId="5686" xr:uid="{00000000-0005-0000-0000-000095140000}"/>
    <cellStyle name="Normal 4 3 3 5 5 4" xfId="5687" xr:uid="{00000000-0005-0000-0000-000096140000}"/>
    <cellStyle name="Normal 4 3 3 5 5 5" xfId="5688" xr:uid="{00000000-0005-0000-0000-000097140000}"/>
    <cellStyle name="Normal 4 3 3 5 6" xfId="5689" xr:uid="{00000000-0005-0000-0000-000098140000}"/>
    <cellStyle name="Normal 4 3 3 5 6 2" xfId="5690" xr:uid="{00000000-0005-0000-0000-000099140000}"/>
    <cellStyle name="Normal 4 3 3 5 6 3" xfId="5691" xr:uid="{00000000-0005-0000-0000-00009A140000}"/>
    <cellStyle name="Normal 4 3 3 5 7" xfId="5692" xr:uid="{00000000-0005-0000-0000-00009B140000}"/>
    <cellStyle name="Normal 4 3 3 5 8" xfId="5693" xr:uid="{00000000-0005-0000-0000-00009C140000}"/>
    <cellStyle name="Normal 4 3 3 5 9" xfId="5694" xr:uid="{00000000-0005-0000-0000-00009D140000}"/>
    <cellStyle name="Normal 4 3 3 6" xfId="5695" xr:uid="{00000000-0005-0000-0000-00009E140000}"/>
    <cellStyle name="Normal 4 3 3 6 2" xfId="5696" xr:uid="{00000000-0005-0000-0000-00009F140000}"/>
    <cellStyle name="Normal 4 3 3 6 2 2" xfId="5697" xr:uid="{00000000-0005-0000-0000-0000A0140000}"/>
    <cellStyle name="Normal 4 3 3 6 2 2 2" xfId="5698" xr:uid="{00000000-0005-0000-0000-0000A1140000}"/>
    <cellStyle name="Normal 4 3 3 6 2 2 2 2" xfId="5699" xr:uid="{00000000-0005-0000-0000-0000A2140000}"/>
    <cellStyle name="Normal 4 3 3 6 2 2 2 3" xfId="5700" xr:uid="{00000000-0005-0000-0000-0000A3140000}"/>
    <cellStyle name="Normal 4 3 3 6 2 2 3" xfId="5701" xr:uid="{00000000-0005-0000-0000-0000A4140000}"/>
    <cellStyle name="Normal 4 3 3 6 2 2 4" xfId="5702" xr:uid="{00000000-0005-0000-0000-0000A5140000}"/>
    <cellStyle name="Normal 4 3 3 6 2 2 5" xfId="5703" xr:uid="{00000000-0005-0000-0000-0000A6140000}"/>
    <cellStyle name="Normal 4 3 3 6 2 3" xfId="5704" xr:uid="{00000000-0005-0000-0000-0000A7140000}"/>
    <cellStyle name="Normal 4 3 3 6 2 3 2" xfId="5705" xr:uid="{00000000-0005-0000-0000-0000A8140000}"/>
    <cellStyle name="Normal 4 3 3 6 2 3 2 2" xfId="5706" xr:uid="{00000000-0005-0000-0000-0000A9140000}"/>
    <cellStyle name="Normal 4 3 3 6 2 3 2 3" xfId="5707" xr:uid="{00000000-0005-0000-0000-0000AA140000}"/>
    <cellStyle name="Normal 4 3 3 6 2 3 3" xfId="5708" xr:uid="{00000000-0005-0000-0000-0000AB140000}"/>
    <cellStyle name="Normal 4 3 3 6 2 3 4" xfId="5709" xr:uid="{00000000-0005-0000-0000-0000AC140000}"/>
    <cellStyle name="Normal 4 3 3 6 2 3 5" xfId="5710" xr:uid="{00000000-0005-0000-0000-0000AD140000}"/>
    <cellStyle name="Normal 4 3 3 6 2 4" xfId="5711" xr:uid="{00000000-0005-0000-0000-0000AE140000}"/>
    <cellStyle name="Normal 4 3 3 6 2 4 2" xfId="5712" xr:uid="{00000000-0005-0000-0000-0000AF140000}"/>
    <cellStyle name="Normal 4 3 3 6 2 4 3" xfId="5713" xr:uid="{00000000-0005-0000-0000-0000B0140000}"/>
    <cellStyle name="Normal 4 3 3 6 2 5" xfId="5714" xr:uid="{00000000-0005-0000-0000-0000B1140000}"/>
    <cellStyle name="Normal 4 3 3 6 2 6" xfId="5715" xr:uid="{00000000-0005-0000-0000-0000B2140000}"/>
    <cellStyle name="Normal 4 3 3 6 2 7" xfId="5716" xr:uid="{00000000-0005-0000-0000-0000B3140000}"/>
    <cellStyle name="Normal 4 3 3 6 3" xfId="5717" xr:uid="{00000000-0005-0000-0000-0000B4140000}"/>
    <cellStyle name="Normal 4 3 3 6 3 2" xfId="5718" xr:uid="{00000000-0005-0000-0000-0000B5140000}"/>
    <cellStyle name="Normal 4 3 3 6 3 2 2" xfId="5719" xr:uid="{00000000-0005-0000-0000-0000B6140000}"/>
    <cellStyle name="Normal 4 3 3 6 3 2 3" xfId="5720" xr:uid="{00000000-0005-0000-0000-0000B7140000}"/>
    <cellStyle name="Normal 4 3 3 6 3 3" xfId="5721" xr:uid="{00000000-0005-0000-0000-0000B8140000}"/>
    <cellStyle name="Normal 4 3 3 6 3 4" xfId="5722" xr:uid="{00000000-0005-0000-0000-0000B9140000}"/>
    <cellStyle name="Normal 4 3 3 6 3 5" xfId="5723" xr:uid="{00000000-0005-0000-0000-0000BA140000}"/>
    <cellStyle name="Normal 4 3 3 6 4" xfId="5724" xr:uid="{00000000-0005-0000-0000-0000BB140000}"/>
    <cellStyle name="Normal 4 3 3 6 4 2" xfId="5725" xr:uid="{00000000-0005-0000-0000-0000BC140000}"/>
    <cellStyle name="Normal 4 3 3 6 4 2 2" xfId="5726" xr:uid="{00000000-0005-0000-0000-0000BD140000}"/>
    <cellStyle name="Normal 4 3 3 6 4 2 3" xfId="5727" xr:uid="{00000000-0005-0000-0000-0000BE140000}"/>
    <cellStyle name="Normal 4 3 3 6 4 3" xfId="5728" xr:uid="{00000000-0005-0000-0000-0000BF140000}"/>
    <cellStyle name="Normal 4 3 3 6 4 4" xfId="5729" xr:uid="{00000000-0005-0000-0000-0000C0140000}"/>
    <cellStyle name="Normal 4 3 3 6 4 5" xfId="5730" xr:uid="{00000000-0005-0000-0000-0000C1140000}"/>
    <cellStyle name="Normal 4 3 3 6 5" xfId="5731" xr:uid="{00000000-0005-0000-0000-0000C2140000}"/>
    <cellStyle name="Normal 4 3 3 6 5 2" xfId="5732" xr:uid="{00000000-0005-0000-0000-0000C3140000}"/>
    <cellStyle name="Normal 4 3 3 6 5 3" xfId="5733" xr:uid="{00000000-0005-0000-0000-0000C4140000}"/>
    <cellStyle name="Normal 4 3 3 6 6" xfId="5734" xr:uid="{00000000-0005-0000-0000-0000C5140000}"/>
    <cellStyle name="Normal 4 3 3 6 7" xfId="5735" xr:uid="{00000000-0005-0000-0000-0000C6140000}"/>
    <cellStyle name="Normal 4 3 3 6 8" xfId="5736" xr:uid="{00000000-0005-0000-0000-0000C7140000}"/>
    <cellStyle name="Normal 4 3 3 7" xfId="5737" xr:uid="{00000000-0005-0000-0000-0000C8140000}"/>
    <cellStyle name="Normal 4 3 3 7 2" xfId="5738" xr:uid="{00000000-0005-0000-0000-0000C9140000}"/>
    <cellStyle name="Normal 4 3 3 7 2 2" xfId="5739" xr:uid="{00000000-0005-0000-0000-0000CA140000}"/>
    <cellStyle name="Normal 4 3 3 7 2 2 2" xfId="5740" xr:uid="{00000000-0005-0000-0000-0000CB140000}"/>
    <cellStyle name="Normal 4 3 3 7 2 2 3" xfId="5741" xr:uid="{00000000-0005-0000-0000-0000CC140000}"/>
    <cellStyle name="Normal 4 3 3 7 2 3" xfId="5742" xr:uid="{00000000-0005-0000-0000-0000CD140000}"/>
    <cellStyle name="Normal 4 3 3 7 2 4" xfId="5743" xr:uid="{00000000-0005-0000-0000-0000CE140000}"/>
    <cellStyle name="Normal 4 3 3 7 2 5" xfId="5744" xr:uid="{00000000-0005-0000-0000-0000CF140000}"/>
    <cellStyle name="Normal 4 3 3 7 3" xfId="5745" xr:uid="{00000000-0005-0000-0000-0000D0140000}"/>
    <cellStyle name="Normal 4 3 3 7 3 2" xfId="5746" xr:uid="{00000000-0005-0000-0000-0000D1140000}"/>
    <cellStyle name="Normal 4 3 3 7 3 2 2" xfId="5747" xr:uid="{00000000-0005-0000-0000-0000D2140000}"/>
    <cellStyle name="Normal 4 3 3 7 3 2 3" xfId="5748" xr:uid="{00000000-0005-0000-0000-0000D3140000}"/>
    <cellStyle name="Normal 4 3 3 7 3 3" xfId="5749" xr:uid="{00000000-0005-0000-0000-0000D4140000}"/>
    <cellStyle name="Normal 4 3 3 7 3 4" xfId="5750" xr:uid="{00000000-0005-0000-0000-0000D5140000}"/>
    <cellStyle name="Normal 4 3 3 7 3 5" xfId="5751" xr:uid="{00000000-0005-0000-0000-0000D6140000}"/>
    <cellStyle name="Normal 4 3 3 7 4" xfId="5752" xr:uid="{00000000-0005-0000-0000-0000D7140000}"/>
    <cellStyle name="Normal 4 3 3 7 4 2" xfId="5753" xr:uid="{00000000-0005-0000-0000-0000D8140000}"/>
    <cellStyle name="Normal 4 3 3 7 4 3" xfId="5754" xr:uid="{00000000-0005-0000-0000-0000D9140000}"/>
    <cellStyle name="Normal 4 3 3 7 5" xfId="5755" xr:uid="{00000000-0005-0000-0000-0000DA140000}"/>
    <cellStyle name="Normal 4 3 3 7 6" xfId="5756" xr:uid="{00000000-0005-0000-0000-0000DB140000}"/>
    <cellStyle name="Normal 4 3 3 7 7" xfId="5757" xr:uid="{00000000-0005-0000-0000-0000DC140000}"/>
    <cellStyle name="Normal 4 3 3 8" xfId="5758" xr:uid="{00000000-0005-0000-0000-0000DD140000}"/>
    <cellStyle name="Normal 4 3 3 8 2" xfId="5759" xr:uid="{00000000-0005-0000-0000-0000DE140000}"/>
    <cellStyle name="Normal 4 3 3 8 2 2" xfId="5760" xr:uid="{00000000-0005-0000-0000-0000DF140000}"/>
    <cellStyle name="Normal 4 3 3 8 2 2 2" xfId="5761" xr:uid="{00000000-0005-0000-0000-0000E0140000}"/>
    <cellStyle name="Normal 4 3 3 8 2 2 3" xfId="5762" xr:uid="{00000000-0005-0000-0000-0000E1140000}"/>
    <cellStyle name="Normal 4 3 3 8 2 3" xfId="5763" xr:uid="{00000000-0005-0000-0000-0000E2140000}"/>
    <cellStyle name="Normal 4 3 3 8 2 4" xfId="5764" xr:uid="{00000000-0005-0000-0000-0000E3140000}"/>
    <cellStyle name="Normal 4 3 3 8 2 5" xfId="5765" xr:uid="{00000000-0005-0000-0000-0000E4140000}"/>
    <cellStyle name="Normal 4 3 3 8 3" xfId="5766" xr:uid="{00000000-0005-0000-0000-0000E5140000}"/>
    <cellStyle name="Normal 4 3 3 8 3 2" xfId="5767" xr:uid="{00000000-0005-0000-0000-0000E6140000}"/>
    <cellStyle name="Normal 4 3 3 8 3 2 2" xfId="5768" xr:uid="{00000000-0005-0000-0000-0000E7140000}"/>
    <cellStyle name="Normal 4 3 3 8 3 2 3" xfId="5769" xr:uid="{00000000-0005-0000-0000-0000E8140000}"/>
    <cellStyle name="Normal 4 3 3 8 3 3" xfId="5770" xr:uid="{00000000-0005-0000-0000-0000E9140000}"/>
    <cellStyle name="Normal 4 3 3 8 3 4" xfId="5771" xr:uid="{00000000-0005-0000-0000-0000EA140000}"/>
    <cellStyle name="Normal 4 3 3 8 3 5" xfId="5772" xr:uid="{00000000-0005-0000-0000-0000EB140000}"/>
    <cellStyle name="Normal 4 3 3 8 4" xfId="5773" xr:uid="{00000000-0005-0000-0000-0000EC140000}"/>
    <cellStyle name="Normal 4 3 3 8 4 2" xfId="5774" xr:uid="{00000000-0005-0000-0000-0000ED140000}"/>
    <cellStyle name="Normal 4 3 3 8 4 3" xfId="5775" xr:uid="{00000000-0005-0000-0000-0000EE140000}"/>
    <cellStyle name="Normal 4 3 3 8 5" xfId="5776" xr:uid="{00000000-0005-0000-0000-0000EF140000}"/>
    <cellStyle name="Normal 4 3 3 8 6" xfId="5777" xr:uid="{00000000-0005-0000-0000-0000F0140000}"/>
    <cellStyle name="Normal 4 3 3 8 7" xfId="5778" xr:uid="{00000000-0005-0000-0000-0000F1140000}"/>
    <cellStyle name="Normal 4 3 3 9" xfId="5779" xr:uid="{00000000-0005-0000-0000-0000F2140000}"/>
    <cellStyle name="Normal 4 3 3 9 2" xfId="5780" xr:uid="{00000000-0005-0000-0000-0000F3140000}"/>
    <cellStyle name="Normal 4 3 3 9 2 2" xfId="5781" xr:uid="{00000000-0005-0000-0000-0000F4140000}"/>
    <cellStyle name="Normal 4 3 3 9 2 3" xfId="5782" xr:uid="{00000000-0005-0000-0000-0000F5140000}"/>
    <cellStyle name="Normal 4 3 3 9 3" xfId="5783" xr:uid="{00000000-0005-0000-0000-0000F6140000}"/>
    <cellStyle name="Normal 4 3 3 9 4" xfId="5784" xr:uid="{00000000-0005-0000-0000-0000F7140000}"/>
    <cellStyle name="Normal 4 3 3 9 5" xfId="5785" xr:uid="{00000000-0005-0000-0000-0000F8140000}"/>
    <cellStyle name="Normal 4 3 4" xfId="5786" xr:uid="{00000000-0005-0000-0000-0000F9140000}"/>
    <cellStyle name="Normal 4 3 4 10" xfId="5787" xr:uid="{00000000-0005-0000-0000-0000FA140000}"/>
    <cellStyle name="Normal 4 3 4 11" xfId="5788" xr:uid="{00000000-0005-0000-0000-0000FB140000}"/>
    <cellStyle name="Normal 4 3 4 12" xfId="5789" xr:uid="{00000000-0005-0000-0000-0000FC140000}"/>
    <cellStyle name="Normal 4 3 4 2" xfId="5790" xr:uid="{00000000-0005-0000-0000-0000FD140000}"/>
    <cellStyle name="Normal 4 3 4 2 2" xfId="5791" xr:uid="{00000000-0005-0000-0000-0000FE140000}"/>
    <cellStyle name="Normal 4 3 4 2 2 2" xfId="5792" xr:uid="{00000000-0005-0000-0000-0000FF140000}"/>
    <cellStyle name="Normal 4 3 4 2 2 2 2" xfId="5793" xr:uid="{00000000-0005-0000-0000-000000150000}"/>
    <cellStyle name="Normal 4 3 4 2 2 2 2 2" xfId="5794" xr:uid="{00000000-0005-0000-0000-000001150000}"/>
    <cellStyle name="Normal 4 3 4 2 2 2 2 2 2" xfId="5795" xr:uid="{00000000-0005-0000-0000-000002150000}"/>
    <cellStyle name="Normal 4 3 4 2 2 2 2 2 3" xfId="5796" xr:uid="{00000000-0005-0000-0000-000003150000}"/>
    <cellStyle name="Normal 4 3 4 2 2 2 2 3" xfId="5797" xr:uid="{00000000-0005-0000-0000-000004150000}"/>
    <cellStyle name="Normal 4 3 4 2 2 2 2 4" xfId="5798" xr:uid="{00000000-0005-0000-0000-000005150000}"/>
    <cellStyle name="Normal 4 3 4 2 2 2 2 5" xfId="5799" xr:uid="{00000000-0005-0000-0000-000006150000}"/>
    <cellStyle name="Normal 4 3 4 2 2 2 3" xfId="5800" xr:uid="{00000000-0005-0000-0000-000007150000}"/>
    <cellStyle name="Normal 4 3 4 2 2 2 3 2" xfId="5801" xr:uid="{00000000-0005-0000-0000-000008150000}"/>
    <cellStyle name="Normal 4 3 4 2 2 2 3 2 2" xfId="5802" xr:uid="{00000000-0005-0000-0000-000009150000}"/>
    <cellStyle name="Normal 4 3 4 2 2 2 3 2 3" xfId="5803" xr:uid="{00000000-0005-0000-0000-00000A150000}"/>
    <cellStyle name="Normal 4 3 4 2 2 2 3 3" xfId="5804" xr:uid="{00000000-0005-0000-0000-00000B150000}"/>
    <cellStyle name="Normal 4 3 4 2 2 2 3 4" xfId="5805" xr:uid="{00000000-0005-0000-0000-00000C150000}"/>
    <cellStyle name="Normal 4 3 4 2 2 2 3 5" xfId="5806" xr:uid="{00000000-0005-0000-0000-00000D150000}"/>
    <cellStyle name="Normal 4 3 4 2 2 2 4" xfId="5807" xr:uid="{00000000-0005-0000-0000-00000E150000}"/>
    <cellStyle name="Normal 4 3 4 2 2 2 4 2" xfId="5808" xr:uid="{00000000-0005-0000-0000-00000F150000}"/>
    <cellStyle name="Normal 4 3 4 2 2 2 4 3" xfId="5809" xr:uid="{00000000-0005-0000-0000-000010150000}"/>
    <cellStyle name="Normal 4 3 4 2 2 2 5" xfId="5810" xr:uid="{00000000-0005-0000-0000-000011150000}"/>
    <cellStyle name="Normal 4 3 4 2 2 2 6" xfId="5811" xr:uid="{00000000-0005-0000-0000-000012150000}"/>
    <cellStyle name="Normal 4 3 4 2 2 2 7" xfId="5812" xr:uid="{00000000-0005-0000-0000-000013150000}"/>
    <cellStyle name="Normal 4 3 4 2 2 3" xfId="5813" xr:uid="{00000000-0005-0000-0000-000014150000}"/>
    <cellStyle name="Normal 4 3 4 2 2 3 2" xfId="5814" xr:uid="{00000000-0005-0000-0000-000015150000}"/>
    <cellStyle name="Normal 4 3 4 2 2 3 2 2" xfId="5815" xr:uid="{00000000-0005-0000-0000-000016150000}"/>
    <cellStyle name="Normal 4 3 4 2 2 3 2 3" xfId="5816" xr:uid="{00000000-0005-0000-0000-000017150000}"/>
    <cellStyle name="Normal 4 3 4 2 2 3 3" xfId="5817" xr:uid="{00000000-0005-0000-0000-000018150000}"/>
    <cellStyle name="Normal 4 3 4 2 2 3 4" xfId="5818" xr:uid="{00000000-0005-0000-0000-000019150000}"/>
    <cellStyle name="Normal 4 3 4 2 2 3 5" xfId="5819" xr:uid="{00000000-0005-0000-0000-00001A150000}"/>
    <cellStyle name="Normal 4 3 4 2 2 4" xfId="5820" xr:uid="{00000000-0005-0000-0000-00001B150000}"/>
    <cellStyle name="Normal 4 3 4 2 2 4 2" xfId="5821" xr:uid="{00000000-0005-0000-0000-00001C150000}"/>
    <cellStyle name="Normal 4 3 4 2 2 4 2 2" xfId="5822" xr:uid="{00000000-0005-0000-0000-00001D150000}"/>
    <cellStyle name="Normal 4 3 4 2 2 4 2 3" xfId="5823" xr:uid="{00000000-0005-0000-0000-00001E150000}"/>
    <cellStyle name="Normal 4 3 4 2 2 4 3" xfId="5824" xr:uid="{00000000-0005-0000-0000-00001F150000}"/>
    <cellStyle name="Normal 4 3 4 2 2 4 4" xfId="5825" xr:uid="{00000000-0005-0000-0000-000020150000}"/>
    <cellStyle name="Normal 4 3 4 2 2 4 5" xfId="5826" xr:uid="{00000000-0005-0000-0000-000021150000}"/>
    <cellStyle name="Normal 4 3 4 2 2 5" xfId="5827" xr:uid="{00000000-0005-0000-0000-000022150000}"/>
    <cellStyle name="Normal 4 3 4 2 2 5 2" xfId="5828" xr:uid="{00000000-0005-0000-0000-000023150000}"/>
    <cellStyle name="Normal 4 3 4 2 2 5 3" xfId="5829" xr:uid="{00000000-0005-0000-0000-000024150000}"/>
    <cellStyle name="Normal 4 3 4 2 2 6" xfId="5830" xr:uid="{00000000-0005-0000-0000-000025150000}"/>
    <cellStyle name="Normal 4 3 4 2 2 7" xfId="5831" xr:uid="{00000000-0005-0000-0000-000026150000}"/>
    <cellStyle name="Normal 4 3 4 2 2 8" xfId="5832" xr:uid="{00000000-0005-0000-0000-000027150000}"/>
    <cellStyle name="Normal 4 3 4 2 3" xfId="5833" xr:uid="{00000000-0005-0000-0000-000028150000}"/>
    <cellStyle name="Normal 4 3 4 2 3 2" xfId="5834" xr:uid="{00000000-0005-0000-0000-000029150000}"/>
    <cellStyle name="Normal 4 3 4 2 3 2 2" xfId="5835" xr:uid="{00000000-0005-0000-0000-00002A150000}"/>
    <cellStyle name="Normal 4 3 4 2 3 2 2 2" xfId="5836" xr:uid="{00000000-0005-0000-0000-00002B150000}"/>
    <cellStyle name="Normal 4 3 4 2 3 2 2 3" xfId="5837" xr:uid="{00000000-0005-0000-0000-00002C150000}"/>
    <cellStyle name="Normal 4 3 4 2 3 2 3" xfId="5838" xr:uid="{00000000-0005-0000-0000-00002D150000}"/>
    <cellStyle name="Normal 4 3 4 2 3 2 4" xfId="5839" xr:uid="{00000000-0005-0000-0000-00002E150000}"/>
    <cellStyle name="Normal 4 3 4 2 3 2 5" xfId="5840" xr:uid="{00000000-0005-0000-0000-00002F150000}"/>
    <cellStyle name="Normal 4 3 4 2 3 3" xfId="5841" xr:uid="{00000000-0005-0000-0000-000030150000}"/>
    <cellStyle name="Normal 4 3 4 2 3 3 2" xfId="5842" xr:uid="{00000000-0005-0000-0000-000031150000}"/>
    <cellStyle name="Normal 4 3 4 2 3 3 2 2" xfId="5843" xr:uid="{00000000-0005-0000-0000-000032150000}"/>
    <cellStyle name="Normal 4 3 4 2 3 3 2 3" xfId="5844" xr:uid="{00000000-0005-0000-0000-000033150000}"/>
    <cellStyle name="Normal 4 3 4 2 3 3 3" xfId="5845" xr:uid="{00000000-0005-0000-0000-000034150000}"/>
    <cellStyle name="Normal 4 3 4 2 3 3 4" xfId="5846" xr:uid="{00000000-0005-0000-0000-000035150000}"/>
    <cellStyle name="Normal 4 3 4 2 3 3 5" xfId="5847" xr:uid="{00000000-0005-0000-0000-000036150000}"/>
    <cellStyle name="Normal 4 3 4 2 3 4" xfId="5848" xr:uid="{00000000-0005-0000-0000-000037150000}"/>
    <cellStyle name="Normal 4 3 4 2 3 4 2" xfId="5849" xr:uid="{00000000-0005-0000-0000-000038150000}"/>
    <cellStyle name="Normal 4 3 4 2 3 4 3" xfId="5850" xr:uid="{00000000-0005-0000-0000-000039150000}"/>
    <cellStyle name="Normal 4 3 4 2 3 5" xfId="5851" xr:uid="{00000000-0005-0000-0000-00003A150000}"/>
    <cellStyle name="Normal 4 3 4 2 3 6" xfId="5852" xr:uid="{00000000-0005-0000-0000-00003B150000}"/>
    <cellStyle name="Normal 4 3 4 2 3 7" xfId="5853" xr:uid="{00000000-0005-0000-0000-00003C150000}"/>
    <cellStyle name="Normal 4 3 4 2 4" xfId="5854" xr:uid="{00000000-0005-0000-0000-00003D150000}"/>
    <cellStyle name="Normal 4 3 4 2 4 2" xfId="5855" xr:uid="{00000000-0005-0000-0000-00003E150000}"/>
    <cellStyle name="Normal 4 3 4 2 4 2 2" xfId="5856" xr:uid="{00000000-0005-0000-0000-00003F150000}"/>
    <cellStyle name="Normal 4 3 4 2 4 2 3" xfId="5857" xr:uid="{00000000-0005-0000-0000-000040150000}"/>
    <cellStyle name="Normal 4 3 4 2 4 3" xfId="5858" xr:uid="{00000000-0005-0000-0000-000041150000}"/>
    <cellStyle name="Normal 4 3 4 2 4 4" xfId="5859" xr:uid="{00000000-0005-0000-0000-000042150000}"/>
    <cellStyle name="Normal 4 3 4 2 4 5" xfId="5860" xr:uid="{00000000-0005-0000-0000-000043150000}"/>
    <cellStyle name="Normal 4 3 4 2 5" xfId="5861" xr:uid="{00000000-0005-0000-0000-000044150000}"/>
    <cellStyle name="Normal 4 3 4 2 5 2" xfId="5862" xr:uid="{00000000-0005-0000-0000-000045150000}"/>
    <cellStyle name="Normal 4 3 4 2 5 2 2" xfId="5863" xr:uid="{00000000-0005-0000-0000-000046150000}"/>
    <cellStyle name="Normal 4 3 4 2 5 2 3" xfId="5864" xr:uid="{00000000-0005-0000-0000-000047150000}"/>
    <cellStyle name="Normal 4 3 4 2 5 3" xfId="5865" xr:uid="{00000000-0005-0000-0000-000048150000}"/>
    <cellStyle name="Normal 4 3 4 2 5 4" xfId="5866" xr:uid="{00000000-0005-0000-0000-000049150000}"/>
    <cellStyle name="Normal 4 3 4 2 5 5" xfId="5867" xr:uid="{00000000-0005-0000-0000-00004A150000}"/>
    <cellStyle name="Normal 4 3 4 2 6" xfId="5868" xr:uid="{00000000-0005-0000-0000-00004B150000}"/>
    <cellStyle name="Normal 4 3 4 2 6 2" xfId="5869" xr:uid="{00000000-0005-0000-0000-00004C150000}"/>
    <cellStyle name="Normal 4 3 4 2 6 3" xfId="5870" xr:uid="{00000000-0005-0000-0000-00004D150000}"/>
    <cellStyle name="Normal 4 3 4 2 7" xfId="5871" xr:uid="{00000000-0005-0000-0000-00004E150000}"/>
    <cellStyle name="Normal 4 3 4 2 8" xfId="5872" xr:uid="{00000000-0005-0000-0000-00004F150000}"/>
    <cellStyle name="Normal 4 3 4 2 9" xfId="5873" xr:uid="{00000000-0005-0000-0000-000050150000}"/>
    <cellStyle name="Normal 4 3 4 3" xfId="5874" xr:uid="{00000000-0005-0000-0000-000051150000}"/>
    <cellStyle name="Normal 4 3 4 3 2" xfId="5875" xr:uid="{00000000-0005-0000-0000-000052150000}"/>
    <cellStyle name="Normal 4 3 4 3 2 2" xfId="5876" xr:uid="{00000000-0005-0000-0000-000053150000}"/>
    <cellStyle name="Normal 4 3 4 3 2 2 2" xfId="5877" xr:uid="{00000000-0005-0000-0000-000054150000}"/>
    <cellStyle name="Normal 4 3 4 3 2 2 2 2" xfId="5878" xr:uid="{00000000-0005-0000-0000-000055150000}"/>
    <cellStyle name="Normal 4 3 4 3 2 2 2 2 2" xfId="5879" xr:uid="{00000000-0005-0000-0000-000056150000}"/>
    <cellStyle name="Normal 4 3 4 3 2 2 2 2 3" xfId="5880" xr:uid="{00000000-0005-0000-0000-000057150000}"/>
    <cellStyle name="Normal 4 3 4 3 2 2 2 3" xfId="5881" xr:uid="{00000000-0005-0000-0000-000058150000}"/>
    <cellStyle name="Normal 4 3 4 3 2 2 2 4" xfId="5882" xr:uid="{00000000-0005-0000-0000-000059150000}"/>
    <cellStyle name="Normal 4 3 4 3 2 2 2 5" xfId="5883" xr:uid="{00000000-0005-0000-0000-00005A150000}"/>
    <cellStyle name="Normal 4 3 4 3 2 2 3" xfId="5884" xr:uid="{00000000-0005-0000-0000-00005B150000}"/>
    <cellStyle name="Normal 4 3 4 3 2 2 3 2" xfId="5885" xr:uid="{00000000-0005-0000-0000-00005C150000}"/>
    <cellStyle name="Normal 4 3 4 3 2 2 3 2 2" xfId="5886" xr:uid="{00000000-0005-0000-0000-00005D150000}"/>
    <cellStyle name="Normal 4 3 4 3 2 2 3 2 3" xfId="5887" xr:uid="{00000000-0005-0000-0000-00005E150000}"/>
    <cellStyle name="Normal 4 3 4 3 2 2 3 3" xfId="5888" xr:uid="{00000000-0005-0000-0000-00005F150000}"/>
    <cellStyle name="Normal 4 3 4 3 2 2 3 4" xfId="5889" xr:uid="{00000000-0005-0000-0000-000060150000}"/>
    <cellStyle name="Normal 4 3 4 3 2 2 3 5" xfId="5890" xr:uid="{00000000-0005-0000-0000-000061150000}"/>
    <cellStyle name="Normal 4 3 4 3 2 2 4" xfId="5891" xr:uid="{00000000-0005-0000-0000-000062150000}"/>
    <cellStyle name="Normal 4 3 4 3 2 2 4 2" xfId="5892" xr:uid="{00000000-0005-0000-0000-000063150000}"/>
    <cellStyle name="Normal 4 3 4 3 2 2 4 3" xfId="5893" xr:uid="{00000000-0005-0000-0000-000064150000}"/>
    <cellStyle name="Normal 4 3 4 3 2 2 5" xfId="5894" xr:uid="{00000000-0005-0000-0000-000065150000}"/>
    <cellStyle name="Normal 4 3 4 3 2 2 6" xfId="5895" xr:uid="{00000000-0005-0000-0000-000066150000}"/>
    <cellStyle name="Normal 4 3 4 3 2 2 7" xfId="5896" xr:uid="{00000000-0005-0000-0000-000067150000}"/>
    <cellStyle name="Normal 4 3 4 3 2 3" xfId="5897" xr:uid="{00000000-0005-0000-0000-000068150000}"/>
    <cellStyle name="Normal 4 3 4 3 2 3 2" xfId="5898" xr:uid="{00000000-0005-0000-0000-000069150000}"/>
    <cellStyle name="Normal 4 3 4 3 2 3 2 2" xfId="5899" xr:uid="{00000000-0005-0000-0000-00006A150000}"/>
    <cellStyle name="Normal 4 3 4 3 2 3 2 3" xfId="5900" xr:uid="{00000000-0005-0000-0000-00006B150000}"/>
    <cellStyle name="Normal 4 3 4 3 2 3 3" xfId="5901" xr:uid="{00000000-0005-0000-0000-00006C150000}"/>
    <cellStyle name="Normal 4 3 4 3 2 3 4" xfId="5902" xr:uid="{00000000-0005-0000-0000-00006D150000}"/>
    <cellStyle name="Normal 4 3 4 3 2 3 5" xfId="5903" xr:uid="{00000000-0005-0000-0000-00006E150000}"/>
    <cellStyle name="Normal 4 3 4 3 2 4" xfId="5904" xr:uid="{00000000-0005-0000-0000-00006F150000}"/>
    <cellStyle name="Normal 4 3 4 3 2 4 2" xfId="5905" xr:uid="{00000000-0005-0000-0000-000070150000}"/>
    <cellStyle name="Normal 4 3 4 3 2 4 2 2" xfId="5906" xr:uid="{00000000-0005-0000-0000-000071150000}"/>
    <cellStyle name="Normal 4 3 4 3 2 4 2 3" xfId="5907" xr:uid="{00000000-0005-0000-0000-000072150000}"/>
    <cellStyle name="Normal 4 3 4 3 2 4 3" xfId="5908" xr:uid="{00000000-0005-0000-0000-000073150000}"/>
    <cellStyle name="Normal 4 3 4 3 2 4 4" xfId="5909" xr:uid="{00000000-0005-0000-0000-000074150000}"/>
    <cellStyle name="Normal 4 3 4 3 2 4 5" xfId="5910" xr:uid="{00000000-0005-0000-0000-000075150000}"/>
    <cellStyle name="Normal 4 3 4 3 2 5" xfId="5911" xr:uid="{00000000-0005-0000-0000-000076150000}"/>
    <cellStyle name="Normal 4 3 4 3 2 5 2" xfId="5912" xr:uid="{00000000-0005-0000-0000-000077150000}"/>
    <cellStyle name="Normal 4 3 4 3 2 5 3" xfId="5913" xr:uid="{00000000-0005-0000-0000-000078150000}"/>
    <cellStyle name="Normal 4 3 4 3 2 6" xfId="5914" xr:uid="{00000000-0005-0000-0000-000079150000}"/>
    <cellStyle name="Normal 4 3 4 3 2 7" xfId="5915" xr:uid="{00000000-0005-0000-0000-00007A150000}"/>
    <cellStyle name="Normal 4 3 4 3 2 8" xfId="5916" xr:uid="{00000000-0005-0000-0000-00007B150000}"/>
    <cellStyle name="Normal 4 3 4 3 3" xfId="5917" xr:uid="{00000000-0005-0000-0000-00007C150000}"/>
    <cellStyle name="Normal 4 3 4 3 3 2" xfId="5918" xr:uid="{00000000-0005-0000-0000-00007D150000}"/>
    <cellStyle name="Normal 4 3 4 3 3 2 2" xfId="5919" xr:uid="{00000000-0005-0000-0000-00007E150000}"/>
    <cellStyle name="Normal 4 3 4 3 3 2 2 2" xfId="5920" xr:uid="{00000000-0005-0000-0000-00007F150000}"/>
    <cellStyle name="Normal 4 3 4 3 3 2 2 3" xfId="5921" xr:uid="{00000000-0005-0000-0000-000080150000}"/>
    <cellStyle name="Normal 4 3 4 3 3 2 3" xfId="5922" xr:uid="{00000000-0005-0000-0000-000081150000}"/>
    <cellStyle name="Normal 4 3 4 3 3 2 4" xfId="5923" xr:uid="{00000000-0005-0000-0000-000082150000}"/>
    <cellStyle name="Normal 4 3 4 3 3 2 5" xfId="5924" xr:uid="{00000000-0005-0000-0000-000083150000}"/>
    <cellStyle name="Normal 4 3 4 3 3 3" xfId="5925" xr:uid="{00000000-0005-0000-0000-000084150000}"/>
    <cellStyle name="Normal 4 3 4 3 3 3 2" xfId="5926" xr:uid="{00000000-0005-0000-0000-000085150000}"/>
    <cellStyle name="Normal 4 3 4 3 3 3 2 2" xfId="5927" xr:uid="{00000000-0005-0000-0000-000086150000}"/>
    <cellStyle name="Normal 4 3 4 3 3 3 2 3" xfId="5928" xr:uid="{00000000-0005-0000-0000-000087150000}"/>
    <cellStyle name="Normal 4 3 4 3 3 3 3" xfId="5929" xr:uid="{00000000-0005-0000-0000-000088150000}"/>
    <cellStyle name="Normal 4 3 4 3 3 3 4" xfId="5930" xr:uid="{00000000-0005-0000-0000-000089150000}"/>
    <cellStyle name="Normal 4 3 4 3 3 3 5" xfId="5931" xr:uid="{00000000-0005-0000-0000-00008A150000}"/>
    <cellStyle name="Normal 4 3 4 3 3 4" xfId="5932" xr:uid="{00000000-0005-0000-0000-00008B150000}"/>
    <cellStyle name="Normal 4 3 4 3 3 4 2" xfId="5933" xr:uid="{00000000-0005-0000-0000-00008C150000}"/>
    <cellStyle name="Normal 4 3 4 3 3 4 3" xfId="5934" xr:uid="{00000000-0005-0000-0000-00008D150000}"/>
    <cellStyle name="Normal 4 3 4 3 3 5" xfId="5935" xr:uid="{00000000-0005-0000-0000-00008E150000}"/>
    <cellStyle name="Normal 4 3 4 3 3 6" xfId="5936" xr:uid="{00000000-0005-0000-0000-00008F150000}"/>
    <cellStyle name="Normal 4 3 4 3 3 7" xfId="5937" xr:uid="{00000000-0005-0000-0000-000090150000}"/>
    <cellStyle name="Normal 4 3 4 3 4" xfId="5938" xr:uid="{00000000-0005-0000-0000-000091150000}"/>
    <cellStyle name="Normal 4 3 4 3 4 2" xfId="5939" xr:uid="{00000000-0005-0000-0000-000092150000}"/>
    <cellStyle name="Normal 4 3 4 3 4 2 2" xfId="5940" xr:uid="{00000000-0005-0000-0000-000093150000}"/>
    <cellStyle name="Normal 4 3 4 3 4 2 3" xfId="5941" xr:uid="{00000000-0005-0000-0000-000094150000}"/>
    <cellStyle name="Normal 4 3 4 3 4 3" xfId="5942" xr:uid="{00000000-0005-0000-0000-000095150000}"/>
    <cellStyle name="Normal 4 3 4 3 4 4" xfId="5943" xr:uid="{00000000-0005-0000-0000-000096150000}"/>
    <cellStyle name="Normal 4 3 4 3 4 5" xfId="5944" xr:uid="{00000000-0005-0000-0000-000097150000}"/>
    <cellStyle name="Normal 4 3 4 3 5" xfId="5945" xr:uid="{00000000-0005-0000-0000-000098150000}"/>
    <cellStyle name="Normal 4 3 4 3 5 2" xfId="5946" xr:uid="{00000000-0005-0000-0000-000099150000}"/>
    <cellStyle name="Normal 4 3 4 3 5 2 2" xfId="5947" xr:uid="{00000000-0005-0000-0000-00009A150000}"/>
    <cellStyle name="Normal 4 3 4 3 5 2 3" xfId="5948" xr:uid="{00000000-0005-0000-0000-00009B150000}"/>
    <cellStyle name="Normal 4 3 4 3 5 3" xfId="5949" xr:uid="{00000000-0005-0000-0000-00009C150000}"/>
    <cellStyle name="Normal 4 3 4 3 5 4" xfId="5950" xr:uid="{00000000-0005-0000-0000-00009D150000}"/>
    <cellStyle name="Normal 4 3 4 3 5 5" xfId="5951" xr:uid="{00000000-0005-0000-0000-00009E150000}"/>
    <cellStyle name="Normal 4 3 4 3 6" xfId="5952" xr:uid="{00000000-0005-0000-0000-00009F150000}"/>
    <cellStyle name="Normal 4 3 4 3 6 2" xfId="5953" xr:uid="{00000000-0005-0000-0000-0000A0150000}"/>
    <cellStyle name="Normal 4 3 4 3 6 3" xfId="5954" xr:uid="{00000000-0005-0000-0000-0000A1150000}"/>
    <cellStyle name="Normal 4 3 4 3 7" xfId="5955" xr:uid="{00000000-0005-0000-0000-0000A2150000}"/>
    <cellStyle name="Normal 4 3 4 3 8" xfId="5956" xr:uid="{00000000-0005-0000-0000-0000A3150000}"/>
    <cellStyle name="Normal 4 3 4 3 9" xfId="5957" xr:uid="{00000000-0005-0000-0000-0000A4150000}"/>
    <cellStyle name="Normal 4 3 4 4" xfId="5958" xr:uid="{00000000-0005-0000-0000-0000A5150000}"/>
    <cellStyle name="Normal 4 3 4 4 2" xfId="5959" xr:uid="{00000000-0005-0000-0000-0000A6150000}"/>
    <cellStyle name="Normal 4 3 4 4 2 2" xfId="5960" xr:uid="{00000000-0005-0000-0000-0000A7150000}"/>
    <cellStyle name="Normal 4 3 4 4 2 2 2" xfId="5961" xr:uid="{00000000-0005-0000-0000-0000A8150000}"/>
    <cellStyle name="Normal 4 3 4 4 2 2 2 2" xfId="5962" xr:uid="{00000000-0005-0000-0000-0000A9150000}"/>
    <cellStyle name="Normal 4 3 4 4 2 2 2 2 2" xfId="5963" xr:uid="{00000000-0005-0000-0000-0000AA150000}"/>
    <cellStyle name="Normal 4 3 4 4 2 2 2 2 3" xfId="5964" xr:uid="{00000000-0005-0000-0000-0000AB150000}"/>
    <cellStyle name="Normal 4 3 4 4 2 2 2 3" xfId="5965" xr:uid="{00000000-0005-0000-0000-0000AC150000}"/>
    <cellStyle name="Normal 4 3 4 4 2 2 2 4" xfId="5966" xr:uid="{00000000-0005-0000-0000-0000AD150000}"/>
    <cellStyle name="Normal 4 3 4 4 2 2 2 5" xfId="5967" xr:uid="{00000000-0005-0000-0000-0000AE150000}"/>
    <cellStyle name="Normal 4 3 4 4 2 2 3" xfId="5968" xr:uid="{00000000-0005-0000-0000-0000AF150000}"/>
    <cellStyle name="Normal 4 3 4 4 2 2 3 2" xfId="5969" xr:uid="{00000000-0005-0000-0000-0000B0150000}"/>
    <cellStyle name="Normal 4 3 4 4 2 2 3 2 2" xfId="5970" xr:uid="{00000000-0005-0000-0000-0000B1150000}"/>
    <cellStyle name="Normal 4 3 4 4 2 2 3 2 3" xfId="5971" xr:uid="{00000000-0005-0000-0000-0000B2150000}"/>
    <cellStyle name="Normal 4 3 4 4 2 2 3 3" xfId="5972" xr:uid="{00000000-0005-0000-0000-0000B3150000}"/>
    <cellStyle name="Normal 4 3 4 4 2 2 3 4" xfId="5973" xr:uid="{00000000-0005-0000-0000-0000B4150000}"/>
    <cellStyle name="Normal 4 3 4 4 2 2 3 5" xfId="5974" xr:uid="{00000000-0005-0000-0000-0000B5150000}"/>
    <cellStyle name="Normal 4 3 4 4 2 2 4" xfId="5975" xr:uid="{00000000-0005-0000-0000-0000B6150000}"/>
    <cellStyle name="Normal 4 3 4 4 2 2 4 2" xfId="5976" xr:uid="{00000000-0005-0000-0000-0000B7150000}"/>
    <cellStyle name="Normal 4 3 4 4 2 2 4 3" xfId="5977" xr:uid="{00000000-0005-0000-0000-0000B8150000}"/>
    <cellStyle name="Normal 4 3 4 4 2 2 5" xfId="5978" xr:uid="{00000000-0005-0000-0000-0000B9150000}"/>
    <cellStyle name="Normal 4 3 4 4 2 2 6" xfId="5979" xr:uid="{00000000-0005-0000-0000-0000BA150000}"/>
    <cellStyle name="Normal 4 3 4 4 2 2 7" xfId="5980" xr:uid="{00000000-0005-0000-0000-0000BB150000}"/>
    <cellStyle name="Normal 4 3 4 4 2 3" xfId="5981" xr:uid="{00000000-0005-0000-0000-0000BC150000}"/>
    <cellStyle name="Normal 4 3 4 4 2 3 2" xfId="5982" xr:uid="{00000000-0005-0000-0000-0000BD150000}"/>
    <cellStyle name="Normal 4 3 4 4 2 3 2 2" xfId="5983" xr:uid="{00000000-0005-0000-0000-0000BE150000}"/>
    <cellStyle name="Normal 4 3 4 4 2 3 2 3" xfId="5984" xr:uid="{00000000-0005-0000-0000-0000BF150000}"/>
    <cellStyle name="Normal 4 3 4 4 2 3 3" xfId="5985" xr:uid="{00000000-0005-0000-0000-0000C0150000}"/>
    <cellStyle name="Normal 4 3 4 4 2 3 4" xfId="5986" xr:uid="{00000000-0005-0000-0000-0000C1150000}"/>
    <cellStyle name="Normal 4 3 4 4 2 3 5" xfId="5987" xr:uid="{00000000-0005-0000-0000-0000C2150000}"/>
    <cellStyle name="Normal 4 3 4 4 2 4" xfId="5988" xr:uid="{00000000-0005-0000-0000-0000C3150000}"/>
    <cellStyle name="Normal 4 3 4 4 2 4 2" xfId="5989" xr:uid="{00000000-0005-0000-0000-0000C4150000}"/>
    <cellStyle name="Normal 4 3 4 4 2 4 2 2" xfId="5990" xr:uid="{00000000-0005-0000-0000-0000C5150000}"/>
    <cellStyle name="Normal 4 3 4 4 2 4 2 3" xfId="5991" xr:uid="{00000000-0005-0000-0000-0000C6150000}"/>
    <cellStyle name="Normal 4 3 4 4 2 4 3" xfId="5992" xr:uid="{00000000-0005-0000-0000-0000C7150000}"/>
    <cellStyle name="Normal 4 3 4 4 2 4 4" xfId="5993" xr:uid="{00000000-0005-0000-0000-0000C8150000}"/>
    <cellStyle name="Normal 4 3 4 4 2 4 5" xfId="5994" xr:uid="{00000000-0005-0000-0000-0000C9150000}"/>
    <cellStyle name="Normal 4 3 4 4 2 5" xfId="5995" xr:uid="{00000000-0005-0000-0000-0000CA150000}"/>
    <cellStyle name="Normal 4 3 4 4 2 5 2" xfId="5996" xr:uid="{00000000-0005-0000-0000-0000CB150000}"/>
    <cellStyle name="Normal 4 3 4 4 2 5 3" xfId="5997" xr:uid="{00000000-0005-0000-0000-0000CC150000}"/>
    <cellStyle name="Normal 4 3 4 4 2 6" xfId="5998" xr:uid="{00000000-0005-0000-0000-0000CD150000}"/>
    <cellStyle name="Normal 4 3 4 4 2 7" xfId="5999" xr:uid="{00000000-0005-0000-0000-0000CE150000}"/>
    <cellStyle name="Normal 4 3 4 4 2 8" xfId="6000" xr:uid="{00000000-0005-0000-0000-0000CF150000}"/>
    <cellStyle name="Normal 4 3 4 4 3" xfId="6001" xr:uid="{00000000-0005-0000-0000-0000D0150000}"/>
    <cellStyle name="Normal 4 3 4 4 3 2" xfId="6002" xr:uid="{00000000-0005-0000-0000-0000D1150000}"/>
    <cellStyle name="Normal 4 3 4 4 3 2 2" xfId="6003" xr:uid="{00000000-0005-0000-0000-0000D2150000}"/>
    <cellStyle name="Normal 4 3 4 4 3 2 2 2" xfId="6004" xr:uid="{00000000-0005-0000-0000-0000D3150000}"/>
    <cellStyle name="Normal 4 3 4 4 3 2 2 3" xfId="6005" xr:uid="{00000000-0005-0000-0000-0000D4150000}"/>
    <cellStyle name="Normal 4 3 4 4 3 2 3" xfId="6006" xr:uid="{00000000-0005-0000-0000-0000D5150000}"/>
    <cellStyle name="Normal 4 3 4 4 3 2 4" xfId="6007" xr:uid="{00000000-0005-0000-0000-0000D6150000}"/>
    <cellStyle name="Normal 4 3 4 4 3 2 5" xfId="6008" xr:uid="{00000000-0005-0000-0000-0000D7150000}"/>
    <cellStyle name="Normal 4 3 4 4 3 3" xfId="6009" xr:uid="{00000000-0005-0000-0000-0000D8150000}"/>
    <cellStyle name="Normal 4 3 4 4 3 3 2" xfId="6010" xr:uid="{00000000-0005-0000-0000-0000D9150000}"/>
    <cellStyle name="Normal 4 3 4 4 3 3 2 2" xfId="6011" xr:uid="{00000000-0005-0000-0000-0000DA150000}"/>
    <cellStyle name="Normal 4 3 4 4 3 3 2 3" xfId="6012" xr:uid="{00000000-0005-0000-0000-0000DB150000}"/>
    <cellStyle name="Normal 4 3 4 4 3 3 3" xfId="6013" xr:uid="{00000000-0005-0000-0000-0000DC150000}"/>
    <cellStyle name="Normal 4 3 4 4 3 3 4" xfId="6014" xr:uid="{00000000-0005-0000-0000-0000DD150000}"/>
    <cellStyle name="Normal 4 3 4 4 3 3 5" xfId="6015" xr:uid="{00000000-0005-0000-0000-0000DE150000}"/>
    <cellStyle name="Normal 4 3 4 4 3 4" xfId="6016" xr:uid="{00000000-0005-0000-0000-0000DF150000}"/>
    <cellStyle name="Normal 4 3 4 4 3 4 2" xfId="6017" xr:uid="{00000000-0005-0000-0000-0000E0150000}"/>
    <cellStyle name="Normal 4 3 4 4 3 4 3" xfId="6018" xr:uid="{00000000-0005-0000-0000-0000E1150000}"/>
    <cellStyle name="Normal 4 3 4 4 3 5" xfId="6019" xr:uid="{00000000-0005-0000-0000-0000E2150000}"/>
    <cellStyle name="Normal 4 3 4 4 3 6" xfId="6020" xr:uid="{00000000-0005-0000-0000-0000E3150000}"/>
    <cellStyle name="Normal 4 3 4 4 3 7" xfId="6021" xr:uid="{00000000-0005-0000-0000-0000E4150000}"/>
    <cellStyle name="Normal 4 3 4 4 4" xfId="6022" xr:uid="{00000000-0005-0000-0000-0000E5150000}"/>
    <cellStyle name="Normal 4 3 4 4 4 2" xfId="6023" xr:uid="{00000000-0005-0000-0000-0000E6150000}"/>
    <cellStyle name="Normal 4 3 4 4 4 2 2" xfId="6024" xr:uid="{00000000-0005-0000-0000-0000E7150000}"/>
    <cellStyle name="Normal 4 3 4 4 4 2 3" xfId="6025" xr:uid="{00000000-0005-0000-0000-0000E8150000}"/>
    <cellStyle name="Normal 4 3 4 4 4 3" xfId="6026" xr:uid="{00000000-0005-0000-0000-0000E9150000}"/>
    <cellStyle name="Normal 4 3 4 4 4 4" xfId="6027" xr:uid="{00000000-0005-0000-0000-0000EA150000}"/>
    <cellStyle name="Normal 4 3 4 4 4 5" xfId="6028" xr:uid="{00000000-0005-0000-0000-0000EB150000}"/>
    <cellStyle name="Normal 4 3 4 4 5" xfId="6029" xr:uid="{00000000-0005-0000-0000-0000EC150000}"/>
    <cellStyle name="Normal 4 3 4 4 5 2" xfId="6030" xr:uid="{00000000-0005-0000-0000-0000ED150000}"/>
    <cellStyle name="Normal 4 3 4 4 5 2 2" xfId="6031" xr:uid="{00000000-0005-0000-0000-0000EE150000}"/>
    <cellStyle name="Normal 4 3 4 4 5 2 3" xfId="6032" xr:uid="{00000000-0005-0000-0000-0000EF150000}"/>
    <cellStyle name="Normal 4 3 4 4 5 3" xfId="6033" xr:uid="{00000000-0005-0000-0000-0000F0150000}"/>
    <cellStyle name="Normal 4 3 4 4 5 4" xfId="6034" xr:uid="{00000000-0005-0000-0000-0000F1150000}"/>
    <cellStyle name="Normal 4 3 4 4 5 5" xfId="6035" xr:uid="{00000000-0005-0000-0000-0000F2150000}"/>
    <cellStyle name="Normal 4 3 4 4 6" xfId="6036" xr:uid="{00000000-0005-0000-0000-0000F3150000}"/>
    <cellStyle name="Normal 4 3 4 4 6 2" xfId="6037" xr:uid="{00000000-0005-0000-0000-0000F4150000}"/>
    <cellStyle name="Normal 4 3 4 4 6 3" xfId="6038" xr:uid="{00000000-0005-0000-0000-0000F5150000}"/>
    <cellStyle name="Normal 4 3 4 4 7" xfId="6039" xr:uid="{00000000-0005-0000-0000-0000F6150000}"/>
    <cellStyle name="Normal 4 3 4 4 8" xfId="6040" xr:uid="{00000000-0005-0000-0000-0000F7150000}"/>
    <cellStyle name="Normal 4 3 4 4 9" xfId="6041" xr:uid="{00000000-0005-0000-0000-0000F8150000}"/>
    <cellStyle name="Normal 4 3 4 5" xfId="6042" xr:uid="{00000000-0005-0000-0000-0000F9150000}"/>
    <cellStyle name="Normal 4 3 4 5 2" xfId="6043" xr:uid="{00000000-0005-0000-0000-0000FA150000}"/>
    <cellStyle name="Normal 4 3 4 5 2 2" xfId="6044" xr:uid="{00000000-0005-0000-0000-0000FB150000}"/>
    <cellStyle name="Normal 4 3 4 5 2 2 2" xfId="6045" xr:uid="{00000000-0005-0000-0000-0000FC150000}"/>
    <cellStyle name="Normal 4 3 4 5 2 2 2 2" xfId="6046" xr:uid="{00000000-0005-0000-0000-0000FD150000}"/>
    <cellStyle name="Normal 4 3 4 5 2 2 2 3" xfId="6047" xr:uid="{00000000-0005-0000-0000-0000FE150000}"/>
    <cellStyle name="Normal 4 3 4 5 2 2 3" xfId="6048" xr:uid="{00000000-0005-0000-0000-0000FF150000}"/>
    <cellStyle name="Normal 4 3 4 5 2 2 4" xfId="6049" xr:uid="{00000000-0005-0000-0000-000000160000}"/>
    <cellStyle name="Normal 4 3 4 5 2 2 5" xfId="6050" xr:uid="{00000000-0005-0000-0000-000001160000}"/>
    <cellStyle name="Normal 4 3 4 5 2 3" xfId="6051" xr:uid="{00000000-0005-0000-0000-000002160000}"/>
    <cellStyle name="Normal 4 3 4 5 2 3 2" xfId="6052" xr:uid="{00000000-0005-0000-0000-000003160000}"/>
    <cellStyle name="Normal 4 3 4 5 2 3 2 2" xfId="6053" xr:uid="{00000000-0005-0000-0000-000004160000}"/>
    <cellStyle name="Normal 4 3 4 5 2 3 2 3" xfId="6054" xr:uid="{00000000-0005-0000-0000-000005160000}"/>
    <cellStyle name="Normal 4 3 4 5 2 3 3" xfId="6055" xr:uid="{00000000-0005-0000-0000-000006160000}"/>
    <cellStyle name="Normal 4 3 4 5 2 3 4" xfId="6056" xr:uid="{00000000-0005-0000-0000-000007160000}"/>
    <cellStyle name="Normal 4 3 4 5 2 3 5" xfId="6057" xr:uid="{00000000-0005-0000-0000-000008160000}"/>
    <cellStyle name="Normal 4 3 4 5 2 4" xfId="6058" xr:uid="{00000000-0005-0000-0000-000009160000}"/>
    <cellStyle name="Normal 4 3 4 5 2 4 2" xfId="6059" xr:uid="{00000000-0005-0000-0000-00000A160000}"/>
    <cellStyle name="Normal 4 3 4 5 2 4 3" xfId="6060" xr:uid="{00000000-0005-0000-0000-00000B160000}"/>
    <cellStyle name="Normal 4 3 4 5 2 5" xfId="6061" xr:uid="{00000000-0005-0000-0000-00000C160000}"/>
    <cellStyle name="Normal 4 3 4 5 2 6" xfId="6062" xr:uid="{00000000-0005-0000-0000-00000D160000}"/>
    <cellStyle name="Normal 4 3 4 5 2 7" xfId="6063" xr:uid="{00000000-0005-0000-0000-00000E160000}"/>
    <cellStyle name="Normal 4 3 4 5 3" xfId="6064" xr:uid="{00000000-0005-0000-0000-00000F160000}"/>
    <cellStyle name="Normal 4 3 4 5 3 2" xfId="6065" xr:uid="{00000000-0005-0000-0000-000010160000}"/>
    <cellStyle name="Normal 4 3 4 5 3 2 2" xfId="6066" xr:uid="{00000000-0005-0000-0000-000011160000}"/>
    <cellStyle name="Normal 4 3 4 5 3 2 3" xfId="6067" xr:uid="{00000000-0005-0000-0000-000012160000}"/>
    <cellStyle name="Normal 4 3 4 5 3 3" xfId="6068" xr:uid="{00000000-0005-0000-0000-000013160000}"/>
    <cellStyle name="Normal 4 3 4 5 3 4" xfId="6069" xr:uid="{00000000-0005-0000-0000-000014160000}"/>
    <cellStyle name="Normal 4 3 4 5 3 5" xfId="6070" xr:uid="{00000000-0005-0000-0000-000015160000}"/>
    <cellStyle name="Normal 4 3 4 5 4" xfId="6071" xr:uid="{00000000-0005-0000-0000-000016160000}"/>
    <cellStyle name="Normal 4 3 4 5 4 2" xfId="6072" xr:uid="{00000000-0005-0000-0000-000017160000}"/>
    <cellStyle name="Normal 4 3 4 5 4 2 2" xfId="6073" xr:uid="{00000000-0005-0000-0000-000018160000}"/>
    <cellStyle name="Normal 4 3 4 5 4 2 3" xfId="6074" xr:uid="{00000000-0005-0000-0000-000019160000}"/>
    <cellStyle name="Normal 4 3 4 5 4 3" xfId="6075" xr:uid="{00000000-0005-0000-0000-00001A160000}"/>
    <cellStyle name="Normal 4 3 4 5 4 4" xfId="6076" xr:uid="{00000000-0005-0000-0000-00001B160000}"/>
    <cellStyle name="Normal 4 3 4 5 4 5" xfId="6077" xr:uid="{00000000-0005-0000-0000-00001C160000}"/>
    <cellStyle name="Normal 4 3 4 5 5" xfId="6078" xr:uid="{00000000-0005-0000-0000-00001D160000}"/>
    <cellStyle name="Normal 4 3 4 5 5 2" xfId="6079" xr:uid="{00000000-0005-0000-0000-00001E160000}"/>
    <cellStyle name="Normal 4 3 4 5 5 3" xfId="6080" xr:uid="{00000000-0005-0000-0000-00001F160000}"/>
    <cellStyle name="Normal 4 3 4 5 6" xfId="6081" xr:uid="{00000000-0005-0000-0000-000020160000}"/>
    <cellStyle name="Normal 4 3 4 5 7" xfId="6082" xr:uid="{00000000-0005-0000-0000-000021160000}"/>
    <cellStyle name="Normal 4 3 4 5 8" xfId="6083" xr:uid="{00000000-0005-0000-0000-000022160000}"/>
    <cellStyle name="Normal 4 3 4 6" xfId="6084" xr:uid="{00000000-0005-0000-0000-000023160000}"/>
    <cellStyle name="Normal 4 3 4 6 2" xfId="6085" xr:uid="{00000000-0005-0000-0000-000024160000}"/>
    <cellStyle name="Normal 4 3 4 6 2 2" xfId="6086" xr:uid="{00000000-0005-0000-0000-000025160000}"/>
    <cellStyle name="Normal 4 3 4 6 2 2 2" xfId="6087" xr:uid="{00000000-0005-0000-0000-000026160000}"/>
    <cellStyle name="Normal 4 3 4 6 2 2 3" xfId="6088" xr:uid="{00000000-0005-0000-0000-000027160000}"/>
    <cellStyle name="Normal 4 3 4 6 2 3" xfId="6089" xr:uid="{00000000-0005-0000-0000-000028160000}"/>
    <cellStyle name="Normal 4 3 4 6 2 4" xfId="6090" xr:uid="{00000000-0005-0000-0000-000029160000}"/>
    <cellStyle name="Normal 4 3 4 6 2 5" xfId="6091" xr:uid="{00000000-0005-0000-0000-00002A160000}"/>
    <cellStyle name="Normal 4 3 4 6 3" xfId="6092" xr:uid="{00000000-0005-0000-0000-00002B160000}"/>
    <cellStyle name="Normal 4 3 4 6 3 2" xfId="6093" xr:uid="{00000000-0005-0000-0000-00002C160000}"/>
    <cellStyle name="Normal 4 3 4 6 3 2 2" xfId="6094" xr:uid="{00000000-0005-0000-0000-00002D160000}"/>
    <cellStyle name="Normal 4 3 4 6 3 2 3" xfId="6095" xr:uid="{00000000-0005-0000-0000-00002E160000}"/>
    <cellStyle name="Normal 4 3 4 6 3 3" xfId="6096" xr:uid="{00000000-0005-0000-0000-00002F160000}"/>
    <cellStyle name="Normal 4 3 4 6 3 4" xfId="6097" xr:uid="{00000000-0005-0000-0000-000030160000}"/>
    <cellStyle name="Normal 4 3 4 6 3 5" xfId="6098" xr:uid="{00000000-0005-0000-0000-000031160000}"/>
    <cellStyle name="Normal 4 3 4 6 4" xfId="6099" xr:uid="{00000000-0005-0000-0000-000032160000}"/>
    <cellStyle name="Normal 4 3 4 6 4 2" xfId="6100" xr:uid="{00000000-0005-0000-0000-000033160000}"/>
    <cellStyle name="Normal 4 3 4 6 4 3" xfId="6101" xr:uid="{00000000-0005-0000-0000-000034160000}"/>
    <cellStyle name="Normal 4 3 4 6 5" xfId="6102" xr:uid="{00000000-0005-0000-0000-000035160000}"/>
    <cellStyle name="Normal 4 3 4 6 6" xfId="6103" xr:uid="{00000000-0005-0000-0000-000036160000}"/>
    <cellStyle name="Normal 4 3 4 6 7" xfId="6104" xr:uid="{00000000-0005-0000-0000-000037160000}"/>
    <cellStyle name="Normal 4 3 4 7" xfId="6105" xr:uid="{00000000-0005-0000-0000-000038160000}"/>
    <cellStyle name="Normal 4 3 4 7 2" xfId="6106" xr:uid="{00000000-0005-0000-0000-000039160000}"/>
    <cellStyle name="Normal 4 3 4 7 2 2" xfId="6107" xr:uid="{00000000-0005-0000-0000-00003A160000}"/>
    <cellStyle name="Normal 4 3 4 7 2 3" xfId="6108" xr:uid="{00000000-0005-0000-0000-00003B160000}"/>
    <cellStyle name="Normal 4 3 4 7 3" xfId="6109" xr:uid="{00000000-0005-0000-0000-00003C160000}"/>
    <cellStyle name="Normal 4 3 4 7 4" xfId="6110" xr:uid="{00000000-0005-0000-0000-00003D160000}"/>
    <cellStyle name="Normal 4 3 4 7 5" xfId="6111" xr:uid="{00000000-0005-0000-0000-00003E160000}"/>
    <cellStyle name="Normal 4 3 4 8" xfId="6112" xr:uid="{00000000-0005-0000-0000-00003F160000}"/>
    <cellStyle name="Normal 4 3 4 8 2" xfId="6113" xr:uid="{00000000-0005-0000-0000-000040160000}"/>
    <cellStyle name="Normal 4 3 4 8 2 2" xfId="6114" xr:uid="{00000000-0005-0000-0000-000041160000}"/>
    <cellStyle name="Normal 4 3 4 8 2 3" xfId="6115" xr:uid="{00000000-0005-0000-0000-000042160000}"/>
    <cellStyle name="Normal 4 3 4 8 3" xfId="6116" xr:uid="{00000000-0005-0000-0000-000043160000}"/>
    <cellStyle name="Normal 4 3 4 8 4" xfId="6117" xr:uid="{00000000-0005-0000-0000-000044160000}"/>
    <cellStyle name="Normal 4 3 4 8 5" xfId="6118" xr:uid="{00000000-0005-0000-0000-000045160000}"/>
    <cellStyle name="Normal 4 3 4 9" xfId="6119" xr:uid="{00000000-0005-0000-0000-000046160000}"/>
    <cellStyle name="Normal 4 3 4 9 2" xfId="6120" xr:uid="{00000000-0005-0000-0000-000047160000}"/>
    <cellStyle name="Normal 4 3 4 9 3" xfId="6121" xr:uid="{00000000-0005-0000-0000-000048160000}"/>
    <cellStyle name="Normal 4 3 5" xfId="6122" xr:uid="{00000000-0005-0000-0000-000049160000}"/>
    <cellStyle name="Normal 4 3 5 2" xfId="6123" xr:uid="{00000000-0005-0000-0000-00004A160000}"/>
    <cellStyle name="Normal 4 3 5 2 2" xfId="6124" xr:uid="{00000000-0005-0000-0000-00004B160000}"/>
    <cellStyle name="Normal 4 3 5 2 2 2" xfId="6125" xr:uid="{00000000-0005-0000-0000-00004C160000}"/>
    <cellStyle name="Normal 4 3 5 2 2 2 2" xfId="6126" xr:uid="{00000000-0005-0000-0000-00004D160000}"/>
    <cellStyle name="Normal 4 3 5 2 2 2 2 2" xfId="6127" xr:uid="{00000000-0005-0000-0000-00004E160000}"/>
    <cellStyle name="Normal 4 3 5 2 2 2 2 3" xfId="6128" xr:uid="{00000000-0005-0000-0000-00004F160000}"/>
    <cellStyle name="Normal 4 3 5 2 2 2 3" xfId="6129" xr:uid="{00000000-0005-0000-0000-000050160000}"/>
    <cellStyle name="Normal 4 3 5 2 2 2 4" xfId="6130" xr:uid="{00000000-0005-0000-0000-000051160000}"/>
    <cellStyle name="Normal 4 3 5 2 2 2 5" xfId="6131" xr:uid="{00000000-0005-0000-0000-000052160000}"/>
    <cellStyle name="Normal 4 3 5 2 2 3" xfId="6132" xr:uid="{00000000-0005-0000-0000-000053160000}"/>
    <cellStyle name="Normal 4 3 5 2 2 3 2" xfId="6133" xr:uid="{00000000-0005-0000-0000-000054160000}"/>
    <cellStyle name="Normal 4 3 5 2 2 3 2 2" xfId="6134" xr:uid="{00000000-0005-0000-0000-000055160000}"/>
    <cellStyle name="Normal 4 3 5 2 2 3 2 3" xfId="6135" xr:uid="{00000000-0005-0000-0000-000056160000}"/>
    <cellStyle name="Normal 4 3 5 2 2 3 3" xfId="6136" xr:uid="{00000000-0005-0000-0000-000057160000}"/>
    <cellStyle name="Normal 4 3 5 2 2 3 4" xfId="6137" xr:uid="{00000000-0005-0000-0000-000058160000}"/>
    <cellStyle name="Normal 4 3 5 2 2 3 5" xfId="6138" xr:uid="{00000000-0005-0000-0000-000059160000}"/>
    <cellStyle name="Normal 4 3 5 2 2 4" xfId="6139" xr:uid="{00000000-0005-0000-0000-00005A160000}"/>
    <cellStyle name="Normal 4 3 5 2 2 4 2" xfId="6140" xr:uid="{00000000-0005-0000-0000-00005B160000}"/>
    <cellStyle name="Normal 4 3 5 2 2 4 3" xfId="6141" xr:uid="{00000000-0005-0000-0000-00005C160000}"/>
    <cellStyle name="Normal 4 3 5 2 2 5" xfId="6142" xr:uid="{00000000-0005-0000-0000-00005D160000}"/>
    <cellStyle name="Normal 4 3 5 2 2 6" xfId="6143" xr:uid="{00000000-0005-0000-0000-00005E160000}"/>
    <cellStyle name="Normal 4 3 5 2 2 7" xfId="6144" xr:uid="{00000000-0005-0000-0000-00005F160000}"/>
    <cellStyle name="Normal 4 3 5 2 3" xfId="6145" xr:uid="{00000000-0005-0000-0000-000060160000}"/>
    <cellStyle name="Normal 4 3 5 2 3 2" xfId="6146" xr:uid="{00000000-0005-0000-0000-000061160000}"/>
    <cellStyle name="Normal 4 3 5 2 3 2 2" xfId="6147" xr:uid="{00000000-0005-0000-0000-000062160000}"/>
    <cellStyle name="Normal 4 3 5 2 3 2 3" xfId="6148" xr:uid="{00000000-0005-0000-0000-000063160000}"/>
    <cellStyle name="Normal 4 3 5 2 3 3" xfId="6149" xr:uid="{00000000-0005-0000-0000-000064160000}"/>
    <cellStyle name="Normal 4 3 5 2 3 4" xfId="6150" xr:uid="{00000000-0005-0000-0000-000065160000}"/>
    <cellStyle name="Normal 4 3 5 2 3 5" xfId="6151" xr:uid="{00000000-0005-0000-0000-000066160000}"/>
    <cellStyle name="Normal 4 3 5 2 4" xfId="6152" xr:uid="{00000000-0005-0000-0000-000067160000}"/>
    <cellStyle name="Normal 4 3 5 2 4 2" xfId="6153" xr:uid="{00000000-0005-0000-0000-000068160000}"/>
    <cellStyle name="Normal 4 3 5 2 4 2 2" xfId="6154" xr:uid="{00000000-0005-0000-0000-000069160000}"/>
    <cellStyle name="Normal 4 3 5 2 4 2 3" xfId="6155" xr:uid="{00000000-0005-0000-0000-00006A160000}"/>
    <cellStyle name="Normal 4 3 5 2 4 3" xfId="6156" xr:uid="{00000000-0005-0000-0000-00006B160000}"/>
    <cellStyle name="Normal 4 3 5 2 4 4" xfId="6157" xr:uid="{00000000-0005-0000-0000-00006C160000}"/>
    <cellStyle name="Normal 4 3 5 2 4 5" xfId="6158" xr:uid="{00000000-0005-0000-0000-00006D160000}"/>
    <cellStyle name="Normal 4 3 5 2 5" xfId="6159" xr:uid="{00000000-0005-0000-0000-00006E160000}"/>
    <cellStyle name="Normal 4 3 5 2 5 2" xfId="6160" xr:uid="{00000000-0005-0000-0000-00006F160000}"/>
    <cellStyle name="Normal 4 3 5 2 5 3" xfId="6161" xr:uid="{00000000-0005-0000-0000-000070160000}"/>
    <cellStyle name="Normal 4 3 5 2 6" xfId="6162" xr:uid="{00000000-0005-0000-0000-000071160000}"/>
    <cellStyle name="Normal 4 3 5 2 7" xfId="6163" xr:uid="{00000000-0005-0000-0000-000072160000}"/>
    <cellStyle name="Normal 4 3 5 2 8" xfId="6164" xr:uid="{00000000-0005-0000-0000-000073160000}"/>
    <cellStyle name="Normal 4 3 5 3" xfId="6165" xr:uid="{00000000-0005-0000-0000-000074160000}"/>
    <cellStyle name="Normal 4 3 5 3 2" xfId="6166" xr:uid="{00000000-0005-0000-0000-000075160000}"/>
    <cellStyle name="Normal 4 3 5 3 2 2" xfId="6167" xr:uid="{00000000-0005-0000-0000-000076160000}"/>
    <cellStyle name="Normal 4 3 5 3 2 2 2" xfId="6168" xr:uid="{00000000-0005-0000-0000-000077160000}"/>
    <cellStyle name="Normal 4 3 5 3 2 2 3" xfId="6169" xr:uid="{00000000-0005-0000-0000-000078160000}"/>
    <cellStyle name="Normal 4 3 5 3 2 3" xfId="6170" xr:uid="{00000000-0005-0000-0000-000079160000}"/>
    <cellStyle name="Normal 4 3 5 3 2 4" xfId="6171" xr:uid="{00000000-0005-0000-0000-00007A160000}"/>
    <cellStyle name="Normal 4 3 5 3 2 5" xfId="6172" xr:uid="{00000000-0005-0000-0000-00007B160000}"/>
    <cellStyle name="Normal 4 3 5 3 3" xfId="6173" xr:uid="{00000000-0005-0000-0000-00007C160000}"/>
    <cellStyle name="Normal 4 3 5 3 3 2" xfId="6174" xr:uid="{00000000-0005-0000-0000-00007D160000}"/>
    <cellStyle name="Normal 4 3 5 3 3 2 2" xfId="6175" xr:uid="{00000000-0005-0000-0000-00007E160000}"/>
    <cellStyle name="Normal 4 3 5 3 3 2 3" xfId="6176" xr:uid="{00000000-0005-0000-0000-00007F160000}"/>
    <cellStyle name="Normal 4 3 5 3 3 3" xfId="6177" xr:uid="{00000000-0005-0000-0000-000080160000}"/>
    <cellStyle name="Normal 4 3 5 3 3 4" xfId="6178" xr:uid="{00000000-0005-0000-0000-000081160000}"/>
    <cellStyle name="Normal 4 3 5 3 3 5" xfId="6179" xr:uid="{00000000-0005-0000-0000-000082160000}"/>
    <cellStyle name="Normal 4 3 5 3 4" xfId="6180" xr:uid="{00000000-0005-0000-0000-000083160000}"/>
    <cellStyle name="Normal 4 3 5 3 4 2" xfId="6181" xr:uid="{00000000-0005-0000-0000-000084160000}"/>
    <cellStyle name="Normal 4 3 5 3 4 3" xfId="6182" xr:uid="{00000000-0005-0000-0000-000085160000}"/>
    <cellStyle name="Normal 4 3 5 3 5" xfId="6183" xr:uid="{00000000-0005-0000-0000-000086160000}"/>
    <cellStyle name="Normal 4 3 5 3 6" xfId="6184" xr:uid="{00000000-0005-0000-0000-000087160000}"/>
    <cellStyle name="Normal 4 3 5 3 7" xfId="6185" xr:uid="{00000000-0005-0000-0000-000088160000}"/>
    <cellStyle name="Normal 4 3 5 4" xfId="6186" xr:uid="{00000000-0005-0000-0000-000089160000}"/>
    <cellStyle name="Normal 4 3 5 4 2" xfId="6187" xr:uid="{00000000-0005-0000-0000-00008A160000}"/>
    <cellStyle name="Normal 4 3 5 4 2 2" xfId="6188" xr:uid="{00000000-0005-0000-0000-00008B160000}"/>
    <cellStyle name="Normal 4 3 5 4 2 3" xfId="6189" xr:uid="{00000000-0005-0000-0000-00008C160000}"/>
    <cellStyle name="Normal 4 3 5 4 3" xfId="6190" xr:uid="{00000000-0005-0000-0000-00008D160000}"/>
    <cellStyle name="Normal 4 3 5 4 4" xfId="6191" xr:uid="{00000000-0005-0000-0000-00008E160000}"/>
    <cellStyle name="Normal 4 3 5 4 5" xfId="6192" xr:uid="{00000000-0005-0000-0000-00008F160000}"/>
    <cellStyle name="Normal 4 3 5 5" xfId="6193" xr:uid="{00000000-0005-0000-0000-000090160000}"/>
    <cellStyle name="Normal 4 3 5 5 2" xfId="6194" xr:uid="{00000000-0005-0000-0000-000091160000}"/>
    <cellStyle name="Normal 4 3 5 5 2 2" xfId="6195" xr:uid="{00000000-0005-0000-0000-000092160000}"/>
    <cellStyle name="Normal 4 3 5 5 2 3" xfId="6196" xr:uid="{00000000-0005-0000-0000-000093160000}"/>
    <cellStyle name="Normal 4 3 5 5 3" xfId="6197" xr:uid="{00000000-0005-0000-0000-000094160000}"/>
    <cellStyle name="Normal 4 3 5 5 4" xfId="6198" xr:uid="{00000000-0005-0000-0000-000095160000}"/>
    <cellStyle name="Normal 4 3 5 5 5" xfId="6199" xr:uid="{00000000-0005-0000-0000-000096160000}"/>
    <cellStyle name="Normal 4 3 5 6" xfId="6200" xr:uid="{00000000-0005-0000-0000-000097160000}"/>
    <cellStyle name="Normal 4 3 5 6 2" xfId="6201" xr:uid="{00000000-0005-0000-0000-000098160000}"/>
    <cellStyle name="Normal 4 3 5 6 3" xfId="6202" xr:uid="{00000000-0005-0000-0000-000099160000}"/>
    <cellStyle name="Normal 4 3 5 7" xfId="6203" xr:uid="{00000000-0005-0000-0000-00009A160000}"/>
    <cellStyle name="Normal 4 3 5 8" xfId="6204" xr:uid="{00000000-0005-0000-0000-00009B160000}"/>
    <cellStyle name="Normal 4 3 5 9" xfId="6205" xr:uid="{00000000-0005-0000-0000-00009C160000}"/>
    <cellStyle name="Normal 4 3 6" xfId="6206" xr:uid="{00000000-0005-0000-0000-00009D160000}"/>
    <cellStyle name="Normal 4 3 6 2" xfId="6207" xr:uid="{00000000-0005-0000-0000-00009E160000}"/>
    <cellStyle name="Normal 4 3 6 2 2" xfId="6208" xr:uid="{00000000-0005-0000-0000-00009F160000}"/>
    <cellStyle name="Normal 4 3 6 2 2 2" xfId="6209" xr:uid="{00000000-0005-0000-0000-0000A0160000}"/>
    <cellStyle name="Normal 4 3 6 2 2 2 2" xfId="6210" xr:uid="{00000000-0005-0000-0000-0000A1160000}"/>
    <cellStyle name="Normal 4 3 6 2 2 2 2 2" xfId="6211" xr:uid="{00000000-0005-0000-0000-0000A2160000}"/>
    <cellStyle name="Normal 4 3 6 2 2 2 2 3" xfId="6212" xr:uid="{00000000-0005-0000-0000-0000A3160000}"/>
    <cellStyle name="Normal 4 3 6 2 2 2 3" xfId="6213" xr:uid="{00000000-0005-0000-0000-0000A4160000}"/>
    <cellStyle name="Normal 4 3 6 2 2 2 4" xfId="6214" xr:uid="{00000000-0005-0000-0000-0000A5160000}"/>
    <cellStyle name="Normal 4 3 6 2 2 2 5" xfId="6215" xr:uid="{00000000-0005-0000-0000-0000A6160000}"/>
    <cellStyle name="Normal 4 3 6 2 2 3" xfId="6216" xr:uid="{00000000-0005-0000-0000-0000A7160000}"/>
    <cellStyle name="Normal 4 3 6 2 2 3 2" xfId="6217" xr:uid="{00000000-0005-0000-0000-0000A8160000}"/>
    <cellStyle name="Normal 4 3 6 2 2 3 2 2" xfId="6218" xr:uid="{00000000-0005-0000-0000-0000A9160000}"/>
    <cellStyle name="Normal 4 3 6 2 2 3 2 3" xfId="6219" xr:uid="{00000000-0005-0000-0000-0000AA160000}"/>
    <cellStyle name="Normal 4 3 6 2 2 3 3" xfId="6220" xr:uid="{00000000-0005-0000-0000-0000AB160000}"/>
    <cellStyle name="Normal 4 3 6 2 2 3 4" xfId="6221" xr:uid="{00000000-0005-0000-0000-0000AC160000}"/>
    <cellStyle name="Normal 4 3 6 2 2 3 5" xfId="6222" xr:uid="{00000000-0005-0000-0000-0000AD160000}"/>
    <cellStyle name="Normal 4 3 6 2 2 4" xfId="6223" xr:uid="{00000000-0005-0000-0000-0000AE160000}"/>
    <cellStyle name="Normal 4 3 6 2 2 4 2" xfId="6224" xr:uid="{00000000-0005-0000-0000-0000AF160000}"/>
    <cellStyle name="Normal 4 3 6 2 2 4 3" xfId="6225" xr:uid="{00000000-0005-0000-0000-0000B0160000}"/>
    <cellStyle name="Normal 4 3 6 2 2 5" xfId="6226" xr:uid="{00000000-0005-0000-0000-0000B1160000}"/>
    <cellStyle name="Normal 4 3 6 2 2 6" xfId="6227" xr:uid="{00000000-0005-0000-0000-0000B2160000}"/>
    <cellStyle name="Normal 4 3 6 2 2 7" xfId="6228" xr:uid="{00000000-0005-0000-0000-0000B3160000}"/>
    <cellStyle name="Normal 4 3 6 2 3" xfId="6229" xr:uid="{00000000-0005-0000-0000-0000B4160000}"/>
    <cellStyle name="Normal 4 3 6 2 3 2" xfId="6230" xr:uid="{00000000-0005-0000-0000-0000B5160000}"/>
    <cellStyle name="Normal 4 3 6 2 3 2 2" xfId="6231" xr:uid="{00000000-0005-0000-0000-0000B6160000}"/>
    <cellStyle name="Normal 4 3 6 2 3 2 3" xfId="6232" xr:uid="{00000000-0005-0000-0000-0000B7160000}"/>
    <cellStyle name="Normal 4 3 6 2 3 3" xfId="6233" xr:uid="{00000000-0005-0000-0000-0000B8160000}"/>
    <cellStyle name="Normal 4 3 6 2 3 4" xfId="6234" xr:uid="{00000000-0005-0000-0000-0000B9160000}"/>
    <cellStyle name="Normal 4 3 6 2 3 5" xfId="6235" xr:uid="{00000000-0005-0000-0000-0000BA160000}"/>
    <cellStyle name="Normal 4 3 6 2 4" xfId="6236" xr:uid="{00000000-0005-0000-0000-0000BB160000}"/>
    <cellStyle name="Normal 4 3 6 2 4 2" xfId="6237" xr:uid="{00000000-0005-0000-0000-0000BC160000}"/>
    <cellStyle name="Normal 4 3 6 2 4 2 2" xfId="6238" xr:uid="{00000000-0005-0000-0000-0000BD160000}"/>
    <cellStyle name="Normal 4 3 6 2 4 2 3" xfId="6239" xr:uid="{00000000-0005-0000-0000-0000BE160000}"/>
    <cellStyle name="Normal 4 3 6 2 4 3" xfId="6240" xr:uid="{00000000-0005-0000-0000-0000BF160000}"/>
    <cellStyle name="Normal 4 3 6 2 4 4" xfId="6241" xr:uid="{00000000-0005-0000-0000-0000C0160000}"/>
    <cellStyle name="Normal 4 3 6 2 4 5" xfId="6242" xr:uid="{00000000-0005-0000-0000-0000C1160000}"/>
    <cellStyle name="Normal 4 3 6 2 5" xfId="6243" xr:uid="{00000000-0005-0000-0000-0000C2160000}"/>
    <cellStyle name="Normal 4 3 6 2 5 2" xfId="6244" xr:uid="{00000000-0005-0000-0000-0000C3160000}"/>
    <cellStyle name="Normal 4 3 6 2 5 3" xfId="6245" xr:uid="{00000000-0005-0000-0000-0000C4160000}"/>
    <cellStyle name="Normal 4 3 6 2 6" xfId="6246" xr:uid="{00000000-0005-0000-0000-0000C5160000}"/>
    <cellStyle name="Normal 4 3 6 2 7" xfId="6247" xr:uid="{00000000-0005-0000-0000-0000C6160000}"/>
    <cellStyle name="Normal 4 3 6 2 8" xfId="6248" xr:uid="{00000000-0005-0000-0000-0000C7160000}"/>
    <cellStyle name="Normal 4 3 6 3" xfId="6249" xr:uid="{00000000-0005-0000-0000-0000C8160000}"/>
    <cellStyle name="Normal 4 3 6 3 2" xfId="6250" xr:uid="{00000000-0005-0000-0000-0000C9160000}"/>
    <cellStyle name="Normal 4 3 6 3 2 2" xfId="6251" xr:uid="{00000000-0005-0000-0000-0000CA160000}"/>
    <cellStyle name="Normal 4 3 6 3 2 2 2" xfId="6252" xr:uid="{00000000-0005-0000-0000-0000CB160000}"/>
    <cellStyle name="Normal 4 3 6 3 2 2 3" xfId="6253" xr:uid="{00000000-0005-0000-0000-0000CC160000}"/>
    <cellStyle name="Normal 4 3 6 3 2 3" xfId="6254" xr:uid="{00000000-0005-0000-0000-0000CD160000}"/>
    <cellStyle name="Normal 4 3 6 3 2 4" xfId="6255" xr:uid="{00000000-0005-0000-0000-0000CE160000}"/>
    <cellStyle name="Normal 4 3 6 3 2 5" xfId="6256" xr:uid="{00000000-0005-0000-0000-0000CF160000}"/>
    <cellStyle name="Normal 4 3 6 3 3" xfId="6257" xr:uid="{00000000-0005-0000-0000-0000D0160000}"/>
    <cellStyle name="Normal 4 3 6 3 3 2" xfId="6258" xr:uid="{00000000-0005-0000-0000-0000D1160000}"/>
    <cellStyle name="Normal 4 3 6 3 3 2 2" xfId="6259" xr:uid="{00000000-0005-0000-0000-0000D2160000}"/>
    <cellStyle name="Normal 4 3 6 3 3 2 3" xfId="6260" xr:uid="{00000000-0005-0000-0000-0000D3160000}"/>
    <cellStyle name="Normal 4 3 6 3 3 3" xfId="6261" xr:uid="{00000000-0005-0000-0000-0000D4160000}"/>
    <cellStyle name="Normal 4 3 6 3 3 4" xfId="6262" xr:uid="{00000000-0005-0000-0000-0000D5160000}"/>
    <cellStyle name="Normal 4 3 6 3 3 5" xfId="6263" xr:uid="{00000000-0005-0000-0000-0000D6160000}"/>
    <cellStyle name="Normal 4 3 6 3 4" xfId="6264" xr:uid="{00000000-0005-0000-0000-0000D7160000}"/>
    <cellStyle name="Normal 4 3 6 3 4 2" xfId="6265" xr:uid="{00000000-0005-0000-0000-0000D8160000}"/>
    <cellStyle name="Normal 4 3 6 3 4 3" xfId="6266" xr:uid="{00000000-0005-0000-0000-0000D9160000}"/>
    <cellStyle name="Normal 4 3 6 3 5" xfId="6267" xr:uid="{00000000-0005-0000-0000-0000DA160000}"/>
    <cellStyle name="Normal 4 3 6 3 6" xfId="6268" xr:uid="{00000000-0005-0000-0000-0000DB160000}"/>
    <cellStyle name="Normal 4 3 6 3 7" xfId="6269" xr:uid="{00000000-0005-0000-0000-0000DC160000}"/>
    <cellStyle name="Normal 4 3 6 4" xfId="6270" xr:uid="{00000000-0005-0000-0000-0000DD160000}"/>
    <cellStyle name="Normal 4 3 6 4 2" xfId="6271" xr:uid="{00000000-0005-0000-0000-0000DE160000}"/>
    <cellStyle name="Normal 4 3 6 4 2 2" xfId="6272" xr:uid="{00000000-0005-0000-0000-0000DF160000}"/>
    <cellStyle name="Normal 4 3 6 4 2 3" xfId="6273" xr:uid="{00000000-0005-0000-0000-0000E0160000}"/>
    <cellStyle name="Normal 4 3 6 4 3" xfId="6274" xr:uid="{00000000-0005-0000-0000-0000E1160000}"/>
    <cellStyle name="Normal 4 3 6 4 4" xfId="6275" xr:uid="{00000000-0005-0000-0000-0000E2160000}"/>
    <cellStyle name="Normal 4 3 6 4 5" xfId="6276" xr:uid="{00000000-0005-0000-0000-0000E3160000}"/>
    <cellStyle name="Normal 4 3 6 5" xfId="6277" xr:uid="{00000000-0005-0000-0000-0000E4160000}"/>
    <cellStyle name="Normal 4 3 6 5 2" xfId="6278" xr:uid="{00000000-0005-0000-0000-0000E5160000}"/>
    <cellStyle name="Normal 4 3 6 5 2 2" xfId="6279" xr:uid="{00000000-0005-0000-0000-0000E6160000}"/>
    <cellStyle name="Normal 4 3 6 5 2 3" xfId="6280" xr:uid="{00000000-0005-0000-0000-0000E7160000}"/>
    <cellStyle name="Normal 4 3 6 5 3" xfId="6281" xr:uid="{00000000-0005-0000-0000-0000E8160000}"/>
    <cellStyle name="Normal 4 3 6 5 4" xfId="6282" xr:uid="{00000000-0005-0000-0000-0000E9160000}"/>
    <cellStyle name="Normal 4 3 6 5 5" xfId="6283" xr:uid="{00000000-0005-0000-0000-0000EA160000}"/>
    <cellStyle name="Normal 4 3 6 6" xfId="6284" xr:uid="{00000000-0005-0000-0000-0000EB160000}"/>
    <cellStyle name="Normal 4 3 6 6 2" xfId="6285" xr:uid="{00000000-0005-0000-0000-0000EC160000}"/>
    <cellStyle name="Normal 4 3 6 6 3" xfId="6286" xr:uid="{00000000-0005-0000-0000-0000ED160000}"/>
    <cellStyle name="Normal 4 3 6 7" xfId="6287" xr:uid="{00000000-0005-0000-0000-0000EE160000}"/>
    <cellStyle name="Normal 4 3 6 8" xfId="6288" xr:uid="{00000000-0005-0000-0000-0000EF160000}"/>
    <cellStyle name="Normal 4 3 6 9" xfId="6289" xr:uid="{00000000-0005-0000-0000-0000F0160000}"/>
    <cellStyle name="Normal 4 3 7" xfId="6290" xr:uid="{00000000-0005-0000-0000-0000F1160000}"/>
    <cellStyle name="Normal 4 3 7 2" xfId="6291" xr:uid="{00000000-0005-0000-0000-0000F2160000}"/>
    <cellStyle name="Normal 4 3 7 2 2" xfId="6292" xr:uid="{00000000-0005-0000-0000-0000F3160000}"/>
    <cellStyle name="Normal 4 3 7 2 2 2" xfId="6293" xr:uid="{00000000-0005-0000-0000-0000F4160000}"/>
    <cellStyle name="Normal 4 3 7 2 2 2 2" xfId="6294" xr:uid="{00000000-0005-0000-0000-0000F5160000}"/>
    <cellStyle name="Normal 4 3 7 2 2 2 2 2" xfId="6295" xr:uid="{00000000-0005-0000-0000-0000F6160000}"/>
    <cellStyle name="Normal 4 3 7 2 2 2 2 3" xfId="6296" xr:uid="{00000000-0005-0000-0000-0000F7160000}"/>
    <cellStyle name="Normal 4 3 7 2 2 2 3" xfId="6297" xr:uid="{00000000-0005-0000-0000-0000F8160000}"/>
    <cellStyle name="Normal 4 3 7 2 2 2 4" xfId="6298" xr:uid="{00000000-0005-0000-0000-0000F9160000}"/>
    <cellStyle name="Normal 4 3 7 2 2 2 5" xfId="6299" xr:uid="{00000000-0005-0000-0000-0000FA160000}"/>
    <cellStyle name="Normal 4 3 7 2 2 3" xfId="6300" xr:uid="{00000000-0005-0000-0000-0000FB160000}"/>
    <cellStyle name="Normal 4 3 7 2 2 3 2" xfId="6301" xr:uid="{00000000-0005-0000-0000-0000FC160000}"/>
    <cellStyle name="Normal 4 3 7 2 2 3 2 2" xfId="6302" xr:uid="{00000000-0005-0000-0000-0000FD160000}"/>
    <cellStyle name="Normal 4 3 7 2 2 3 2 3" xfId="6303" xr:uid="{00000000-0005-0000-0000-0000FE160000}"/>
    <cellStyle name="Normal 4 3 7 2 2 3 3" xfId="6304" xr:uid="{00000000-0005-0000-0000-0000FF160000}"/>
    <cellStyle name="Normal 4 3 7 2 2 3 4" xfId="6305" xr:uid="{00000000-0005-0000-0000-000000170000}"/>
    <cellStyle name="Normal 4 3 7 2 2 3 5" xfId="6306" xr:uid="{00000000-0005-0000-0000-000001170000}"/>
    <cellStyle name="Normal 4 3 7 2 2 4" xfId="6307" xr:uid="{00000000-0005-0000-0000-000002170000}"/>
    <cellStyle name="Normal 4 3 7 2 2 4 2" xfId="6308" xr:uid="{00000000-0005-0000-0000-000003170000}"/>
    <cellStyle name="Normal 4 3 7 2 2 4 3" xfId="6309" xr:uid="{00000000-0005-0000-0000-000004170000}"/>
    <cellStyle name="Normal 4 3 7 2 2 5" xfId="6310" xr:uid="{00000000-0005-0000-0000-000005170000}"/>
    <cellStyle name="Normal 4 3 7 2 2 6" xfId="6311" xr:uid="{00000000-0005-0000-0000-000006170000}"/>
    <cellStyle name="Normal 4 3 7 2 2 7" xfId="6312" xr:uid="{00000000-0005-0000-0000-000007170000}"/>
    <cellStyle name="Normal 4 3 7 2 3" xfId="6313" xr:uid="{00000000-0005-0000-0000-000008170000}"/>
    <cellStyle name="Normal 4 3 7 2 3 2" xfId="6314" xr:uid="{00000000-0005-0000-0000-000009170000}"/>
    <cellStyle name="Normal 4 3 7 2 3 2 2" xfId="6315" xr:uid="{00000000-0005-0000-0000-00000A170000}"/>
    <cellStyle name="Normal 4 3 7 2 3 2 3" xfId="6316" xr:uid="{00000000-0005-0000-0000-00000B170000}"/>
    <cellStyle name="Normal 4 3 7 2 3 3" xfId="6317" xr:uid="{00000000-0005-0000-0000-00000C170000}"/>
    <cellStyle name="Normal 4 3 7 2 3 4" xfId="6318" xr:uid="{00000000-0005-0000-0000-00000D170000}"/>
    <cellStyle name="Normal 4 3 7 2 3 5" xfId="6319" xr:uid="{00000000-0005-0000-0000-00000E170000}"/>
    <cellStyle name="Normal 4 3 7 2 4" xfId="6320" xr:uid="{00000000-0005-0000-0000-00000F170000}"/>
    <cellStyle name="Normal 4 3 7 2 4 2" xfId="6321" xr:uid="{00000000-0005-0000-0000-000010170000}"/>
    <cellStyle name="Normal 4 3 7 2 4 2 2" xfId="6322" xr:uid="{00000000-0005-0000-0000-000011170000}"/>
    <cellStyle name="Normal 4 3 7 2 4 2 3" xfId="6323" xr:uid="{00000000-0005-0000-0000-000012170000}"/>
    <cellStyle name="Normal 4 3 7 2 4 3" xfId="6324" xr:uid="{00000000-0005-0000-0000-000013170000}"/>
    <cellStyle name="Normal 4 3 7 2 4 4" xfId="6325" xr:uid="{00000000-0005-0000-0000-000014170000}"/>
    <cellStyle name="Normal 4 3 7 2 4 5" xfId="6326" xr:uid="{00000000-0005-0000-0000-000015170000}"/>
    <cellStyle name="Normal 4 3 7 2 5" xfId="6327" xr:uid="{00000000-0005-0000-0000-000016170000}"/>
    <cellStyle name="Normal 4 3 7 2 5 2" xfId="6328" xr:uid="{00000000-0005-0000-0000-000017170000}"/>
    <cellStyle name="Normal 4 3 7 2 5 3" xfId="6329" xr:uid="{00000000-0005-0000-0000-000018170000}"/>
    <cellStyle name="Normal 4 3 7 2 6" xfId="6330" xr:uid="{00000000-0005-0000-0000-000019170000}"/>
    <cellStyle name="Normal 4 3 7 2 7" xfId="6331" xr:uid="{00000000-0005-0000-0000-00001A170000}"/>
    <cellStyle name="Normal 4 3 7 2 8" xfId="6332" xr:uid="{00000000-0005-0000-0000-00001B170000}"/>
    <cellStyle name="Normal 4 3 7 3" xfId="6333" xr:uid="{00000000-0005-0000-0000-00001C170000}"/>
    <cellStyle name="Normal 4 3 7 3 2" xfId="6334" xr:uid="{00000000-0005-0000-0000-00001D170000}"/>
    <cellStyle name="Normal 4 3 7 3 2 2" xfId="6335" xr:uid="{00000000-0005-0000-0000-00001E170000}"/>
    <cellStyle name="Normal 4 3 7 3 2 2 2" xfId="6336" xr:uid="{00000000-0005-0000-0000-00001F170000}"/>
    <cellStyle name="Normal 4 3 7 3 2 2 3" xfId="6337" xr:uid="{00000000-0005-0000-0000-000020170000}"/>
    <cellStyle name="Normal 4 3 7 3 2 3" xfId="6338" xr:uid="{00000000-0005-0000-0000-000021170000}"/>
    <cellStyle name="Normal 4 3 7 3 2 4" xfId="6339" xr:uid="{00000000-0005-0000-0000-000022170000}"/>
    <cellStyle name="Normal 4 3 7 3 2 5" xfId="6340" xr:uid="{00000000-0005-0000-0000-000023170000}"/>
    <cellStyle name="Normal 4 3 7 3 3" xfId="6341" xr:uid="{00000000-0005-0000-0000-000024170000}"/>
    <cellStyle name="Normal 4 3 7 3 3 2" xfId="6342" xr:uid="{00000000-0005-0000-0000-000025170000}"/>
    <cellStyle name="Normal 4 3 7 3 3 2 2" xfId="6343" xr:uid="{00000000-0005-0000-0000-000026170000}"/>
    <cellStyle name="Normal 4 3 7 3 3 2 3" xfId="6344" xr:uid="{00000000-0005-0000-0000-000027170000}"/>
    <cellStyle name="Normal 4 3 7 3 3 3" xfId="6345" xr:uid="{00000000-0005-0000-0000-000028170000}"/>
    <cellStyle name="Normal 4 3 7 3 3 4" xfId="6346" xr:uid="{00000000-0005-0000-0000-000029170000}"/>
    <cellStyle name="Normal 4 3 7 3 3 5" xfId="6347" xr:uid="{00000000-0005-0000-0000-00002A170000}"/>
    <cellStyle name="Normal 4 3 7 3 4" xfId="6348" xr:uid="{00000000-0005-0000-0000-00002B170000}"/>
    <cellStyle name="Normal 4 3 7 3 4 2" xfId="6349" xr:uid="{00000000-0005-0000-0000-00002C170000}"/>
    <cellStyle name="Normal 4 3 7 3 4 3" xfId="6350" xr:uid="{00000000-0005-0000-0000-00002D170000}"/>
    <cellStyle name="Normal 4 3 7 3 5" xfId="6351" xr:uid="{00000000-0005-0000-0000-00002E170000}"/>
    <cellStyle name="Normal 4 3 7 3 6" xfId="6352" xr:uid="{00000000-0005-0000-0000-00002F170000}"/>
    <cellStyle name="Normal 4 3 7 3 7" xfId="6353" xr:uid="{00000000-0005-0000-0000-000030170000}"/>
    <cellStyle name="Normal 4 3 7 4" xfId="6354" xr:uid="{00000000-0005-0000-0000-000031170000}"/>
    <cellStyle name="Normal 4 3 7 4 2" xfId="6355" xr:uid="{00000000-0005-0000-0000-000032170000}"/>
    <cellStyle name="Normal 4 3 7 4 2 2" xfId="6356" xr:uid="{00000000-0005-0000-0000-000033170000}"/>
    <cellStyle name="Normal 4 3 7 4 2 3" xfId="6357" xr:uid="{00000000-0005-0000-0000-000034170000}"/>
    <cellStyle name="Normal 4 3 7 4 3" xfId="6358" xr:uid="{00000000-0005-0000-0000-000035170000}"/>
    <cellStyle name="Normal 4 3 7 4 4" xfId="6359" xr:uid="{00000000-0005-0000-0000-000036170000}"/>
    <cellStyle name="Normal 4 3 7 4 5" xfId="6360" xr:uid="{00000000-0005-0000-0000-000037170000}"/>
    <cellStyle name="Normal 4 3 7 5" xfId="6361" xr:uid="{00000000-0005-0000-0000-000038170000}"/>
    <cellStyle name="Normal 4 3 7 5 2" xfId="6362" xr:uid="{00000000-0005-0000-0000-000039170000}"/>
    <cellStyle name="Normal 4 3 7 5 2 2" xfId="6363" xr:uid="{00000000-0005-0000-0000-00003A170000}"/>
    <cellStyle name="Normal 4 3 7 5 2 3" xfId="6364" xr:uid="{00000000-0005-0000-0000-00003B170000}"/>
    <cellStyle name="Normal 4 3 7 5 3" xfId="6365" xr:uid="{00000000-0005-0000-0000-00003C170000}"/>
    <cellStyle name="Normal 4 3 7 5 4" xfId="6366" xr:uid="{00000000-0005-0000-0000-00003D170000}"/>
    <cellStyle name="Normal 4 3 7 5 5" xfId="6367" xr:uid="{00000000-0005-0000-0000-00003E170000}"/>
    <cellStyle name="Normal 4 3 7 6" xfId="6368" xr:uid="{00000000-0005-0000-0000-00003F170000}"/>
    <cellStyle name="Normal 4 3 7 6 2" xfId="6369" xr:uid="{00000000-0005-0000-0000-000040170000}"/>
    <cellStyle name="Normal 4 3 7 6 3" xfId="6370" xr:uid="{00000000-0005-0000-0000-000041170000}"/>
    <cellStyle name="Normal 4 3 7 7" xfId="6371" xr:uid="{00000000-0005-0000-0000-000042170000}"/>
    <cellStyle name="Normal 4 3 7 8" xfId="6372" xr:uid="{00000000-0005-0000-0000-000043170000}"/>
    <cellStyle name="Normal 4 3 7 9" xfId="6373" xr:uid="{00000000-0005-0000-0000-000044170000}"/>
    <cellStyle name="Normal 4 3 8" xfId="6374" xr:uid="{00000000-0005-0000-0000-000045170000}"/>
    <cellStyle name="Normal 4 3 8 2" xfId="6375" xr:uid="{00000000-0005-0000-0000-000046170000}"/>
    <cellStyle name="Normal 4 3 8 2 2" xfId="6376" xr:uid="{00000000-0005-0000-0000-000047170000}"/>
    <cellStyle name="Normal 4 3 8 2 2 2" xfId="6377" xr:uid="{00000000-0005-0000-0000-000048170000}"/>
    <cellStyle name="Normal 4 3 8 2 2 2 2" xfId="6378" xr:uid="{00000000-0005-0000-0000-000049170000}"/>
    <cellStyle name="Normal 4 3 8 2 2 2 3" xfId="6379" xr:uid="{00000000-0005-0000-0000-00004A170000}"/>
    <cellStyle name="Normal 4 3 8 2 2 3" xfId="6380" xr:uid="{00000000-0005-0000-0000-00004B170000}"/>
    <cellStyle name="Normal 4 3 8 2 2 4" xfId="6381" xr:uid="{00000000-0005-0000-0000-00004C170000}"/>
    <cellStyle name="Normal 4 3 8 2 2 5" xfId="6382" xr:uid="{00000000-0005-0000-0000-00004D170000}"/>
    <cellStyle name="Normal 4 3 8 2 3" xfId="6383" xr:uid="{00000000-0005-0000-0000-00004E170000}"/>
    <cellStyle name="Normal 4 3 8 2 3 2" xfId="6384" xr:uid="{00000000-0005-0000-0000-00004F170000}"/>
    <cellStyle name="Normal 4 3 8 2 3 2 2" xfId="6385" xr:uid="{00000000-0005-0000-0000-000050170000}"/>
    <cellStyle name="Normal 4 3 8 2 3 2 3" xfId="6386" xr:uid="{00000000-0005-0000-0000-000051170000}"/>
    <cellStyle name="Normal 4 3 8 2 3 3" xfId="6387" xr:uid="{00000000-0005-0000-0000-000052170000}"/>
    <cellStyle name="Normal 4 3 8 2 3 4" xfId="6388" xr:uid="{00000000-0005-0000-0000-000053170000}"/>
    <cellStyle name="Normal 4 3 8 2 3 5" xfId="6389" xr:uid="{00000000-0005-0000-0000-000054170000}"/>
    <cellStyle name="Normal 4 3 8 2 4" xfId="6390" xr:uid="{00000000-0005-0000-0000-000055170000}"/>
    <cellStyle name="Normal 4 3 8 2 4 2" xfId="6391" xr:uid="{00000000-0005-0000-0000-000056170000}"/>
    <cellStyle name="Normal 4 3 8 2 4 3" xfId="6392" xr:uid="{00000000-0005-0000-0000-000057170000}"/>
    <cellStyle name="Normal 4 3 8 2 5" xfId="6393" xr:uid="{00000000-0005-0000-0000-000058170000}"/>
    <cellStyle name="Normal 4 3 8 2 6" xfId="6394" xr:uid="{00000000-0005-0000-0000-000059170000}"/>
    <cellStyle name="Normal 4 3 8 2 7" xfId="6395" xr:uid="{00000000-0005-0000-0000-00005A170000}"/>
    <cellStyle name="Normal 4 3 8 3" xfId="6396" xr:uid="{00000000-0005-0000-0000-00005B170000}"/>
    <cellStyle name="Normal 4 3 8 3 2" xfId="6397" xr:uid="{00000000-0005-0000-0000-00005C170000}"/>
    <cellStyle name="Normal 4 3 8 3 2 2" xfId="6398" xr:uid="{00000000-0005-0000-0000-00005D170000}"/>
    <cellStyle name="Normal 4 3 8 3 2 3" xfId="6399" xr:uid="{00000000-0005-0000-0000-00005E170000}"/>
    <cellStyle name="Normal 4 3 8 3 3" xfId="6400" xr:uid="{00000000-0005-0000-0000-00005F170000}"/>
    <cellStyle name="Normal 4 3 8 3 4" xfId="6401" xr:uid="{00000000-0005-0000-0000-000060170000}"/>
    <cellStyle name="Normal 4 3 8 3 5" xfId="6402" xr:uid="{00000000-0005-0000-0000-000061170000}"/>
    <cellStyle name="Normal 4 3 8 4" xfId="6403" xr:uid="{00000000-0005-0000-0000-000062170000}"/>
    <cellStyle name="Normal 4 3 8 4 2" xfId="6404" xr:uid="{00000000-0005-0000-0000-000063170000}"/>
    <cellStyle name="Normal 4 3 8 4 2 2" xfId="6405" xr:uid="{00000000-0005-0000-0000-000064170000}"/>
    <cellStyle name="Normal 4 3 8 4 2 3" xfId="6406" xr:uid="{00000000-0005-0000-0000-000065170000}"/>
    <cellStyle name="Normal 4 3 8 4 3" xfId="6407" xr:uid="{00000000-0005-0000-0000-000066170000}"/>
    <cellStyle name="Normal 4 3 8 4 4" xfId="6408" xr:uid="{00000000-0005-0000-0000-000067170000}"/>
    <cellStyle name="Normal 4 3 8 4 5" xfId="6409" xr:uid="{00000000-0005-0000-0000-000068170000}"/>
    <cellStyle name="Normal 4 3 8 5" xfId="6410" xr:uid="{00000000-0005-0000-0000-000069170000}"/>
    <cellStyle name="Normal 4 3 8 5 2" xfId="6411" xr:uid="{00000000-0005-0000-0000-00006A170000}"/>
    <cellStyle name="Normal 4 3 8 5 3" xfId="6412" xr:uid="{00000000-0005-0000-0000-00006B170000}"/>
    <cellStyle name="Normal 4 3 8 6" xfId="6413" xr:uid="{00000000-0005-0000-0000-00006C170000}"/>
    <cellStyle name="Normal 4 3 8 7" xfId="6414" xr:uid="{00000000-0005-0000-0000-00006D170000}"/>
    <cellStyle name="Normal 4 3 8 8" xfId="6415" xr:uid="{00000000-0005-0000-0000-00006E170000}"/>
    <cellStyle name="Normal 4 3 9" xfId="6416" xr:uid="{00000000-0005-0000-0000-00006F170000}"/>
    <cellStyle name="Normal 4 3 9 2" xfId="6417" xr:uid="{00000000-0005-0000-0000-000070170000}"/>
    <cellStyle name="Normal 4 3 9 2 2" xfId="6418" xr:uid="{00000000-0005-0000-0000-000071170000}"/>
    <cellStyle name="Normal 4 3 9 2 2 2" xfId="6419" xr:uid="{00000000-0005-0000-0000-000072170000}"/>
    <cellStyle name="Normal 4 3 9 2 2 3" xfId="6420" xr:uid="{00000000-0005-0000-0000-000073170000}"/>
    <cellStyle name="Normal 4 3 9 2 3" xfId="6421" xr:uid="{00000000-0005-0000-0000-000074170000}"/>
    <cellStyle name="Normal 4 3 9 2 4" xfId="6422" xr:uid="{00000000-0005-0000-0000-000075170000}"/>
    <cellStyle name="Normal 4 3 9 2 5" xfId="6423" xr:uid="{00000000-0005-0000-0000-000076170000}"/>
    <cellStyle name="Normal 4 3 9 3" xfId="6424" xr:uid="{00000000-0005-0000-0000-000077170000}"/>
    <cellStyle name="Normal 4 3 9 3 2" xfId="6425" xr:uid="{00000000-0005-0000-0000-000078170000}"/>
    <cellStyle name="Normal 4 3 9 3 2 2" xfId="6426" xr:uid="{00000000-0005-0000-0000-000079170000}"/>
    <cellStyle name="Normal 4 3 9 3 2 3" xfId="6427" xr:uid="{00000000-0005-0000-0000-00007A170000}"/>
    <cellStyle name="Normal 4 3 9 3 3" xfId="6428" xr:uid="{00000000-0005-0000-0000-00007B170000}"/>
    <cellStyle name="Normal 4 3 9 3 4" xfId="6429" xr:uid="{00000000-0005-0000-0000-00007C170000}"/>
    <cellStyle name="Normal 4 3 9 3 5" xfId="6430" xr:uid="{00000000-0005-0000-0000-00007D170000}"/>
    <cellStyle name="Normal 4 3 9 4" xfId="6431" xr:uid="{00000000-0005-0000-0000-00007E170000}"/>
    <cellStyle name="Normal 4 3 9 4 2" xfId="6432" xr:uid="{00000000-0005-0000-0000-00007F170000}"/>
    <cellStyle name="Normal 4 3 9 4 3" xfId="6433" xr:uid="{00000000-0005-0000-0000-000080170000}"/>
    <cellStyle name="Normal 4 3 9 5" xfId="6434" xr:uid="{00000000-0005-0000-0000-000081170000}"/>
    <cellStyle name="Normal 4 3 9 6" xfId="6435" xr:uid="{00000000-0005-0000-0000-000082170000}"/>
    <cellStyle name="Normal 4 3 9 7" xfId="6436" xr:uid="{00000000-0005-0000-0000-000083170000}"/>
    <cellStyle name="Normal 4 4" xfId="601" xr:uid="{00000000-0005-0000-0000-000084170000}"/>
    <cellStyle name="Normal 4 4 10" xfId="6437" xr:uid="{00000000-0005-0000-0000-000085170000}"/>
    <cellStyle name="Normal 4 4 10 2" xfId="6438" xr:uid="{00000000-0005-0000-0000-000086170000}"/>
    <cellStyle name="Normal 4 4 10 2 2" xfId="6439" xr:uid="{00000000-0005-0000-0000-000087170000}"/>
    <cellStyle name="Normal 4 4 10 2 3" xfId="6440" xr:uid="{00000000-0005-0000-0000-000088170000}"/>
    <cellStyle name="Normal 4 4 10 3" xfId="6441" xr:uid="{00000000-0005-0000-0000-000089170000}"/>
    <cellStyle name="Normal 4 4 10 4" xfId="6442" xr:uid="{00000000-0005-0000-0000-00008A170000}"/>
    <cellStyle name="Normal 4 4 10 5" xfId="6443" xr:uid="{00000000-0005-0000-0000-00008B170000}"/>
    <cellStyle name="Normal 4 4 11" xfId="6444" xr:uid="{00000000-0005-0000-0000-00008C170000}"/>
    <cellStyle name="Normal 4 4 11 2" xfId="6445" xr:uid="{00000000-0005-0000-0000-00008D170000}"/>
    <cellStyle name="Normal 4 4 11 3" xfId="6446" xr:uid="{00000000-0005-0000-0000-00008E170000}"/>
    <cellStyle name="Normal 4 4 12" xfId="6447" xr:uid="{00000000-0005-0000-0000-00008F170000}"/>
    <cellStyle name="Normal 4 4 13" xfId="6448" xr:uid="{00000000-0005-0000-0000-000090170000}"/>
    <cellStyle name="Normal 4 4 14" xfId="6449" xr:uid="{00000000-0005-0000-0000-000091170000}"/>
    <cellStyle name="Normal 4 4 2" xfId="6450" xr:uid="{00000000-0005-0000-0000-000092170000}"/>
    <cellStyle name="Normal 4 4 2 10" xfId="6451" xr:uid="{00000000-0005-0000-0000-000093170000}"/>
    <cellStyle name="Normal 4 4 2 10 2" xfId="6452" xr:uid="{00000000-0005-0000-0000-000094170000}"/>
    <cellStyle name="Normal 4 4 2 10 3" xfId="6453" xr:uid="{00000000-0005-0000-0000-000095170000}"/>
    <cellStyle name="Normal 4 4 2 11" xfId="6454" xr:uid="{00000000-0005-0000-0000-000096170000}"/>
    <cellStyle name="Normal 4 4 2 12" xfId="6455" xr:uid="{00000000-0005-0000-0000-000097170000}"/>
    <cellStyle name="Normal 4 4 2 13" xfId="6456" xr:uid="{00000000-0005-0000-0000-000098170000}"/>
    <cellStyle name="Normal 4 4 2 2" xfId="6457" xr:uid="{00000000-0005-0000-0000-000099170000}"/>
    <cellStyle name="Normal 4 4 2 2 2" xfId="6458" xr:uid="{00000000-0005-0000-0000-00009A170000}"/>
    <cellStyle name="Normal 4 4 2 2 2 2" xfId="6459" xr:uid="{00000000-0005-0000-0000-00009B170000}"/>
    <cellStyle name="Normal 4 4 2 2 2 2 2" xfId="6460" xr:uid="{00000000-0005-0000-0000-00009C170000}"/>
    <cellStyle name="Normal 4 4 2 2 2 2 2 2" xfId="6461" xr:uid="{00000000-0005-0000-0000-00009D170000}"/>
    <cellStyle name="Normal 4 4 2 2 2 2 2 2 2" xfId="6462" xr:uid="{00000000-0005-0000-0000-00009E170000}"/>
    <cellStyle name="Normal 4 4 2 2 2 2 2 2 3" xfId="6463" xr:uid="{00000000-0005-0000-0000-00009F170000}"/>
    <cellStyle name="Normal 4 4 2 2 2 2 2 3" xfId="6464" xr:uid="{00000000-0005-0000-0000-0000A0170000}"/>
    <cellStyle name="Normal 4 4 2 2 2 2 2 4" xfId="6465" xr:uid="{00000000-0005-0000-0000-0000A1170000}"/>
    <cellStyle name="Normal 4 4 2 2 2 2 2 5" xfId="6466" xr:uid="{00000000-0005-0000-0000-0000A2170000}"/>
    <cellStyle name="Normal 4 4 2 2 2 2 3" xfId="6467" xr:uid="{00000000-0005-0000-0000-0000A3170000}"/>
    <cellStyle name="Normal 4 4 2 2 2 2 3 2" xfId="6468" xr:uid="{00000000-0005-0000-0000-0000A4170000}"/>
    <cellStyle name="Normal 4 4 2 2 2 2 3 2 2" xfId="6469" xr:uid="{00000000-0005-0000-0000-0000A5170000}"/>
    <cellStyle name="Normal 4 4 2 2 2 2 3 2 3" xfId="6470" xr:uid="{00000000-0005-0000-0000-0000A6170000}"/>
    <cellStyle name="Normal 4 4 2 2 2 2 3 3" xfId="6471" xr:uid="{00000000-0005-0000-0000-0000A7170000}"/>
    <cellStyle name="Normal 4 4 2 2 2 2 3 4" xfId="6472" xr:uid="{00000000-0005-0000-0000-0000A8170000}"/>
    <cellStyle name="Normal 4 4 2 2 2 2 3 5" xfId="6473" xr:uid="{00000000-0005-0000-0000-0000A9170000}"/>
    <cellStyle name="Normal 4 4 2 2 2 2 4" xfId="6474" xr:uid="{00000000-0005-0000-0000-0000AA170000}"/>
    <cellStyle name="Normal 4 4 2 2 2 2 4 2" xfId="6475" xr:uid="{00000000-0005-0000-0000-0000AB170000}"/>
    <cellStyle name="Normal 4 4 2 2 2 2 4 3" xfId="6476" xr:uid="{00000000-0005-0000-0000-0000AC170000}"/>
    <cellStyle name="Normal 4 4 2 2 2 2 5" xfId="6477" xr:uid="{00000000-0005-0000-0000-0000AD170000}"/>
    <cellStyle name="Normal 4 4 2 2 2 2 6" xfId="6478" xr:uid="{00000000-0005-0000-0000-0000AE170000}"/>
    <cellStyle name="Normal 4 4 2 2 2 2 7" xfId="6479" xr:uid="{00000000-0005-0000-0000-0000AF170000}"/>
    <cellStyle name="Normal 4 4 2 2 2 3" xfId="6480" xr:uid="{00000000-0005-0000-0000-0000B0170000}"/>
    <cellStyle name="Normal 4 4 2 2 2 3 2" xfId="6481" xr:uid="{00000000-0005-0000-0000-0000B1170000}"/>
    <cellStyle name="Normal 4 4 2 2 2 3 2 2" xfId="6482" xr:uid="{00000000-0005-0000-0000-0000B2170000}"/>
    <cellStyle name="Normal 4 4 2 2 2 3 2 3" xfId="6483" xr:uid="{00000000-0005-0000-0000-0000B3170000}"/>
    <cellStyle name="Normal 4 4 2 2 2 3 3" xfId="6484" xr:uid="{00000000-0005-0000-0000-0000B4170000}"/>
    <cellStyle name="Normal 4 4 2 2 2 3 4" xfId="6485" xr:uid="{00000000-0005-0000-0000-0000B5170000}"/>
    <cellStyle name="Normal 4 4 2 2 2 3 5" xfId="6486" xr:uid="{00000000-0005-0000-0000-0000B6170000}"/>
    <cellStyle name="Normal 4 4 2 2 2 4" xfId="6487" xr:uid="{00000000-0005-0000-0000-0000B7170000}"/>
    <cellStyle name="Normal 4 4 2 2 2 4 2" xfId="6488" xr:uid="{00000000-0005-0000-0000-0000B8170000}"/>
    <cellStyle name="Normal 4 4 2 2 2 4 2 2" xfId="6489" xr:uid="{00000000-0005-0000-0000-0000B9170000}"/>
    <cellStyle name="Normal 4 4 2 2 2 4 2 3" xfId="6490" xr:uid="{00000000-0005-0000-0000-0000BA170000}"/>
    <cellStyle name="Normal 4 4 2 2 2 4 3" xfId="6491" xr:uid="{00000000-0005-0000-0000-0000BB170000}"/>
    <cellStyle name="Normal 4 4 2 2 2 4 4" xfId="6492" xr:uid="{00000000-0005-0000-0000-0000BC170000}"/>
    <cellStyle name="Normal 4 4 2 2 2 4 5" xfId="6493" xr:uid="{00000000-0005-0000-0000-0000BD170000}"/>
    <cellStyle name="Normal 4 4 2 2 2 5" xfId="6494" xr:uid="{00000000-0005-0000-0000-0000BE170000}"/>
    <cellStyle name="Normal 4 4 2 2 2 5 2" xfId="6495" xr:uid="{00000000-0005-0000-0000-0000BF170000}"/>
    <cellStyle name="Normal 4 4 2 2 2 5 3" xfId="6496" xr:uid="{00000000-0005-0000-0000-0000C0170000}"/>
    <cellStyle name="Normal 4 4 2 2 2 6" xfId="6497" xr:uid="{00000000-0005-0000-0000-0000C1170000}"/>
    <cellStyle name="Normal 4 4 2 2 2 7" xfId="6498" xr:uid="{00000000-0005-0000-0000-0000C2170000}"/>
    <cellStyle name="Normal 4 4 2 2 2 8" xfId="6499" xr:uid="{00000000-0005-0000-0000-0000C3170000}"/>
    <cellStyle name="Normal 4 4 2 2 3" xfId="6500" xr:uid="{00000000-0005-0000-0000-0000C4170000}"/>
    <cellStyle name="Normal 4 4 2 2 3 2" xfId="6501" xr:uid="{00000000-0005-0000-0000-0000C5170000}"/>
    <cellStyle name="Normal 4 4 2 2 3 2 2" xfId="6502" xr:uid="{00000000-0005-0000-0000-0000C6170000}"/>
    <cellStyle name="Normal 4 4 2 2 3 2 2 2" xfId="6503" xr:uid="{00000000-0005-0000-0000-0000C7170000}"/>
    <cellStyle name="Normal 4 4 2 2 3 2 2 3" xfId="6504" xr:uid="{00000000-0005-0000-0000-0000C8170000}"/>
    <cellStyle name="Normal 4 4 2 2 3 2 3" xfId="6505" xr:uid="{00000000-0005-0000-0000-0000C9170000}"/>
    <cellStyle name="Normal 4 4 2 2 3 2 4" xfId="6506" xr:uid="{00000000-0005-0000-0000-0000CA170000}"/>
    <cellStyle name="Normal 4 4 2 2 3 2 5" xfId="6507" xr:uid="{00000000-0005-0000-0000-0000CB170000}"/>
    <cellStyle name="Normal 4 4 2 2 3 3" xfId="6508" xr:uid="{00000000-0005-0000-0000-0000CC170000}"/>
    <cellStyle name="Normal 4 4 2 2 3 3 2" xfId="6509" xr:uid="{00000000-0005-0000-0000-0000CD170000}"/>
    <cellStyle name="Normal 4 4 2 2 3 3 2 2" xfId="6510" xr:uid="{00000000-0005-0000-0000-0000CE170000}"/>
    <cellStyle name="Normal 4 4 2 2 3 3 2 3" xfId="6511" xr:uid="{00000000-0005-0000-0000-0000CF170000}"/>
    <cellStyle name="Normal 4 4 2 2 3 3 3" xfId="6512" xr:uid="{00000000-0005-0000-0000-0000D0170000}"/>
    <cellStyle name="Normal 4 4 2 2 3 3 4" xfId="6513" xr:uid="{00000000-0005-0000-0000-0000D1170000}"/>
    <cellStyle name="Normal 4 4 2 2 3 3 5" xfId="6514" xr:uid="{00000000-0005-0000-0000-0000D2170000}"/>
    <cellStyle name="Normal 4 4 2 2 3 4" xfId="6515" xr:uid="{00000000-0005-0000-0000-0000D3170000}"/>
    <cellStyle name="Normal 4 4 2 2 3 4 2" xfId="6516" xr:uid="{00000000-0005-0000-0000-0000D4170000}"/>
    <cellStyle name="Normal 4 4 2 2 3 4 3" xfId="6517" xr:uid="{00000000-0005-0000-0000-0000D5170000}"/>
    <cellStyle name="Normal 4 4 2 2 3 5" xfId="6518" xr:uid="{00000000-0005-0000-0000-0000D6170000}"/>
    <cellStyle name="Normal 4 4 2 2 3 6" xfId="6519" xr:uid="{00000000-0005-0000-0000-0000D7170000}"/>
    <cellStyle name="Normal 4 4 2 2 3 7" xfId="6520" xr:uid="{00000000-0005-0000-0000-0000D8170000}"/>
    <cellStyle name="Normal 4 4 2 2 4" xfId="6521" xr:uid="{00000000-0005-0000-0000-0000D9170000}"/>
    <cellStyle name="Normal 4 4 2 2 4 2" xfId="6522" xr:uid="{00000000-0005-0000-0000-0000DA170000}"/>
    <cellStyle name="Normal 4 4 2 2 4 2 2" xfId="6523" xr:uid="{00000000-0005-0000-0000-0000DB170000}"/>
    <cellStyle name="Normal 4 4 2 2 4 2 3" xfId="6524" xr:uid="{00000000-0005-0000-0000-0000DC170000}"/>
    <cellStyle name="Normal 4 4 2 2 4 3" xfId="6525" xr:uid="{00000000-0005-0000-0000-0000DD170000}"/>
    <cellStyle name="Normal 4 4 2 2 4 4" xfId="6526" xr:uid="{00000000-0005-0000-0000-0000DE170000}"/>
    <cellStyle name="Normal 4 4 2 2 4 5" xfId="6527" xr:uid="{00000000-0005-0000-0000-0000DF170000}"/>
    <cellStyle name="Normal 4 4 2 2 5" xfId="6528" xr:uid="{00000000-0005-0000-0000-0000E0170000}"/>
    <cellStyle name="Normal 4 4 2 2 5 2" xfId="6529" xr:uid="{00000000-0005-0000-0000-0000E1170000}"/>
    <cellStyle name="Normal 4 4 2 2 5 2 2" xfId="6530" xr:uid="{00000000-0005-0000-0000-0000E2170000}"/>
    <cellStyle name="Normal 4 4 2 2 5 2 3" xfId="6531" xr:uid="{00000000-0005-0000-0000-0000E3170000}"/>
    <cellStyle name="Normal 4 4 2 2 5 3" xfId="6532" xr:uid="{00000000-0005-0000-0000-0000E4170000}"/>
    <cellStyle name="Normal 4 4 2 2 5 4" xfId="6533" xr:uid="{00000000-0005-0000-0000-0000E5170000}"/>
    <cellStyle name="Normal 4 4 2 2 5 5" xfId="6534" xr:uid="{00000000-0005-0000-0000-0000E6170000}"/>
    <cellStyle name="Normal 4 4 2 2 6" xfId="6535" xr:uid="{00000000-0005-0000-0000-0000E7170000}"/>
    <cellStyle name="Normal 4 4 2 2 6 2" xfId="6536" xr:uid="{00000000-0005-0000-0000-0000E8170000}"/>
    <cellStyle name="Normal 4 4 2 2 6 3" xfId="6537" xr:uid="{00000000-0005-0000-0000-0000E9170000}"/>
    <cellStyle name="Normal 4 4 2 2 7" xfId="6538" xr:uid="{00000000-0005-0000-0000-0000EA170000}"/>
    <cellStyle name="Normal 4 4 2 2 8" xfId="6539" xr:uid="{00000000-0005-0000-0000-0000EB170000}"/>
    <cellStyle name="Normal 4 4 2 2 9" xfId="6540" xr:uid="{00000000-0005-0000-0000-0000EC170000}"/>
    <cellStyle name="Normal 4 4 2 3" xfId="6541" xr:uid="{00000000-0005-0000-0000-0000ED170000}"/>
    <cellStyle name="Normal 4 4 2 3 2" xfId="6542" xr:uid="{00000000-0005-0000-0000-0000EE170000}"/>
    <cellStyle name="Normal 4 4 2 3 2 2" xfId="6543" xr:uid="{00000000-0005-0000-0000-0000EF170000}"/>
    <cellStyle name="Normal 4 4 2 3 2 2 2" xfId="6544" xr:uid="{00000000-0005-0000-0000-0000F0170000}"/>
    <cellStyle name="Normal 4 4 2 3 2 2 2 2" xfId="6545" xr:uid="{00000000-0005-0000-0000-0000F1170000}"/>
    <cellStyle name="Normal 4 4 2 3 2 2 2 2 2" xfId="6546" xr:uid="{00000000-0005-0000-0000-0000F2170000}"/>
    <cellStyle name="Normal 4 4 2 3 2 2 2 2 3" xfId="6547" xr:uid="{00000000-0005-0000-0000-0000F3170000}"/>
    <cellStyle name="Normal 4 4 2 3 2 2 2 3" xfId="6548" xr:uid="{00000000-0005-0000-0000-0000F4170000}"/>
    <cellStyle name="Normal 4 4 2 3 2 2 2 4" xfId="6549" xr:uid="{00000000-0005-0000-0000-0000F5170000}"/>
    <cellStyle name="Normal 4 4 2 3 2 2 2 5" xfId="6550" xr:uid="{00000000-0005-0000-0000-0000F6170000}"/>
    <cellStyle name="Normal 4 4 2 3 2 2 3" xfId="6551" xr:uid="{00000000-0005-0000-0000-0000F7170000}"/>
    <cellStyle name="Normal 4 4 2 3 2 2 3 2" xfId="6552" xr:uid="{00000000-0005-0000-0000-0000F8170000}"/>
    <cellStyle name="Normal 4 4 2 3 2 2 3 2 2" xfId="6553" xr:uid="{00000000-0005-0000-0000-0000F9170000}"/>
    <cellStyle name="Normal 4 4 2 3 2 2 3 2 3" xfId="6554" xr:uid="{00000000-0005-0000-0000-0000FA170000}"/>
    <cellStyle name="Normal 4 4 2 3 2 2 3 3" xfId="6555" xr:uid="{00000000-0005-0000-0000-0000FB170000}"/>
    <cellStyle name="Normal 4 4 2 3 2 2 3 4" xfId="6556" xr:uid="{00000000-0005-0000-0000-0000FC170000}"/>
    <cellStyle name="Normal 4 4 2 3 2 2 3 5" xfId="6557" xr:uid="{00000000-0005-0000-0000-0000FD170000}"/>
    <cellStyle name="Normal 4 4 2 3 2 2 4" xfId="6558" xr:uid="{00000000-0005-0000-0000-0000FE170000}"/>
    <cellStyle name="Normal 4 4 2 3 2 2 4 2" xfId="6559" xr:uid="{00000000-0005-0000-0000-0000FF170000}"/>
    <cellStyle name="Normal 4 4 2 3 2 2 4 3" xfId="6560" xr:uid="{00000000-0005-0000-0000-000000180000}"/>
    <cellStyle name="Normal 4 4 2 3 2 2 5" xfId="6561" xr:uid="{00000000-0005-0000-0000-000001180000}"/>
    <cellStyle name="Normal 4 4 2 3 2 2 6" xfId="6562" xr:uid="{00000000-0005-0000-0000-000002180000}"/>
    <cellStyle name="Normal 4 4 2 3 2 2 7" xfId="6563" xr:uid="{00000000-0005-0000-0000-000003180000}"/>
    <cellStyle name="Normal 4 4 2 3 2 3" xfId="6564" xr:uid="{00000000-0005-0000-0000-000004180000}"/>
    <cellStyle name="Normal 4 4 2 3 2 3 2" xfId="6565" xr:uid="{00000000-0005-0000-0000-000005180000}"/>
    <cellStyle name="Normal 4 4 2 3 2 3 2 2" xfId="6566" xr:uid="{00000000-0005-0000-0000-000006180000}"/>
    <cellStyle name="Normal 4 4 2 3 2 3 2 3" xfId="6567" xr:uid="{00000000-0005-0000-0000-000007180000}"/>
    <cellStyle name="Normal 4 4 2 3 2 3 3" xfId="6568" xr:uid="{00000000-0005-0000-0000-000008180000}"/>
    <cellStyle name="Normal 4 4 2 3 2 3 4" xfId="6569" xr:uid="{00000000-0005-0000-0000-000009180000}"/>
    <cellStyle name="Normal 4 4 2 3 2 3 5" xfId="6570" xr:uid="{00000000-0005-0000-0000-00000A180000}"/>
    <cellStyle name="Normal 4 4 2 3 2 4" xfId="6571" xr:uid="{00000000-0005-0000-0000-00000B180000}"/>
    <cellStyle name="Normal 4 4 2 3 2 4 2" xfId="6572" xr:uid="{00000000-0005-0000-0000-00000C180000}"/>
    <cellStyle name="Normal 4 4 2 3 2 4 2 2" xfId="6573" xr:uid="{00000000-0005-0000-0000-00000D180000}"/>
    <cellStyle name="Normal 4 4 2 3 2 4 2 3" xfId="6574" xr:uid="{00000000-0005-0000-0000-00000E180000}"/>
    <cellStyle name="Normal 4 4 2 3 2 4 3" xfId="6575" xr:uid="{00000000-0005-0000-0000-00000F180000}"/>
    <cellStyle name="Normal 4 4 2 3 2 4 4" xfId="6576" xr:uid="{00000000-0005-0000-0000-000010180000}"/>
    <cellStyle name="Normal 4 4 2 3 2 4 5" xfId="6577" xr:uid="{00000000-0005-0000-0000-000011180000}"/>
    <cellStyle name="Normal 4 4 2 3 2 5" xfId="6578" xr:uid="{00000000-0005-0000-0000-000012180000}"/>
    <cellStyle name="Normal 4 4 2 3 2 5 2" xfId="6579" xr:uid="{00000000-0005-0000-0000-000013180000}"/>
    <cellStyle name="Normal 4 4 2 3 2 5 3" xfId="6580" xr:uid="{00000000-0005-0000-0000-000014180000}"/>
    <cellStyle name="Normal 4 4 2 3 2 6" xfId="6581" xr:uid="{00000000-0005-0000-0000-000015180000}"/>
    <cellStyle name="Normal 4 4 2 3 2 7" xfId="6582" xr:uid="{00000000-0005-0000-0000-000016180000}"/>
    <cellStyle name="Normal 4 4 2 3 2 8" xfId="6583" xr:uid="{00000000-0005-0000-0000-000017180000}"/>
    <cellStyle name="Normal 4 4 2 3 3" xfId="6584" xr:uid="{00000000-0005-0000-0000-000018180000}"/>
    <cellStyle name="Normal 4 4 2 3 3 2" xfId="6585" xr:uid="{00000000-0005-0000-0000-000019180000}"/>
    <cellStyle name="Normal 4 4 2 3 3 2 2" xfId="6586" xr:uid="{00000000-0005-0000-0000-00001A180000}"/>
    <cellStyle name="Normal 4 4 2 3 3 2 2 2" xfId="6587" xr:uid="{00000000-0005-0000-0000-00001B180000}"/>
    <cellStyle name="Normal 4 4 2 3 3 2 2 3" xfId="6588" xr:uid="{00000000-0005-0000-0000-00001C180000}"/>
    <cellStyle name="Normal 4 4 2 3 3 2 3" xfId="6589" xr:uid="{00000000-0005-0000-0000-00001D180000}"/>
    <cellStyle name="Normal 4 4 2 3 3 2 4" xfId="6590" xr:uid="{00000000-0005-0000-0000-00001E180000}"/>
    <cellStyle name="Normal 4 4 2 3 3 2 5" xfId="6591" xr:uid="{00000000-0005-0000-0000-00001F180000}"/>
    <cellStyle name="Normal 4 4 2 3 3 3" xfId="6592" xr:uid="{00000000-0005-0000-0000-000020180000}"/>
    <cellStyle name="Normal 4 4 2 3 3 3 2" xfId="6593" xr:uid="{00000000-0005-0000-0000-000021180000}"/>
    <cellStyle name="Normal 4 4 2 3 3 3 2 2" xfId="6594" xr:uid="{00000000-0005-0000-0000-000022180000}"/>
    <cellStyle name="Normal 4 4 2 3 3 3 2 3" xfId="6595" xr:uid="{00000000-0005-0000-0000-000023180000}"/>
    <cellStyle name="Normal 4 4 2 3 3 3 3" xfId="6596" xr:uid="{00000000-0005-0000-0000-000024180000}"/>
    <cellStyle name="Normal 4 4 2 3 3 3 4" xfId="6597" xr:uid="{00000000-0005-0000-0000-000025180000}"/>
    <cellStyle name="Normal 4 4 2 3 3 3 5" xfId="6598" xr:uid="{00000000-0005-0000-0000-000026180000}"/>
    <cellStyle name="Normal 4 4 2 3 3 4" xfId="6599" xr:uid="{00000000-0005-0000-0000-000027180000}"/>
    <cellStyle name="Normal 4 4 2 3 3 4 2" xfId="6600" xr:uid="{00000000-0005-0000-0000-000028180000}"/>
    <cellStyle name="Normal 4 4 2 3 3 4 3" xfId="6601" xr:uid="{00000000-0005-0000-0000-000029180000}"/>
    <cellStyle name="Normal 4 4 2 3 3 5" xfId="6602" xr:uid="{00000000-0005-0000-0000-00002A180000}"/>
    <cellStyle name="Normal 4 4 2 3 3 6" xfId="6603" xr:uid="{00000000-0005-0000-0000-00002B180000}"/>
    <cellStyle name="Normal 4 4 2 3 3 7" xfId="6604" xr:uid="{00000000-0005-0000-0000-00002C180000}"/>
    <cellStyle name="Normal 4 4 2 3 4" xfId="6605" xr:uid="{00000000-0005-0000-0000-00002D180000}"/>
    <cellStyle name="Normal 4 4 2 3 4 2" xfId="6606" xr:uid="{00000000-0005-0000-0000-00002E180000}"/>
    <cellStyle name="Normal 4 4 2 3 4 2 2" xfId="6607" xr:uid="{00000000-0005-0000-0000-00002F180000}"/>
    <cellStyle name="Normal 4 4 2 3 4 2 3" xfId="6608" xr:uid="{00000000-0005-0000-0000-000030180000}"/>
    <cellStyle name="Normal 4 4 2 3 4 3" xfId="6609" xr:uid="{00000000-0005-0000-0000-000031180000}"/>
    <cellStyle name="Normal 4 4 2 3 4 4" xfId="6610" xr:uid="{00000000-0005-0000-0000-000032180000}"/>
    <cellStyle name="Normal 4 4 2 3 4 5" xfId="6611" xr:uid="{00000000-0005-0000-0000-000033180000}"/>
    <cellStyle name="Normal 4 4 2 3 5" xfId="6612" xr:uid="{00000000-0005-0000-0000-000034180000}"/>
    <cellStyle name="Normal 4 4 2 3 5 2" xfId="6613" xr:uid="{00000000-0005-0000-0000-000035180000}"/>
    <cellStyle name="Normal 4 4 2 3 5 2 2" xfId="6614" xr:uid="{00000000-0005-0000-0000-000036180000}"/>
    <cellStyle name="Normal 4 4 2 3 5 2 3" xfId="6615" xr:uid="{00000000-0005-0000-0000-000037180000}"/>
    <cellStyle name="Normal 4 4 2 3 5 3" xfId="6616" xr:uid="{00000000-0005-0000-0000-000038180000}"/>
    <cellStyle name="Normal 4 4 2 3 5 4" xfId="6617" xr:uid="{00000000-0005-0000-0000-000039180000}"/>
    <cellStyle name="Normal 4 4 2 3 5 5" xfId="6618" xr:uid="{00000000-0005-0000-0000-00003A180000}"/>
    <cellStyle name="Normal 4 4 2 3 6" xfId="6619" xr:uid="{00000000-0005-0000-0000-00003B180000}"/>
    <cellStyle name="Normal 4 4 2 3 6 2" xfId="6620" xr:uid="{00000000-0005-0000-0000-00003C180000}"/>
    <cellStyle name="Normal 4 4 2 3 6 3" xfId="6621" xr:uid="{00000000-0005-0000-0000-00003D180000}"/>
    <cellStyle name="Normal 4 4 2 3 7" xfId="6622" xr:uid="{00000000-0005-0000-0000-00003E180000}"/>
    <cellStyle name="Normal 4 4 2 3 8" xfId="6623" xr:uid="{00000000-0005-0000-0000-00003F180000}"/>
    <cellStyle name="Normal 4 4 2 3 9" xfId="6624" xr:uid="{00000000-0005-0000-0000-000040180000}"/>
    <cellStyle name="Normal 4 4 2 4" xfId="6625" xr:uid="{00000000-0005-0000-0000-000041180000}"/>
    <cellStyle name="Normal 4 4 2 4 2" xfId="6626" xr:uid="{00000000-0005-0000-0000-000042180000}"/>
    <cellStyle name="Normal 4 4 2 4 2 2" xfId="6627" xr:uid="{00000000-0005-0000-0000-000043180000}"/>
    <cellStyle name="Normal 4 4 2 4 2 2 2" xfId="6628" xr:uid="{00000000-0005-0000-0000-000044180000}"/>
    <cellStyle name="Normal 4 4 2 4 2 2 2 2" xfId="6629" xr:uid="{00000000-0005-0000-0000-000045180000}"/>
    <cellStyle name="Normal 4 4 2 4 2 2 2 2 2" xfId="6630" xr:uid="{00000000-0005-0000-0000-000046180000}"/>
    <cellStyle name="Normal 4 4 2 4 2 2 2 2 3" xfId="6631" xr:uid="{00000000-0005-0000-0000-000047180000}"/>
    <cellStyle name="Normal 4 4 2 4 2 2 2 3" xfId="6632" xr:uid="{00000000-0005-0000-0000-000048180000}"/>
    <cellStyle name="Normal 4 4 2 4 2 2 2 4" xfId="6633" xr:uid="{00000000-0005-0000-0000-000049180000}"/>
    <cellStyle name="Normal 4 4 2 4 2 2 2 5" xfId="6634" xr:uid="{00000000-0005-0000-0000-00004A180000}"/>
    <cellStyle name="Normal 4 4 2 4 2 2 3" xfId="6635" xr:uid="{00000000-0005-0000-0000-00004B180000}"/>
    <cellStyle name="Normal 4 4 2 4 2 2 3 2" xfId="6636" xr:uid="{00000000-0005-0000-0000-00004C180000}"/>
    <cellStyle name="Normal 4 4 2 4 2 2 3 2 2" xfId="6637" xr:uid="{00000000-0005-0000-0000-00004D180000}"/>
    <cellStyle name="Normal 4 4 2 4 2 2 3 2 3" xfId="6638" xr:uid="{00000000-0005-0000-0000-00004E180000}"/>
    <cellStyle name="Normal 4 4 2 4 2 2 3 3" xfId="6639" xr:uid="{00000000-0005-0000-0000-00004F180000}"/>
    <cellStyle name="Normal 4 4 2 4 2 2 3 4" xfId="6640" xr:uid="{00000000-0005-0000-0000-000050180000}"/>
    <cellStyle name="Normal 4 4 2 4 2 2 3 5" xfId="6641" xr:uid="{00000000-0005-0000-0000-000051180000}"/>
    <cellStyle name="Normal 4 4 2 4 2 2 4" xfId="6642" xr:uid="{00000000-0005-0000-0000-000052180000}"/>
    <cellStyle name="Normal 4 4 2 4 2 2 4 2" xfId="6643" xr:uid="{00000000-0005-0000-0000-000053180000}"/>
    <cellStyle name="Normal 4 4 2 4 2 2 4 3" xfId="6644" xr:uid="{00000000-0005-0000-0000-000054180000}"/>
    <cellStyle name="Normal 4 4 2 4 2 2 5" xfId="6645" xr:uid="{00000000-0005-0000-0000-000055180000}"/>
    <cellStyle name="Normal 4 4 2 4 2 2 6" xfId="6646" xr:uid="{00000000-0005-0000-0000-000056180000}"/>
    <cellStyle name="Normal 4 4 2 4 2 2 7" xfId="6647" xr:uid="{00000000-0005-0000-0000-000057180000}"/>
    <cellStyle name="Normal 4 4 2 4 2 3" xfId="6648" xr:uid="{00000000-0005-0000-0000-000058180000}"/>
    <cellStyle name="Normal 4 4 2 4 2 3 2" xfId="6649" xr:uid="{00000000-0005-0000-0000-000059180000}"/>
    <cellStyle name="Normal 4 4 2 4 2 3 2 2" xfId="6650" xr:uid="{00000000-0005-0000-0000-00005A180000}"/>
    <cellStyle name="Normal 4 4 2 4 2 3 2 3" xfId="6651" xr:uid="{00000000-0005-0000-0000-00005B180000}"/>
    <cellStyle name="Normal 4 4 2 4 2 3 3" xfId="6652" xr:uid="{00000000-0005-0000-0000-00005C180000}"/>
    <cellStyle name="Normal 4 4 2 4 2 3 4" xfId="6653" xr:uid="{00000000-0005-0000-0000-00005D180000}"/>
    <cellStyle name="Normal 4 4 2 4 2 3 5" xfId="6654" xr:uid="{00000000-0005-0000-0000-00005E180000}"/>
    <cellStyle name="Normal 4 4 2 4 2 4" xfId="6655" xr:uid="{00000000-0005-0000-0000-00005F180000}"/>
    <cellStyle name="Normal 4 4 2 4 2 4 2" xfId="6656" xr:uid="{00000000-0005-0000-0000-000060180000}"/>
    <cellStyle name="Normal 4 4 2 4 2 4 2 2" xfId="6657" xr:uid="{00000000-0005-0000-0000-000061180000}"/>
    <cellStyle name="Normal 4 4 2 4 2 4 2 3" xfId="6658" xr:uid="{00000000-0005-0000-0000-000062180000}"/>
    <cellStyle name="Normal 4 4 2 4 2 4 3" xfId="6659" xr:uid="{00000000-0005-0000-0000-000063180000}"/>
    <cellStyle name="Normal 4 4 2 4 2 4 4" xfId="6660" xr:uid="{00000000-0005-0000-0000-000064180000}"/>
    <cellStyle name="Normal 4 4 2 4 2 4 5" xfId="6661" xr:uid="{00000000-0005-0000-0000-000065180000}"/>
    <cellStyle name="Normal 4 4 2 4 2 5" xfId="6662" xr:uid="{00000000-0005-0000-0000-000066180000}"/>
    <cellStyle name="Normal 4 4 2 4 2 5 2" xfId="6663" xr:uid="{00000000-0005-0000-0000-000067180000}"/>
    <cellStyle name="Normal 4 4 2 4 2 5 3" xfId="6664" xr:uid="{00000000-0005-0000-0000-000068180000}"/>
    <cellStyle name="Normal 4 4 2 4 2 6" xfId="6665" xr:uid="{00000000-0005-0000-0000-000069180000}"/>
    <cellStyle name="Normal 4 4 2 4 2 7" xfId="6666" xr:uid="{00000000-0005-0000-0000-00006A180000}"/>
    <cellStyle name="Normal 4 4 2 4 2 8" xfId="6667" xr:uid="{00000000-0005-0000-0000-00006B180000}"/>
    <cellStyle name="Normal 4 4 2 4 3" xfId="6668" xr:uid="{00000000-0005-0000-0000-00006C180000}"/>
    <cellStyle name="Normal 4 4 2 4 3 2" xfId="6669" xr:uid="{00000000-0005-0000-0000-00006D180000}"/>
    <cellStyle name="Normal 4 4 2 4 3 2 2" xfId="6670" xr:uid="{00000000-0005-0000-0000-00006E180000}"/>
    <cellStyle name="Normal 4 4 2 4 3 2 2 2" xfId="6671" xr:uid="{00000000-0005-0000-0000-00006F180000}"/>
    <cellStyle name="Normal 4 4 2 4 3 2 2 3" xfId="6672" xr:uid="{00000000-0005-0000-0000-000070180000}"/>
    <cellStyle name="Normal 4 4 2 4 3 2 3" xfId="6673" xr:uid="{00000000-0005-0000-0000-000071180000}"/>
    <cellStyle name="Normal 4 4 2 4 3 2 4" xfId="6674" xr:uid="{00000000-0005-0000-0000-000072180000}"/>
    <cellStyle name="Normal 4 4 2 4 3 2 5" xfId="6675" xr:uid="{00000000-0005-0000-0000-000073180000}"/>
    <cellStyle name="Normal 4 4 2 4 3 3" xfId="6676" xr:uid="{00000000-0005-0000-0000-000074180000}"/>
    <cellStyle name="Normal 4 4 2 4 3 3 2" xfId="6677" xr:uid="{00000000-0005-0000-0000-000075180000}"/>
    <cellStyle name="Normal 4 4 2 4 3 3 2 2" xfId="6678" xr:uid="{00000000-0005-0000-0000-000076180000}"/>
    <cellStyle name="Normal 4 4 2 4 3 3 2 3" xfId="6679" xr:uid="{00000000-0005-0000-0000-000077180000}"/>
    <cellStyle name="Normal 4 4 2 4 3 3 3" xfId="6680" xr:uid="{00000000-0005-0000-0000-000078180000}"/>
    <cellStyle name="Normal 4 4 2 4 3 3 4" xfId="6681" xr:uid="{00000000-0005-0000-0000-000079180000}"/>
    <cellStyle name="Normal 4 4 2 4 3 3 5" xfId="6682" xr:uid="{00000000-0005-0000-0000-00007A180000}"/>
    <cellStyle name="Normal 4 4 2 4 3 4" xfId="6683" xr:uid="{00000000-0005-0000-0000-00007B180000}"/>
    <cellStyle name="Normal 4 4 2 4 3 4 2" xfId="6684" xr:uid="{00000000-0005-0000-0000-00007C180000}"/>
    <cellStyle name="Normal 4 4 2 4 3 4 3" xfId="6685" xr:uid="{00000000-0005-0000-0000-00007D180000}"/>
    <cellStyle name="Normal 4 4 2 4 3 5" xfId="6686" xr:uid="{00000000-0005-0000-0000-00007E180000}"/>
    <cellStyle name="Normal 4 4 2 4 3 6" xfId="6687" xr:uid="{00000000-0005-0000-0000-00007F180000}"/>
    <cellStyle name="Normal 4 4 2 4 3 7" xfId="6688" xr:uid="{00000000-0005-0000-0000-000080180000}"/>
    <cellStyle name="Normal 4 4 2 4 4" xfId="6689" xr:uid="{00000000-0005-0000-0000-000081180000}"/>
    <cellStyle name="Normal 4 4 2 4 4 2" xfId="6690" xr:uid="{00000000-0005-0000-0000-000082180000}"/>
    <cellStyle name="Normal 4 4 2 4 4 2 2" xfId="6691" xr:uid="{00000000-0005-0000-0000-000083180000}"/>
    <cellStyle name="Normal 4 4 2 4 4 2 3" xfId="6692" xr:uid="{00000000-0005-0000-0000-000084180000}"/>
    <cellStyle name="Normal 4 4 2 4 4 3" xfId="6693" xr:uid="{00000000-0005-0000-0000-000085180000}"/>
    <cellStyle name="Normal 4 4 2 4 4 4" xfId="6694" xr:uid="{00000000-0005-0000-0000-000086180000}"/>
    <cellStyle name="Normal 4 4 2 4 4 5" xfId="6695" xr:uid="{00000000-0005-0000-0000-000087180000}"/>
    <cellStyle name="Normal 4 4 2 4 5" xfId="6696" xr:uid="{00000000-0005-0000-0000-000088180000}"/>
    <cellStyle name="Normal 4 4 2 4 5 2" xfId="6697" xr:uid="{00000000-0005-0000-0000-000089180000}"/>
    <cellStyle name="Normal 4 4 2 4 5 2 2" xfId="6698" xr:uid="{00000000-0005-0000-0000-00008A180000}"/>
    <cellStyle name="Normal 4 4 2 4 5 2 3" xfId="6699" xr:uid="{00000000-0005-0000-0000-00008B180000}"/>
    <cellStyle name="Normal 4 4 2 4 5 3" xfId="6700" xr:uid="{00000000-0005-0000-0000-00008C180000}"/>
    <cellStyle name="Normal 4 4 2 4 5 4" xfId="6701" xr:uid="{00000000-0005-0000-0000-00008D180000}"/>
    <cellStyle name="Normal 4 4 2 4 5 5" xfId="6702" xr:uid="{00000000-0005-0000-0000-00008E180000}"/>
    <cellStyle name="Normal 4 4 2 4 6" xfId="6703" xr:uid="{00000000-0005-0000-0000-00008F180000}"/>
    <cellStyle name="Normal 4 4 2 4 6 2" xfId="6704" xr:uid="{00000000-0005-0000-0000-000090180000}"/>
    <cellStyle name="Normal 4 4 2 4 6 3" xfId="6705" xr:uid="{00000000-0005-0000-0000-000091180000}"/>
    <cellStyle name="Normal 4 4 2 4 7" xfId="6706" xr:uid="{00000000-0005-0000-0000-000092180000}"/>
    <cellStyle name="Normal 4 4 2 4 8" xfId="6707" xr:uid="{00000000-0005-0000-0000-000093180000}"/>
    <cellStyle name="Normal 4 4 2 4 9" xfId="6708" xr:uid="{00000000-0005-0000-0000-000094180000}"/>
    <cellStyle name="Normal 4 4 2 5" xfId="6709" xr:uid="{00000000-0005-0000-0000-000095180000}"/>
    <cellStyle name="Normal 4 4 2 5 2" xfId="6710" xr:uid="{00000000-0005-0000-0000-000096180000}"/>
    <cellStyle name="Normal 4 4 2 5 2 2" xfId="6711" xr:uid="{00000000-0005-0000-0000-000097180000}"/>
    <cellStyle name="Normal 4 4 2 5 2 2 2" xfId="6712" xr:uid="{00000000-0005-0000-0000-000098180000}"/>
    <cellStyle name="Normal 4 4 2 5 2 2 2 2" xfId="6713" xr:uid="{00000000-0005-0000-0000-000099180000}"/>
    <cellStyle name="Normal 4 4 2 5 2 2 2 3" xfId="6714" xr:uid="{00000000-0005-0000-0000-00009A180000}"/>
    <cellStyle name="Normal 4 4 2 5 2 2 3" xfId="6715" xr:uid="{00000000-0005-0000-0000-00009B180000}"/>
    <cellStyle name="Normal 4 4 2 5 2 2 4" xfId="6716" xr:uid="{00000000-0005-0000-0000-00009C180000}"/>
    <cellStyle name="Normal 4 4 2 5 2 2 5" xfId="6717" xr:uid="{00000000-0005-0000-0000-00009D180000}"/>
    <cellStyle name="Normal 4 4 2 5 2 3" xfId="6718" xr:uid="{00000000-0005-0000-0000-00009E180000}"/>
    <cellStyle name="Normal 4 4 2 5 2 3 2" xfId="6719" xr:uid="{00000000-0005-0000-0000-00009F180000}"/>
    <cellStyle name="Normal 4 4 2 5 2 3 2 2" xfId="6720" xr:uid="{00000000-0005-0000-0000-0000A0180000}"/>
    <cellStyle name="Normal 4 4 2 5 2 3 2 3" xfId="6721" xr:uid="{00000000-0005-0000-0000-0000A1180000}"/>
    <cellStyle name="Normal 4 4 2 5 2 3 3" xfId="6722" xr:uid="{00000000-0005-0000-0000-0000A2180000}"/>
    <cellStyle name="Normal 4 4 2 5 2 3 4" xfId="6723" xr:uid="{00000000-0005-0000-0000-0000A3180000}"/>
    <cellStyle name="Normal 4 4 2 5 2 3 5" xfId="6724" xr:uid="{00000000-0005-0000-0000-0000A4180000}"/>
    <cellStyle name="Normal 4 4 2 5 2 4" xfId="6725" xr:uid="{00000000-0005-0000-0000-0000A5180000}"/>
    <cellStyle name="Normal 4 4 2 5 2 4 2" xfId="6726" xr:uid="{00000000-0005-0000-0000-0000A6180000}"/>
    <cellStyle name="Normal 4 4 2 5 2 4 3" xfId="6727" xr:uid="{00000000-0005-0000-0000-0000A7180000}"/>
    <cellStyle name="Normal 4 4 2 5 2 5" xfId="6728" xr:uid="{00000000-0005-0000-0000-0000A8180000}"/>
    <cellStyle name="Normal 4 4 2 5 2 6" xfId="6729" xr:uid="{00000000-0005-0000-0000-0000A9180000}"/>
    <cellStyle name="Normal 4 4 2 5 2 7" xfId="6730" xr:uid="{00000000-0005-0000-0000-0000AA180000}"/>
    <cellStyle name="Normal 4 4 2 5 3" xfId="6731" xr:uid="{00000000-0005-0000-0000-0000AB180000}"/>
    <cellStyle name="Normal 4 4 2 5 3 2" xfId="6732" xr:uid="{00000000-0005-0000-0000-0000AC180000}"/>
    <cellStyle name="Normal 4 4 2 5 3 2 2" xfId="6733" xr:uid="{00000000-0005-0000-0000-0000AD180000}"/>
    <cellStyle name="Normal 4 4 2 5 3 2 3" xfId="6734" xr:uid="{00000000-0005-0000-0000-0000AE180000}"/>
    <cellStyle name="Normal 4 4 2 5 3 3" xfId="6735" xr:uid="{00000000-0005-0000-0000-0000AF180000}"/>
    <cellStyle name="Normal 4 4 2 5 3 4" xfId="6736" xr:uid="{00000000-0005-0000-0000-0000B0180000}"/>
    <cellStyle name="Normal 4 4 2 5 3 5" xfId="6737" xr:uid="{00000000-0005-0000-0000-0000B1180000}"/>
    <cellStyle name="Normal 4 4 2 5 4" xfId="6738" xr:uid="{00000000-0005-0000-0000-0000B2180000}"/>
    <cellStyle name="Normal 4 4 2 5 4 2" xfId="6739" xr:uid="{00000000-0005-0000-0000-0000B3180000}"/>
    <cellStyle name="Normal 4 4 2 5 4 2 2" xfId="6740" xr:uid="{00000000-0005-0000-0000-0000B4180000}"/>
    <cellStyle name="Normal 4 4 2 5 4 2 3" xfId="6741" xr:uid="{00000000-0005-0000-0000-0000B5180000}"/>
    <cellStyle name="Normal 4 4 2 5 4 3" xfId="6742" xr:uid="{00000000-0005-0000-0000-0000B6180000}"/>
    <cellStyle name="Normal 4 4 2 5 4 4" xfId="6743" xr:uid="{00000000-0005-0000-0000-0000B7180000}"/>
    <cellStyle name="Normal 4 4 2 5 4 5" xfId="6744" xr:uid="{00000000-0005-0000-0000-0000B8180000}"/>
    <cellStyle name="Normal 4 4 2 5 5" xfId="6745" xr:uid="{00000000-0005-0000-0000-0000B9180000}"/>
    <cellStyle name="Normal 4 4 2 5 5 2" xfId="6746" xr:uid="{00000000-0005-0000-0000-0000BA180000}"/>
    <cellStyle name="Normal 4 4 2 5 5 3" xfId="6747" xr:uid="{00000000-0005-0000-0000-0000BB180000}"/>
    <cellStyle name="Normal 4 4 2 5 6" xfId="6748" xr:uid="{00000000-0005-0000-0000-0000BC180000}"/>
    <cellStyle name="Normal 4 4 2 5 7" xfId="6749" xr:uid="{00000000-0005-0000-0000-0000BD180000}"/>
    <cellStyle name="Normal 4 4 2 5 8" xfId="6750" xr:uid="{00000000-0005-0000-0000-0000BE180000}"/>
    <cellStyle name="Normal 4 4 2 6" xfId="6751" xr:uid="{00000000-0005-0000-0000-0000BF180000}"/>
    <cellStyle name="Normal 4 4 2 6 2" xfId="6752" xr:uid="{00000000-0005-0000-0000-0000C0180000}"/>
    <cellStyle name="Normal 4 4 2 6 2 2" xfId="6753" xr:uid="{00000000-0005-0000-0000-0000C1180000}"/>
    <cellStyle name="Normal 4 4 2 6 2 2 2" xfId="6754" xr:uid="{00000000-0005-0000-0000-0000C2180000}"/>
    <cellStyle name="Normal 4 4 2 6 2 2 3" xfId="6755" xr:uid="{00000000-0005-0000-0000-0000C3180000}"/>
    <cellStyle name="Normal 4 4 2 6 2 3" xfId="6756" xr:uid="{00000000-0005-0000-0000-0000C4180000}"/>
    <cellStyle name="Normal 4 4 2 6 2 4" xfId="6757" xr:uid="{00000000-0005-0000-0000-0000C5180000}"/>
    <cellStyle name="Normal 4 4 2 6 2 5" xfId="6758" xr:uid="{00000000-0005-0000-0000-0000C6180000}"/>
    <cellStyle name="Normal 4 4 2 6 3" xfId="6759" xr:uid="{00000000-0005-0000-0000-0000C7180000}"/>
    <cellStyle name="Normal 4 4 2 6 3 2" xfId="6760" xr:uid="{00000000-0005-0000-0000-0000C8180000}"/>
    <cellStyle name="Normal 4 4 2 6 3 2 2" xfId="6761" xr:uid="{00000000-0005-0000-0000-0000C9180000}"/>
    <cellStyle name="Normal 4 4 2 6 3 2 3" xfId="6762" xr:uid="{00000000-0005-0000-0000-0000CA180000}"/>
    <cellStyle name="Normal 4 4 2 6 3 3" xfId="6763" xr:uid="{00000000-0005-0000-0000-0000CB180000}"/>
    <cellStyle name="Normal 4 4 2 6 3 4" xfId="6764" xr:uid="{00000000-0005-0000-0000-0000CC180000}"/>
    <cellStyle name="Normal 4 4 2 6 3 5" xfId="6765" xr:uid="{00000000-0005-0000-0000-0000CD180000}"/>
    <cellStyle name="Normal 4 4 2 6 4" xfId="6766" xr:uid="{00000000-0005-0000-0000-0000CE180000}"/>
    <cellStyle name="Normal 4 4 2 6 4 2" xfId="6767" xr:uid="{00000000-0005-0000-0000-0000CF180000}"/>
    <cellStyle name="Normal 4 4 2 6 4 3" xfId="6768" xr:uid="{00000000-0005-0000-0000-0000D0180000}"/>
    <cellStyle name="Normal 4 4 2 6 5" xfId="6769" xr:uid="{00000000-0005-0000-0000-0000D1180000}"/>
    <cellStyle name="Normal 4 4 2 6 6" xfId="6770" xr:uid="{00000000-0005-0000-0000-0000D2180000}"/>
    <cellStyle name="Normal 4 4 2 6 7" xfId="6771" xr:uid="{00000000-0005-0000-0000-0000D3180000}"/>
    <cellStyle name="Normal 4 4 2 7" xfId="6772" xr:uid="{00000000-0005-0000-0000-0000D4180000}"/>
    <cellStyle name="Normal 4 4 2 7 2" xfId="6773" xr:uid="{00000000-0005-0000-0000-0000D5180000}"/>
    <cellStyle name="Normal 4 4 2 7 2 2" xfId="6774" xr:uid="{00000000-0005-0000-0000-0000D6180000}"/>
    <cellStyle name="Normal 4 4 2 7 2 2 2" xfId="6775" xr:uid="{00000000-0005-0000-0000-0000D7180000}"/>
    <cellStyle name="Normal 4 4 2 7 2 2 3" xfId="6776" xr:uid="{00000000-0005-0000-0000-0000D8180000}"/>
    <cellStyle name="Normal 4 4 2 7 2 3" xfId="6777" xr:uid="{00000000-0005-0000-0000-0000D9180000}"/>
    <cellStyle name="Normal 4 4 2 7 2 4" xfId="6778" xr:uid="{00000000-0005-0000-0000-0000DA180000}"/>
    <cellStyle name="Normal 4 4 2 7 2 5" xfId="6779" xr:uid="{00000000-0005-0000-0000-0000DB180000}"/>
    <cellStyle name="Normal 4 4 2 7 3" xfId="6780" xr:uid="{00000000-0005-0000-0000-0000DC180000}"/>
    <cellStyle name="Normal 4 4 2 7 3 2" xfId="6781" xr:uid="{00000000-0005-0000-0000-0000DD180000}"/>
    <cellStyle name="Normal 4 4 2 7 3 2 2" xfId="6782" xr:uid="{00000000-0005-0000-0000-0000DE180000}"/>
    <cellStyle name="Normal 4 4 2 7 3 2 3" xfId="6783" xr:uid="{00000000-0005-0000-0000-0000DF180000}"/>
    <cellStyle name="Normal 4 4 2 7 3 3" xfId="6784" xr:uid="{00000000-0005-0000-0000-0000E0180000}"/>
    <cellStyle name="Normal 4 4 2 7 3 4" xfId="6785" xr:uid="{00000000-0005-0000-0000-0000E1180000}"/>
    <cellStyle name="Normal 4 4 2 7 3 5" xfId="6786" xr:uid="{00000000-0005-0000-0000-0000E2180000}"/>
    <cellStyle name="Normal 4 4 2 7 4" xfId="6787" xr:uid="{00000000-0005-0000-0000-0000E3180000}"/>
    <cellStyle name="Normal 4 4 2 7 4 2" xfId="6788" xr:uid="{00000000-0005-0000-0000-0000E4180000}"/>
    <cellStyle name="Normal 4 4 2 7 4 3" xfId="6789" xr:uid="{00000000-0005-0000-0000-0000E5180000}"/>
    <cellStyle name="Normal 4 4 2 7 5" xfId="6790" xr:uid="{00000000-0005-0000-0000-0000E6180000}"/>
    <cellStyle name="Normal 4 4 2 7 6" xfId="6791" xr:uid="{00000000-0005-0000-0000-0000E7180000}"/>
    <cellStyle name="Normal 4 4 2 7 7" xfId="6792" xr:uid="{00000000-0005-0000-0000-0000E8180000}"/>
    <cellStyle name="Normal 4 4 2 8" xfId="6793" xr:uid="{00000000-0005-0000-0000-0000E9180000}"/>
    <cellStyle name="Normal 4 4 2 8 2" xfId="6794" xr:uid="{00000000-0005-0000-0000-0000EA180000}"/>
    <cellStyle name="Normal 4 4 2 8 2 2" xfId="6795" xr:uid="{00000000-0005-0000-0000-0000EB180000}"/>
    <cellStyle name="Normal 4 4 2 8 2 3" xfId="6796" xr:uid="{00000000-0005-0000-0000-0000EC180000}"/>
    <cellStyle name="Normal 4 4 2 8 3" xfId="6797" xr:uid="{00000000-0005-0000-0000-0000ED180000}"/>
    <cellStyle name="Normal 4 4 2 8 4" xfId="6798" xr:uid="{00000000-0005-0000-0000-0000EE180000}"/>
    <cellStyle name="Normal 4 4 2 8 5" xfId="6799" xr:uid="{00000000-0005-0000-0000-0000EF180000}"/>
    <cellStyle name="Normal 4 4 2 9" xfId="6800" xr:uid="{00000000-0005-0000-0000-0000F0180000}"/>
    <cellStyle name="Normal 4 4 2 9 2" xfId="6801" xr:uid="{00000000-0005-0000-0000-0000F1180000}"/>
    <cellStyle name="Normal 4 4 2 9 2 2" xfId="6802" xr:uid="{00000000-0005-0000-0000-0000F2180000}"/>
    <cellStyle name="Normal 4 4 2 9 2 3" xfId="6803" xr:uid="{00000000-0005-0000-0000-0000F3180000}"/>
    <cellStyle name="Normal 4 4 2 9 3" xfId="6804" xr:uid="{00000000-0005-0000-0000-0000F4180000}"/>
    <cellStyle name="Normal 4 4 2 9 4" xfId="6805" xr:uid="{00000000-0005-0000-0000-0000F5180000}"/>
    <cellStyle name="Normal 4 4 2 9 5" xfId="6806" xr:uid="{00000000-0005-0000-0000-0000F6180000}"/>
    <cellStyle name="Normal 4 4 3" xfId="6807" xr:uid="{00000000-0005-0000-0000-0000F7180000}"/>
    <cellStyle name="Normal 4 4 3 2" xfId="6808" xr:uid="{00000000-0005-0000-0000-0000F8180000}"/>
    <cellStyle name="Normal 4 4 3 2 2" xfId="6809" xr:uid="{00000000-0005-0000-0000-0000F9180000}"/>
    <cellStyle name="Normal 4 4 3 2 2 2" xfId="6810" xr:uid="{00000000-0005-0000-0000-0000FA180000}"/>
    <cellStyle name="Normal 4 4 3 2 2 2 2" xfId="6811" xr:uid="{00000000-0005-0000-0000-0000FB180000}"/>
    <cellStyle name="Normal 4 4 3 2 2 2 2 2" xfId="6812" xr:uid="{00000000-0005-0000-0000-0000FC180000}"/>
    <cellStyle name="Normal 4 4 3 2 2 2 2 3" xfId="6813" xr:uid="{00000000-0005-0000-0000-0000FD180000}"/>
    <cellStyle name="Normal 4 4 3 2 2 2 3" xfId="6814" xr:uid="{00000000-0005-0000-0000-0000FE180000}"/>
    <cellStyle name="Normal 4 4 3 2 2 2 4" xfId="6815" xr:uid="{00000000-0005-0000-0000-0000FF180000}"/>
    <cellStyle name="Normal 4 4 3 2 2 2 5" xfId="6816" xr:uid="{00000000-0005-0000-0000-000000190000}"/>
    <cellStyle name="Normal 4 4 3 2 2 3" xfId="6817" xr:uid="{00000000-0005-0000-0000-000001190000}"/>
    <cellStyle name="Normal 4 4 3 2 2 3 2" xfId="6818" xr:uid="{00000000-0005-0000-0000-000002190000}"/>
    <cellStyle name="Normal 4 4 3 2 2 3 2 2" xfId="6819" xr:uid="{00000000-0005-0000-0000-000003190000}"/>
    <cellStyle name="Normal 4 4 3 2 2 3 2 3" xfId="6820" xr:uid="{00000000-0005-0000-0000-000004190000}"/>
    <cellStyle name="Normal 4 4 3 2 2 3 3" xfId="6821" xr:uid="{00000000-0005-0000-0000-000005190000}"/>
    <cellStyle name="Normal 4 4 3 2 2 3 4" xfId="6822" xr:uid="{00000000-0005-0000-0000-000006190000}"/>
    <cellStyle name="Normal 4 4 3 2 2 3 5" xfId="6823" xr:uid="{00000000-0005-0000-0000-000007190000}"/>
    <cellStyle name="Normal 4 4 3 2 2 4" xfId="6824" xr:uid="{00000000-0005-0000-0000-000008190000}"/>
    <cellStyle name="Normal 4 4 3 2 2 4 2" xfId="6825" xr:uid="{00000000-0005-0000-0000-000009190000}"/>
    <cellStyle name="Normal 4 4 3 2 2 4 3" xfId="6826" xr:uid="{00000000-0005-0000-0000-00000A190000}"/>
    <cellStyle name="Normal 4 4 3 2 2 5" xfId="6827" xr:uid="{00000000-0005-0000-0000-00000B190000}"/>
    <cellStyle name="Normal 4 4 3 2 2 6" xfId="6828" xr:uid="{00000000-0005-0000-0000-00000C190000}"/>
    <cellStyle name="Normal 4 4 3 2 2 7" xfId="6829" xr:uid="{00000000-0005-0000-0000-00000D190000}"/>
    <cellStyle name="Normal 4 4 3 2 3" xfId="6830" xr:uid="{00000000-0005-0000-0000-00000E190000}"/>
    <cellStyle name="Normal 4 4 3 2 3 2" xfId="6831" xr:uid="{00000000-0005-0000-0000-00000F190000}"/>
    <cellStyle name="Normal 4 4 3 2 3 2 2" xfId="6832" xr:uid="{00000000-0005-0000-0000-000010190000}"/>
    <cellStyle name="Normal 4 4 3 2 3 2 3" xfId="6833" xr:uid="{00000000-0005-0000-0000-000011190000}"/>
    <cellStyle name="Normal 4 4 3 2 3 3" xfId="6834" xr:uid="{00000000-0005-0000-0000-000012190000}"/>
    <cellStyle name="Normal 4 4 3 2 3 4" xfId="6835" xr:uid="{00000000-0005-0000-0000-000013190000}"/>
    <cellStyle name="Normal 4 4 3 2 3 5" xfId="6836" xr:uid="{00000000-0005-0000-0000-000014190000}"/>
    <cellStyle name="Normal 4 4 3 2 4" xfId="6837" xr:uid="{00000000-0005-0000-0000-000015190000}"/>
    <cellStyle name="Normal 4 4 3 2 4 2" xfId="6838" xr:uid="{00000000-0005-0000-0000-000016190000}"/>
    <cellStyle name="Normal 4 4 3 2 4 2 2" xfId="6839" xr:uid="{00000000-0005-0000-0000-000017190000}"/>
    <cellStyle name="Normal 4 4 3 2 4 2 3" xfId="6840" xr:uid="{00000000-0005-0000-0000-000018190000}"/>
    <cellStyle name="Normal 4 4 3 2 4 3" xfId="6841" xr:uid="{00000000-0005-0000-0000-000019190000}"/>
    <cellStyle name="Normal 4 4 3 2 4 4" xfId="6842" xr:uid="{00000000-0005-0000-0000-00001A190000}"/>
    <cellStyle name="Normal 4 4 3 2 4 5" xfId="6843" xr:uid="{00000000-0005-0000-0000-00001B190000}"/>
    <cellStyle name="Normal 4 4 3 2 5" xfId="6844" xr:uid="{00000000-0005-0000-0000-00001C190000}"/>
    <cellStyle name="Normal 4 4 3 2 5 2" xfId="6845" xr:uid="{00000000-0005-0000-0000-00001D190000}"/>
    <cellStyle name="Normal 4 4 3 2 5 3" xfId="6846" xr:uid="{00000000-0005-0000-0000-00001E190000}"/>
    <cellStyle name="Normal 4 4 3 2 6" xfId="6847" xr:uid="{00000000-0005-0000-0000-00001F190000}"/>
    <cellStyle name="Normal 4 4 3 2 7" xfId="6848" xr:uid="{00000000-0005-0000-0000-000020190000}"/>
    <cellStyle name="Normal 4 4 3 2 8" xfId="6849" xr:uid="{00000000-0005-0000-0000-000021190000}"/>
    <cellStyle name="Normal 4 4 3 3" xfId="6850" xr:uid="{00000000-0005-0000-0000-000022190000}"/>
    <cellStyle name="Normal 4 4 3 3 2" xfId="6851" xr:uid="{00000000-0005-0000-0000-000023190000}"/>
    <cellStyle name="Normal 4 4 3 3 2 2" xfId="6852" xr:uid="{00000000-0005-0000-0000-000024190000}"/>
    <cellStyle name="Normal 4 4 3 3 2 2 2" xfId="6853" xr:uid="{00000000-0005-0000-0000-000025190000}"/>
    <cellStyle name="Normal 4 4 3 3 2 2 3" xfId="6854" xr:uid="{00000000-0005-0000-0000-000026190000}"/>
    <cellStyle name="Normal 4 4 3 3 2 3" xfId="6855" xr:uid="{00000000-0005-0000-0000-000027190000}"/>
    <cellStyle name="Normal 4 4 3 3 2 4" xfId="6856" xr:uid="{00000000-0005-0000-0000-000028190000}"/>
    <cellStyle name="Normal 4 4 3 3 2 5" xfId="6857" xr:uid="{00000000-0005-0000-0000-000029190000}"/>
    <cellStyle name="Normal 4 4 3 3 3" xfId="6858" xr:uid="{00000000-0005-0000-0000-00002A190000}"/>
    <cellStyle name="Normal 4 4 3 3 3 2" xfId="6859" xr:uid="{00000000-0005-0000-0000-00002B190000}"/>
    <cellStyle name="Normal 4 4 3 3 3 2 2" xfId="6860" xr:uid="{00000000-0005-0000-0000-00002C190000}"/>
    <cellStyle name="Normal 4 4 3 3 3 2 3" xfId="6861" xr:uid="{00000000-0005-0000-0000-00002D190000}"/>
    <cellStyle name="Normal 4 4 3 3 3 3" xfId="6862" xr:uid="{00000000-0005-0000-0000-00002E190000}"/>
    <cellStyle name="Normal 4 4 3 3 3 4" xfId="6863" xr:uid="{00000000-0005-0000-0000-00002F190000}"/>
    <cellStyle name="Normal 4 4 3 3 3 5" xfId="6864" xr:uid="{00000000-0005-0000-0000-000030190000}"/>
    <cellStyle name="Normal 4 4 3 3 4" xfId="6865" xr:uid="{00000000-0005-0000-0000-000031190000}"/>
    <cellStyle name="Normal 4 4 3 3 4 2" xfId="6866" xr:uid="{00000000-0005-0000-0000-000032190000}"/>
    <cellStyle name="Normal 4 4 3 3 4 3" xfId="6867" xr:uid="{00000000-0005-0000-0000-000033190000}"/>
    <cellStyle name="Normal 4 4 3 3 5" xfId="6868" xr:uid="{00000000-0005-0000-0000-000034190000}"/>
    <cellStyle name="Normal 4 4 3 3 6" xfId="6869" xr:uid="{00000000-0005-0000-0000-000035190000}"/>
    <cellStyle name="Normal 4 4 3 3 7" xfId="6870" xr:uid="{00000000-0005-0000-0000-000036190000}"/>
    <cellStyle name="Normal 4 4 3 4" xfId="6871" xr:uid="{00000000-0005-0000-0000-000037190000}"/>
    <cellStyle name="Normal 4 4 3 4 2" xfId="6872" xr:uid="{00000000-0005-0000-0000-000038190000}"/>
    <cellStyle name="Normal 4 4 3 4 2 2" xfId="6873" xr:uid="{00000000-0005-0000-0000-000039190000}"/>
    <cellStyle name="Normal 4 4 3 4 2 3" xfId="6874" xr:uid="{00000000-0005-0000-0000-00003A190000}"/>
    <cellStyle name="Normal 4 4 3 4 3" xfId="6875" xr:uid="{00000000-0005-0000-0000-00003B190000}"/>
    <cellStyle name="Normal 4 4 3 4 4" xfId="6876" xr:uid="{00000000-0005-0000-0000-00003C190000}"/>
    <cellStyle name="Normal 4 4 3 4 5" xfId="6877" xr:uid="{00000000-0005-0000-0000-00003D190000}"/>
    <cellStyle name="Normal 4 4 3 5" xfId="6878" xr:uid="{00000000-0005-0000-0000-00003E190000}"/>
    <cellStyle name="Normal 4 4 3 5 2" xfId="6879" xr:uid="{00000000-0005-0000-0000-00003F190000}"/>
    <cellStyle name="Normal 4 4 3 5 2 2" xfId="6880" xr:uid="{00000000-0005-0000-0000-000040190000}"/>
    <cellStyle name="Normal 4 4 3 5 2 3" xfId="6881" xr:uid="{00000000-0005-0000-0000-000041190000}"/>
    <cellStyle name="Normal 4 4 3 5 3" xfId="6882" xr:uid="{00000000-0005-0000-0000-000042190000}"/>
    <cellStyle name="Normal 4 4 3 5 4" xfId="6883" xr:uid="{00000000-0005-0000-0000-000043190000}"/>
    <cellStyle name="Normal 4 4 3 5 5" xfId="6884" xr:uid="{00000000-0005-0000-0000-000044190000}"/>
    <cellStyle name="Normal 4 4 3 6" xfId="6885" xr:uid="{00000000-0005-0000-0000-000045190000}"/>
    <cellStyle name="Normal 4 4 3 6 2" xfId="6886" xr:uid="{00000000-0005-0000-0000-000046190000}"/>
    <cellStyle name="Normal 4 4 3 6 3" xfId="6887" xr:uid="{00000000-0005-0000-0000-000047190000}"/>
    <cellStyle name="Normal 4 4 3 7" xfId="6888" xr:uid="{00000000-0005-0000-0000-000048190000}"/>
    <cellStyle name="Normal 4 4 3 8" xfId="6889" xr:uid="{00000000-0005-0000-0000-000049190000}"/>
    <cellStyle name="Normal 4 4 3 9" xfId="6890" xr:uid="{00000000-0005-0000-0000-00004A190000}"/>
    <cellStyle name="Normal 4 4 4" xfId="6891" xr:uid="{00000000-0005-0000-0000-00004B190000}"/>
    <cellStyle name="Normal 4 4 4 2" xfId="6892" xr:uid="{00000000-0005-0000-0000-00004C190000}"/>
    <cellStyle name="Normal 4 4 4 2 2" xfId="6893" xr:uid="{00000000-0005-0000-0000-00004D190000}"/>
    <cellStyle name="Normal 4 4 4 2 2 2" xfId="6894" xr:uid="{00000000-0005-0000-0000-00004E190000}"/>
    <cellStyle name="Normal 4 4 4 2 2 2 2" xfId="6895" xr:uid="{00000000-0005-0000-0000-00004F190000}"/>
    <cellStyle name="Normal 4 4 4 2 2 2 2 2" xfId="6896" xr:uid="{00000000-0005-0000-0000-000050190000}"/>
    <cellStyle name="Normal 4 4 4 2 2 2 2 3" xfId="6897" xr:uid="{00000000-0005-0000-0000-000051190000}"/>
    <cellStyle name="Normal 4 4 4 2 2 2 3" xfId="6898" xr:uid="{00000000-0005-0000-0000-000052190000}"/>
    <cellStyle name="Normal 4 4 4 2 2 2 4" xfId="6899" xr:uid="{00000000-0005-0000-0000-000053190000}"/>
    <cellStyle name="Normal 4 4 4 2 2 2 5" xfId="6900" xr:uid="{00000000-0005-0000-0000-000054190000}"/>
    <cellStyle name="Normal 4 4 4 2 2 3" xfId="6901" xr:uid="{00000000-0005-0000-0000-000055190000}"/>
    <cellStyle name="Normal 4 4 4 2 2 3 2" xfId="6902" xr:uid="{00000000-0005-0000-0000-000056190000}"/>
    <cellStyle name="Normal 4 4 4 2 2 3 2 2" xfId="6903" xr:uid="{00000000-0005-0000-0000-000057190000}"/>
    <cellStyle name="Normal 4 4 4 2 2 3 2 3" xfId="6904" xr:uid="{00000000-0005-0000-0000-000058190000}"/>
    <cellStyle name="Normal 4 4 4 2 2 3 3" xfId="6905" xr:uid="{00000000-0005-0000-0000-000059190000}"/>
    <cellStyle name="Normal 4 4 4 2 2 3 4" xfId="6906" xr:uid="{00000000-0005-0000-0000-00005A190000}"/>
    <cellStyle name="Normal 4 4 4 2 2 3 5" xfId="6907" xr:uid="{00000000-0005-0000-0000-00005B190000}"/>
    <cellStyle name="Normal 4 4 4 2 2 4" xfId="6908" xr:uid="{00000000-0005-0000-0000-00005C190000}"/>
    <cellStyle name="Normal 4 4 4 2 2 4 2" xfId="6909" xr:uid="{00000000-0005-0000-0000-00005D190000}"/>
    <cellStyle name="Normal 4 4 4 2 2 4 3" xfId="6910" xr:uid="{00000000-0005-0000-0000-00005E190000}"/>
    <cellStyle name="Normal 4 4 4 2 2 5" xfId="6911" xr:uid="{00000000-0005-0000-0000-00005F190000}"/>
    <cellStyle name="Normal 4 4 4 2 2 6" xfId="6912" xr:uid="{00000000-0005-0000-0000-000060190000}"/>
    <cellStyle name="Normal 4 4 4 2 2 7" xfId="6913" xr:uid="{00000000-0005-0000-0000-000061190000}"/>
    <cellStyle name="Normal 4 4 4 2 3" xfId="6914" xr:uid="{00000000-0005-0000-0000-000062190000}"/>
    <cellStyle name="Normal 4 4 4 2 3 2" xfId="6915" xr:uid="{00000000-0005-0000-0000-000063190000}"/>
    <cellStyle name="Normal 4 4 4 2 3 2 2" xfId="6916" xr:uid="{00000000-0005-0000-0000-000064190000}"/>
    <cellStyle name="Normal 4 4 4 2 3 2 3" xfId="6917" xr:uid="{00000000-0005-0000-0000-000065190000}"/>
    <cellStyle name="Normal 4 4 4 2 3 3" xfId="6918" xr:uid="{00000000-0005-0000-0000-000066190000}"/>
    <cellStyle name="Normal 4 4 4 2 3 4" xfId="6919" xr:uid="{00000000-0005-0000-0000-000067190000}"/>
    <cellStyle name="Normal 4 4 4 2 3 5" xfId="6920" xr:uid="{00000000-0005-0000-0000-000068190000}"/>
    <cellStyle name="Normal 4 4 4 2 4" xfId="6921" xr:uid="{00000000-0005-0000-0000-000069190000}"/>
    <cellStyle name="Normal 4 4 4 2 4 2" xfId="6922" xr:uid="{00000000-0005-0000-0000-00006A190000}"/>
    <cellStyle name="Normal 4 4 4 2 4 2 2" xfId="6923" xr:uid="{00000000-0005-0000-0000-00006B190000}"/>
    <cellStyle name="Normal 4 4 4 2 4 2 3" xfId="6924" xr:uid="{00000000-0005-0000-0000-00006C190000}"/>
    <cellStyle name="Normal 4 4 4 2 4 3" xfId="6925" xr:uid="{00000000-0005-0000-0000-00006D190000}"/>
    <cellStyle name="Normal 4 4 4 2 4 4" xfId="6926" xr:uid="{00000000-0005-0000-0000-00006E190000}"/>
    <cellStyle name="Normal 4 4 4 2 4 5" xfId="6927" xr:uid="{00000000-0005-0000-0000-00006F190000}"/>
    <cellStyle name="Normal 4 4 4 2 5" xfId="6928" xr:uid="{00000000-0005-0000-0000-000070190000}"/>
    <cellStyle name="Normal 4 4 4 2 5 2" xfId="6929" xr:uid="{00000000-0005-0000-0000-000071190000}"/>
    <cellStyle name="Normal 4 4 4 2 5 3" xfId="6930" xr:uid="{00000000-0005-0000-0000-000072190000}"/>
    <cellStyle name="Normal 4 4 4 2 6" xfId="6931" xr:uid="{00000000-0005-0000-0000-000073190000}"/>
    <cellStyle name="Normal 4 4 4 2 7" xfId="6932" xr:uid="{00000000-0005-0000-0000-000074190000}"/>
    <cellStyle name="Normal 4 4 4 2 8" xfId="6933" xr:uid="{00000000-0005-0000-0000-000075190000}"/>
    <cellStyle name="Normal 4 4 4 3" xfId="6934" xr:uid="{00000000-0005-0000-0000-000076190000}"/>
    <cellStyle name="Normal 4 4 4 3 2" xfId="6935" xr:uid="{00000000-0005-0000-0000-000077190000}"/>
    <cellStyle name="Normal 4 4 4 3 2 2" xfId="6936" xr:uid="{00000000-0005-0000-0000-000078190000}"/>
    <cellStyle name="Normal 4 4 4 3 2 2 2" xfId="6937" xr:uid="{00000000-0005-0000-0000-000079190000}"/>
    <cellStyle name="Normal 4 4 4 3 2 2 3" xfId="6938" xr:uid="{00000000-0005-0000-0000-00007A190000}"/>
    <cellStyle name="Normal 4 4 4 3 2 3" xfId="6939" xr:uid="{00000000-0005-0000-0000-00007B190000}"/>
    <cellStyle name="Normal 4 4 4 3 2 4" xfId="6940" xr:uid="{00000000-0005-0000-0000-00007C190000}"/>
    <cellStyle name="Normal 4 4 4 3 2 5" xfId="6941" xr:uid="{00000000-0005-0000-0000-00007D190000}"/>
    <cellStyle name="Normal 4 4 4 3 3" xfId="6942" xr:uid="{00000000-0005-0000-0000-00007E190000}"/>
    <cellStyle name="Normal 4 4 4 3 3 2" xfId="6943" xr:uid="{00000000-0005-0000-0000-00007F190000}"/>
    <cellStyle name="Normal 4 4 4 3 3 2 2" xfId="6944" xr:uid="{00000000-0005-0000-0000-000080190000}"/>
    <cellStyle name="Normal 4 4 4 3 3 2 3" xfId="6945" xr:uid="{00000000-0005-0000-0000-000081190000}"/>
    <cellStyle name="Normal 4 4 4 3 3 3" xfId="6946" xr:uid="{00000000-0005-0000-0000-000082190000}"/>
    <cellStyle name="Normal 4 4 4 3 3 4" xfId="6947" xr:uid="{00000000-0005-0000-0000-000083190000}"/>
    <cellStyle name="Normal 4 4 4 3 3 5" xfId="6948" xr:uid="{00000000-0005-0000-0000-000084190000}"/>
    <cellStyle name="Normal 4 4 4 3 4" xfId="6949" xr:uid="{00000000-0005-0000-0000-000085190000}"/>
    <cellStyle name="Normal 4 4 4 3 4 2" xfId="6950" xr:uid="{00000000-0005-0000-0000-000086190000}"/>
    <cellStyle name="Normal 4 4 4 3 4 3" xfId="6951" xr:uid="{00000000-0005-0000-0000-000087190000}"/>
    <cellStyle name="Normal 4 4 4 3 5" xfId="6952" xr:uid="{00000000-0005-0000-0000-000088190000}"/>
    <cellStyle name="Normal 4 4 4 3 6" xfId="6953" xr:uid="{00000000-0005-0000-0000-000089190000}"/>
    <cellStyle name="Normal 4 4 4 3 7" xfId="6954" xr:uid="{00000000-0005-0000-0000-00008A190000}"/>
    <cellStyle name="Normal 4 4 4 4" xfId="6955" xr:uid="{00000000-0005-0000-0000-00008B190000}"/>
    <cellStyle name="Normal 4 4 4 4 2" xfId="6956" xr:uid="{00000000-0005-0000-0000-00008C190000}"/>
    <cellStyle name="Normal 4 4 4 4 2 2" xfId="6957" xr:uid="{00000000-0005-0000-0000-00008D190000}"/>
    <cellStyle name="Normal 4 4 4 4 2 3" xfId="6958" xr:uid="{00000000-0005-0000-0000-00008E190000}"/>
    <cellStyle name="Normal 4 4 4 4 3" xfId="6959" xr:uid="{00000000-0005-0000-0000-00008F190000}"/>
    <cellStyle name="Normal 4 4 4 4 4" xfId="6960" xr:uid="{00000000-0005-0000-0000-000090190000}"/>
    <cellStyle name="Normal 4 4 4 4 5" xfId="6961" xr:uid="{00000000-0005-0000-0000-000091190000}"/>
    <cellStyle name="Normal 4 4 4 5" xfId="6962" xr:uid="{00000000-0005-0000-0000-000092190000}"/>
    <cellStyle name="Normal 4 4 4 5 2" xfId="6963" xr:uid="{00000000-0005-0000-0000-000093190000}"/>
    <cellStyle name="Normal 4 4 4 5 2 2" xfId="6964" xr:uid="{00000000-0005-0000-0000-000094190000}"/>
    <cellStyle name="Normal 4 4 4 5 2 3" xfId="6965" xr:uid="{00000000-0005-0000-0000-000095190000}"/>
    <cellStyle name="Normal 4 4 4 5 3" xfId="6966" xr:uid="{00000000-0005-0000-0000-000096190000}"/>
    <cellStyle name="Normal 4 4 4 5 4" xfId="6967" xr:uid="{00000000-0005-0000-0000-000097190000}"/>
    <cellStyle name="Normal 4 4 4 5 5" xfId="6968" xr:uid="{00000000-0005-0000-0000-000098190000}"/>
    <cellStyle name="Normal 4 4 4 6" xfId="6969" xr:uid="{00000000-0005-0000-0000-000099190000}"/>
    <cellStyle name="Normal 4 4 4 6 2" xfId="6970" xr:uid="{00000000-0005-0000-0000-00009A190000}"/>
    <cellStyle name="Normal 4 4 4 6 3" xfId="6971" xr:uid="{00000000-0005-0000-0000-00009B190000}"/>
    <cellStyle name="Normal 4 4 4 7" xfId="6972" xr:uid="{00000000-0005-0000-0000-00009C190000}"/>
    <cellStyle name="Normal 4 4 4 8" xfId="6973" xr:uid="{00000000-0005-0000-0000-00009D190000}"/>
    <cellStyle name="Normal 4 4 4 9" xfId="6974" xr:uid="{00000000-0005-0000-0000-00009E190000}"/>
    <cellStyle name="Normal 4 4 5" xfId="6975" xr:uid="{00000000-0005-0000-0000-00009F190000}"/>
    <cellStyle name="Normal 4 4 5 2" xfId="6976" xr:uid="{00000000-0005-0000-0000-0000A0190000}"/>
    <cellStyle name="Normal 4 4 5 2 2" xfId="6977" xr:uid="{00000000-0005-0000-0000-0000A1190000}"/>
    <cellStyle name="Normal 4 4 5 2 2 2" xfId="6978" xr:uid="{00000000-0005-0000-0000-0000A2190000}"/>
    <cellStyle name="Normal 4 4 5 2 2 2 2" xfId="6979" xr:uid="{00000000-0005-0000-0000-0000A3190000}"/>
    <cellStyle name="Normal 4 4 5 2 2 2 2 2" xfId="6980" xr:uid="{00000000-0005-0000-0000-0000A4190000}"/>
    <cellStyle name="Normal 4 4 5 2 2 2 2 3" xfId="6981" xr:uid="{00000000-0005-0000-0000-0000A5190000}"/>
    <cellStyle name="Normal 4 4 5 2 2 2 3" xfId="6982" xr:uid="{00000000-0005-0000-0000-0000A6190000}"/>
    <cellStyle name="Normal 4 4 5 2 2 2 4" xfId="6983" xr:uid="{00000000-0005-0000-0000-0000A7190000}"/>
    <cellStyle name="Normal 4 4 5 2 2 2 5" xfId="6984" xr:uid="{00000000-0005-0000-0000-0000A8190000}"/>
    <cellStyle name="Normal 4 4 5 2 2 3" xfId="6985" xr:uid="{00000000-0005-0000-0000-0000A9190000}"/>
    <cellStyle name="Normal 4 4 5 2 2 3 2" xfId="6986" xr:uid="{00000000-0005-0000-0000-0000AA190000}"/>
    <cellStyle name="Normal 4 4 5 2 2 3 2 2" xfId="6987" xr:uid="{00000000-0005-0000-0000-0000AB190000}"/>
    <cellStyle name="Normal 4 4 5 2 2 3 2 3" xfId="6988" xr:uid="{00000000-0005-0000-0000-0000AC190000}"/>
    <cellStyle name="Normal 4 4 5 2 2 3 3" xfId="6989" xr:uid="{00000000-0005-0000-0000-0000AD190000}"/>
    <cellStyle name="Normal 4 4 5 2 2 3 4" xfId="6990" xr:uid="{00000000-0005-0000-0000-0000AE190000}"/>
    <cellStyle name="Normal 4 4 5 2 2 3 5" xfId="6991" xr:uid="{00000000-0005-0000-0000-0000AF190000}"/>
    <cellStyle name="Normal 4 4 5 2 2 4" xfId="6992" xr:uid="{00000000-0005-0000-0000-0000B0190000}"/>
    <cellStyle name="Normal 4 4 5 2 2 4 2" xfId="6993" xr:uid="{00000000-0005-0000-0000-0000B1190000}"/>
    <cellStyle name="Normal 4 4 5 2 2 4 3" xfId="6994" xr:uid="{00000000-0005-0000-0000-0000B2190000}"/>
    <cellStyle name="Normal 4 4 5 2 2 5" xfId="6995" xr:uid="{00000000-0005-0000-0000-0000B3190000}"/>
    <cellStyle name="Normal 4 4 5 2 2 6" xfId="6996" xr:uid="{00000000-0005-0000-0000-0000B4190000}"/>
    <cellStyle name="Normal 4 4 5 2 2 7" xfId="6997" xr:uid="{00000000-0005-0000-0000-0000B5190000}"/>
    <cellStyle name="Normal 4 4 5 2 3" xfId="6998" xr:uid="{00000000-0005-0000-0000-0000B6190000}"/>
    <cellStyle name="Normal 4 4 5 2 3 2" xfId="6999" xr:uid="{00000000-0005-0000-0000-0000B7190000}"/>
    <cellStyle name="Normal 4 4 5 2 3 2 2" xfId="7000" xr:uid="{00000000-0005-0000-0000-0000B8190000}"/>
    <cellStyle name="Normal 4 4 5 2 3 2 3" xfId="7001" xr:uid="{00000000-0005-0000-0000-0000B9190000}"/>
    <cellStyle name="Normal 4 4 5 2 3 3" xfId="7002" xr:uid="{00000000-0005-0000-0000-0000BA190000}"/>
    <cellStyle name="Normal 4 4 5 2 3 4" xfId="7003" xr:uid="{00000000-0005-0000-0000-0000BB190000}"/>
    <cellStyle name="Normal 4 4 5 2 3 5" xfId="7004" xr:uid="{00000000-0005-0000-0000-0000BC190000}"/>
    <cellStyle name="Normal 4 4 5 2 4" xfId="7005" xr:uid="{00000000-0005-0000-0000-0000BD190000}"/>
    <cellStyle name="Normal 4 4 5 2 4 2" xfId="7006" xr:uid="{00000000-0005-0000-0000-0000BE190000}"/>
    <cellStyle name="Normal 4 4 5 2 4 2 2" xfId="7007" xr:uid="{00000000-0005-0000-0000-0000BF190000}"/>
    <cellStyle name="Normal 4 4 5 2 4 2 3" xfId="7008" xr:uid="{00000000-0005-0000-0000-0000C0190000}"/>
    <cellStyle name="Normal 4 4 5 2 4 3" xfId="7009" xr:uid="{00000000-0005-0000-0000-0000C1190000}"/>
    <cellStyle name="Normal 4 4 5 2 4 4" xfId="7010" xr:uid="{00000000-0005-0000-0000-0000C2190000}"/>
    <cellStyle name="Normal 4 4 5 2 4 5" xfId="7011" xr:uid="{00000000-0005-0000-0000-0000C3190000}"/>
    <cellStyle name="Normal 4 4 5 2 5" xfId="7012" xr:uid="{00000000-0005-0000-0000-0000C4190000}"/>
    <cellStyle name="Normal 4 4 5 2 5 2" xfId="7013" xr:uid="{00000000-0005-0000-0000-0000C5190000}"/>
    <cellStyle name="Normal 4 4 5 2 5 3" xfId="7014" xr:uid="{00000000-0005-0000-0000-0000C6190000}"/>
    <cellStyle name="Normal 4 4 5 2 6" xfId="7015" xr:uid="{00000000-0005-0000-0000-0000C7190000}"/>
    <cellStyle name="Normal 4 4 5 2 7" xfId="7016" xr:uid="{00000000-0005-0000-0000-0000C8190000}"/>
    <cellStyle name="Normal 4 4 5 2 8" xfId="7017" xr:uid="{00000000-0005-0000-0000-0000C9190000}"/>
    <cellStyle name="Normal 4 4 5 3" xfId="7018" xr:uid="{00000000-0005-0000-0000-0000CA190000}"/>
    <cellStyle name="Normal 4 4 5 3 2" xfId="7019" xr:uid="{00000000-0005-0000-0000-0000CB190000}"/>
    <cellStyle name="Normal 4 4 5 3 2 2" xfId="7020" xr:uid="{00000000-0005-0000-0000-0000CC190000}"/>
    <cellStyle name="Normal 4 4 5 3 2 2 2" xfId="7021" xr:uid="{00000000-0005-0000-0000-0000CD190000}"/>
    <cellStyle name="Normal 4 4 5 3 2 2 3" xfId="7022" xr:uid="{00000000-0005-0000-0000-0000CE190000}"/>
    <cellStyle name="Normal 4 4 5 3 2 3" xfId="7023" xr:uid="{00000000-0005-0000-0000-0000CF190000}"/>
    <cellStyle name="Normal 4 4 5 3 2 4" xfId="7024" xr:uid="{00000000-0005-0000-0000-0000D0190000}"/>
    <cellStyle name="Normal 4 4 5 3 2 5" xfId="7025" xr:uid="{00000000-0005-0000-0000-0000D1190000}"/>
    <cellStyle name="Normal 4 4 5 3 3" xfId="7026" xr:uid="{00000000-0005-0000-0000-0000D2190000}"/>
    <cellStyle name="Normal 4 4 5 3 3 2" xfId="7027" xr:uid="{00000000-0005-0000-0000-0000D3190000}"/>
    <cellStyle name="Normal 4 4 5 3 3 2 2" xfId="7028" xr:uid="{00000000-0005-0000-0000-0000D4190000}"/>
    <cellStyle name="Normal 4 4 5 3 3 2 3" xfId="7029" xr:uid="{00000000-0005-0000-0000-0000D5190000}"/>
    <cellStyle name="Normal 4 4 5 3 3 3" xfId="7030" xr:uid="{00000000-0005-0000-0000-0000D6190000}"/>
    <cellStyle name="Normal 4 4 5 3 3 4" xfId="7031" xr:uid="{00000000-0005-0000-0000-0000D7190000}"/>
    <cellStyle name="Normal 4 4 5 3 3 5" xfId="7032" xr:uid="{00000000-0005-0000-0000-0000D8190000}"/>
    <cellStyle name="Normal 4 4 5 3 4" xfId="7033" xr:uid="{00000000-0005-0000-0000-0000D9190000}"/>
    <cellStyle name="Normal 4 4 5 3 4 2" xfId="7034" xr:uid="{00000000-0005-0000-0000-0000DA190000}"/>
    <cellStyle name="Normal 4 4 5 3 4 3" xfId="7035" xr:uid="{00000000-0005-0000-0000-0000DB190000}"/>
    <cellStyle name="Normal 4 4 5 3 5" xfId="7036" xr:uid="{00000000-0005-0000-0000-0000DC190000}"/>
    <cellStyle name="Normal 4 4 5 3 6" xfId="7037" xr:uid="{00000000-0005-0000-0000-0000DD190000}"/>
    <cellStyle name="Normal 4 4 5 3 7" xfId="7038" xr:uid="{00000000-0005-0000-0000-0000DE190000}"/>
    <cellStyle name="Normal 4 4 5 4" xfId="7039" xr:uid="{00000000-0005-0000-0000-0000DF190000}"/>
    <cellStyle name="Normal 4 4 5 4 2" xfId="7040" xr:uid="{00000000-0005-0000-0000-0000E0190000}"/>
    <cellStyle name="Normal 4 4 5 4 2 2" xfId="7041" xr:uid="{00000000-0005-0000-0000-0000E1190000}"/>
    <cellStyle name="Normal 4 4 5 4 2 3" xfId="7042" xr:uid="{00000000-0005-0000-0000-0000E2190000}"/>
    <cellStyle name="Normal 4 4 5 4 3" xfId="7043" xr:uid="{00000000-0005-0000-0000-0000E3190000}"/>
    <cellStyle name="Normal 4 4 5 4 4" xfId="7044" xr:uid="{00000000-0005-0000-0000-0000E4190000}"/>
    <cellStyle name="Normal 4 4 5 4 5" xfId="7045" xr:uid="{00000000-0005-0000-0000-0000E5190000}"/>
    <cellStyle name="Normal 4 4 5 5" xfId="7046" xr:uid="{00000000-0005-0000-0000-0000E6190000}"/>
    <cellStyle name="Normal 4 4 5 5 2" xfId="7047" xr:uid="{00000000-0005-0000-0000-0000E7190000}"/>
    <cellStyle name="Normal 4 4 5 5 2 2" xfId="7048" xr:uid="{00000000-0005-0000-0000-0000E8190000}"/>
    <cellStyle name="Normal 4 4 5 5 2 3" xfId="7049" xr:uid="{00000000-0005-0000-0000-0000E9190000}"/>
    <cellStyle name="Normal 4 4 5 5 3" xfId="7050" xr:uid="{00000000-0005-0000-0000-0000EA190000}"/>
    <cellStyle name="Normal 4 4 5 5 4" xfId="7051" xr:uid="{00000000-0005-0000-0000-0000EB190000}"/>
    <cellStyle name="Normal 4 4 5 5 5" xfId="7052" xr:uid="{00000000-0005-0000-0000-0000EC190000}"/>
    <cellStyle name="Normal 4 4 5 6" xfId="7053" xr:uid="{00000000-0005-0000-0000-0000ED190000}"/>
    <cellStyle name="Normal 4 4 5 6 2" xfId="7054" xr:uid="{00000000-0005-0000-0000-0000EE190000}"/>
    <cellStyle name="Normal 4 4 5 6 3" xfId="7055" xr:uid="{00000000-0005-0000-0000-0000EF190000}"/>
    <cellStyle name="Normal 4 4 5 7" xfId="7056" xr:uid="{00000000-0005-0000-0000-0000F0190000}"/>
    <cellStyle name="Normal 4 4 5 8" xfId="7057" xr:uid="{00000000-0005-0000-0000-0000F1190000}"/>
    <cellStyle name="Normal 4 4 5 9" xfId="7058" xr:uid="{00000000-0005-0000-0000-0000F2190000}"/>
    <cellStyle name="Normal 4 4 6" xfId="7059" xr:uid="{00000000-0005-0000-0000-0000F3190000}"/>
    <cellStyle name="Normal 4 4 6 2" xfId="7060" xr:uid="{00000000-0005-0000-0000-0000F4190000}"/>
    <cellStyle name="Normal 4 4 6 2 2" xfId="7061" xr:uid="{00000000-0005-0000-0000-0000F5190000}"/>
    <cellStyle name="Normal 4 4 6 2 2 2" xfId="7062" xr:uid="{00000000-0005-0000-0000-0000F6190000}"/>
    <cellStyle name="Normal 4 4 6 2 2 2 2" xfId="7063" xr:uid="{00000000-0005-0000-0000-0000F7190000}"/>
    <cellStyle name="Normal 4 4 6 2 2 2 3" xfId="7064" xr:uid="{00000000-0005-0000-0000-0000F8190000}"/>
    <cellStyle name="Normal 4 4 6 2 2 3" xfId="7065" xr:uid="{00000000-0005-0000-0000-0000F9190000}"/>
    <cellStyle name="Normal 4 4 6 2 2 4" xfId="7066" xr:uid="{00000000-0005-0000-0000-0000FA190000}"/>
    <cellStyle name="Normal 4 4 6 2 2 5" xfId="7067" xr:uid="{00000000-0005-0000-0000-0000FB190000}"/>
    <cellStyle name="Normal 4 4 6 2 3" xfId="7068" xr:uid="{00000000-0005-0000-0000-0000FC190000}"/>
    <cellStyle name="Normal 4 4 6 2 3 2" xfId="7069" xr:uid="{00000000-0005-0000-0000-0000FD190000}"/>
    <cellStyle name="Normal 4 4 6 2 3 2 2" xfId="7070" xr:uid="{00000000-0005-0000-0000-0000FE190000}"/>
    <cellStyle name="Normal 4 4 6 2 3 2 3" xfId="7071" xr:uid="{00000000-0005-0000-0000-0000FF190000}"/>
    <cellStyle name="Normal 4 4 6 2 3 3" xfId="7072" xr:uid="{00000000-0005-0000-0000-0000001A0000}"/>
    <cellStyle name="Normal 4 4 6 2 3 4" xfId="7073" xr:uid="{00000000-0005-0000-0000-0000011A0000}"/>
    <cellStyle name="Normal 4 4 6 2 3 5" xfId="7074" xr:uid="{00000000-0005-0000-0000-0000021A0000}"/>
    <cellStyle name="Normal 4 4 6 2 4" xfId="7075" xr:uid="{00000000-0005-0000-0000-0000031A0000}"/>
    <cellStyle name="Normal 4 4 6 2 4 2" xfId="7076" xr:uid="{00000000-0005-0000-0000-0000041A0000}"/>
    <cellStyle name="Normal 4 4 6 2 4 3" xfId="7077" xr:uid="{00000000-0005-0000-0000-0000051A0000}"/>
    <cellStyle name="Normal 4 4 6 2 5" xfId="7078" xr:uid="{00000000-0005-0000-0000-0000061A0000}"/>
    <cellStyle name="Normal 4 4 6 2 6" xfId="7079" xr:uid="{00000000-0005-0000-0000-0000071A0000}"/>
    <cellStyle name="Normal 4 4 6 2 7" xfId="7080" xr:uid="{00000000-0005-0000-0000-0000081A0000}"/>
    <cellStyle name="Normal 4 4 6 3" xfId="7081" xr:uid="{00000000-0005-0000-0000-0000091A0000}"/>
    <cellStyle name="Normal 4 4 6 3 2" xfId="7082" xr:uid="{00000000-0005-0000-0000-00000A1A0000}"/>
    <cellStyle name="Normal 4 4 6 3 2 2" xfId="7083" xr:uid="{00000000-0005-0000-0000-00000B1A0000}"/>
    <cellStyle name="Normal 4 4 6 3 2 3" xfId="7084" xr:uid="{00000000-0005-0000-0000-00000C1A0000}"/>
    <cellStyle name="Normal 4 4 6 3 3" xfId="7085" xr:uid="{00000000-0005-0000-0000-00000D1A0000}"/>
    <cellStyle name="Normal 4 4 6 3 4" xfId="7086" xr:uid="{00000000-0005-0000-0000-00000E1A0000}"/>
    <cellStyle name="Normal 4 4 6 3 5" xfId="7087" xr:uid="{00000000-0005-0000-0000-00000F1A0000}"/>
    <cellStyle name="Normal 4 4 6 4" xfId="7088" xr:uid="{00000000-0005-0000-0000-0000101A0000}"/>
    <cellStyle name="Normal 4 4 6 4 2" xfId="7089" xr:uid="{00000000-0005-0000-0000-0000111A0000}"/>
    <cellStyle name="Normal 4 4 6 4 2 2" xfId="7090" xr:uid="{00000000-0005-0000-0000-0000121A0000}"/>
    <cellStyle name="Normal 4 4 6 4 2 3" xfId="7091" xr:uid="{00000000-0005-0000-0000-0000131A0000}"/>
    <cellStyle name="Normal 4 4 6 4 3" xfId="7092" xr:uid="{00000000-0005-0000-0000-0000141A0000}"/>
    <cellStyle name="Normal 4 4 6 4 4" xfId="7093" xr:uid="{00000000-0005-0000-0000-0000151A0000}"/>
    <cellStyle name="Normal 4 4 6 4 5" xfId="7094" xr:uid="{00000000-0005-0000-0000-0000161A0000}"/>
    <cellStyle name="Normal 4 4 6 5" xfId="7095" xr:uid="{00000000-0005-0000-0000-0000171A0000}"/>
    <cellStyle name="Normal 4 4 6 5 2" xfId="7096" xr:uid="{00000000-0005-0000-0000-0000181A0000}"/>
    <cellStyle name="Normal 4 4 6 5 3" xfId="7097" xr:uid="{00000000-0005-0000-0000-0000191A0000}"/>
    <cellStyle name="Normal 4 4 6 6" xfId="7098" xr:uid="{00000000-0005-0000-0000-00001A1A0000}"/>
    <cellStyle name="Normal 4 4 6 7" xfId="7099" xr:uid="{00000000-0005-0000-0000-00001B1A0000}"/>
    <cellStyle name="Normal 4 4 6 8" xfId="7100" xr:uid="{00000000-0005-0000-0000-00001C1A0000}"/>
    <cellStyle name="Normal 4 4 7" xfId="7101" xr:uid="{00000000-0005-0000-0000-00001D1A0000}"/>
    <cellStyle name="Normal 4 4 7 2" xfId="7102" xr:uid="{00000000-0005-0000-0000-00001E1A0000}"/>
    <cellStyle name="Normal 4 4 7 2 2" xfId="7103" xr:uid="{00000000-0005-0000-0000-00001F1A0000}"/>
    <cellStyle name="Normal 4 4 7 2 2 2" xfId="7104" xr:uid="{00000000-0005-0000-0000-0000201A0000}"/>
    <cellStyle name="Normal 4 4 7 2 2 3" xfId="7105" xr:uid="{00000000-0005-0000-0000-0000211A0000}"/>
    <cellStyle name="Normal 4 4 7 2 3" xfId="7106" xr:uid="{00000000-0005-0000-0000-0000221A0000}"/>
    <cellStyle name="Normal 4 4 7 2 4" xfId="7107" xr:uid="{00000000-0005-0000-0000-0000231A0000}"/>
    <cellStyle name="Normal 4 4 7 2 5" xfId="7108" xr:uid="{00000000-0005-0000-0000-0000241A0000}"/>
    <cellStyle name="Normal 4 4 7 3" xfId="7109" xr:uid="{00000000-0005-0000-0000-0000251A0000}"/>
    <cellStyle name="Normal 4 4 7 3 2" xfId="7110" xr:uid="{00000000-0005-0000-0000-0000261A0000}"/>
    <cellStyle name="Normal 4 4 7 3 2 2" xfId="7111" xr:uid="{00000000-0005-0000-0000-0000271A0000}"/>
    <cellStyle name="Normal 4 4 7 3 2 3" xfId="7112" xr:uid="{00000000-0005-0000-0000-0000281A0000}"/>
    <cellStyle name="Normal 4 4 7 3 3" xfId="7113" xr:uid="{00000000-0005-0000-0000-0000291A0000}"/>
    <cellStyle name="Normal 4 4 7 3 4" xfId="7114" xr:uid="{00000000-0005-0000-0000-00002A1A0000}"/>
    <cellStyle name="Normal 4 4 7 3 5" xfId="7115" xr:uid="{00000000-0005-0000-0000-00002B1A0000}"/>
    <cellStyle name="Normal 4 4 7 4" xfId="7116" xr:uid="{00000000-0005-0000-0000-00002C1A0000}"/>
    <cellStyle name="Normal 4 4 7 4 2" xfId="7117" xr:uid="{00000000-0005-0000-0000-00002D1A0000}"/>
    <cellStyle name="Normal 4 4 7 4 3" xfId="7118" xr:uid="{00000000-0005-0000-0000-00002E1A0000}"/>
    <cellStyle name="Normal 4 4 7 5" xfId="7119" xr:uid="{00000000-0005-0000-0000-00002F1A0000}"/>
    <cellStyle name="Normal 4 4 7 6" xfId="7120" xr:uid="{00000000-0005-0000-0000-0000301A0000}"/>
    <cellStyle name="Normal 4 4 7 7" xfId="7121" xr:uid="{00000000-0005-0000-0000-0000311A0000}"/>
    <cellStyle name="Normal 4 4 8" xfId="7122" xr:uid="{00000000-0005-0000-0000-0000321A0000}"/>
    <cellStyle name="Normal 4 4 8 2" xfId="7123" xr:uid="{00000000-0005-0000-0000-0000331A0000}"/>
    <cellStyle name="Normal 4 4 8 2 2" xfId="7124" xr:uid="{00000000-0005-0000-0000-0000341A0000}"/>
    <cellStyle name="Normal 4 4 8 2 2 2" xfId="7125" xr:uid="{00000000-0005-0000-0000-0000351A0000}"/>
    <cellStyle name="Normal 4 4 8 2 2 3" xfId="7126" xr:uid="{00000000-0005-0000-0000-0000361A0000}"/>
    <cellStyle name="Normal 4 4 8 2 3" xfId="7127" xr:uid="{00000000-0005-0000-0000-0000371A0000}"/>
    <cellStyle name="Normal 4 4 8 2 4" xfId="7128" xr:uid="{00000000-0005-0000-0000-0000381A0000}"/>
    <cellStyle name="Normal 4 4 8 2 5" xfId="7129" xr:uid="{00000000-0005-0000-0000-0000391A0000}"/>
    <cellStyle name="Normal 4 4 8 3" xfId="7130" xr:uid="{00000000-0005-0000-0000-00003A1A0000}"/>
    <cellStyle name="Normal 4 4 8 3 2" xfId="7131" xr:uid="{00000000-0005-0000-0000-00003B1A0000}"/>
    <cellStyle name="Normal 4 4 8 3 2 2" xfId="7132" xr:uid="{00000000-0005-0000-0000-00003C1A0000}"/>
    <cellStyle name="Normal 4 4 8 3 2 3" xfId="7133" xr:uid="{00000000-0005-0000-0000-00003D1A0000}"/>
    <cellStyle name="Normal 4 4 8 3 3" xfId="7134" xr:uid="{00000000-0005-0000-0000-00003E1A0000}"/>
    <cellStyle name="Normal 4 4 8 3 4" xfId="7135" xr:uid="{00000000-0005-0000-0000-00003F1A0000}"/>
    <cellStyle name="Normal 4 4 8 3 5" xfId="7136" xr:uid="{00000000-0005-0000-0000-0000401A0000}"/>
    <cellStyle name="Normal 4 4 8 4" xfId="7137" xr:uid="{00000000-0005-0000-0000-0000411A0000}"/>
    <cellStyle name="Normal 4 4 8 4 2" xfId="7138" xr:uid="{00000000-0005-0000-0000-0000421A0000}"/>
    <cellStyle name="Normal 4 4 8 4 3" xfId="7139" xr:uid="{00000000-0005-0000-0000-0000431A0000}"/>
    <cellStyle name="Normal 4 4 8 5" xfId="7140" xr:uid="{00000000-0005-0000-0000-0000441A0000}"/>
    <cellStyle name="Normal 4 4 8 6" xfId="7141" xr:uid="{00000000-0005-0000-0000-0000451A0000}"/>
    <cellStyle name="Normal 4 4 8 7" xfId="7142" xr:uid="{00000000-0005-0000-0000-0000461A0000}"/>
    <cellStyle name="Normal 4 4 9" xfId="7143" xr:uid="{00000000-0005-0000-0000-0000471A0000}"/>
    <cellStyle name="Normal 4 4 9 2" xfId="7144" xr:uid="{00000000-0005-0000-0000-0000481A0000}"/>
    <cellStyle name="Normal 4 4 9 2 2" xfId="7145" xr:uid="{00000000-0005-0000-0000-0000491A0000}"/>
    <cellStyle name="Normal 4 4 9 2 3" xfId="7146" xr:uid="{00000000-0005-0000-0000-00004A1A0000}"/>
    <cellStyle name="Normal 4 4 9 3" xfId="7147" xr:uid="{00000000-0005-0000-0000-00004B1A0000}"/>
    <cellStyle name="Normal 4 4 9 4" xfId="7148" xr:uid="{00000000-0005-0000-0000-00004C1A0000}"/>
    <cellStyle name="Normal 4 4 9 5" xfId="7149" xr:uid="{00000000-0005-0000-0000-00004D1A0000}"/>
    <cellStyle name="Normal 4 5" xfId="644" xr:uid="{00000000-0005-0000-0000-00004E1A0000}"/>
    <cellStyle name="Normal 4 5 10" xfId="7150" xr:uid="{00000000-0005-0000-0000-00004F1A0000}"/>
    <cellStyle name="Normal 4 5 10 2" xfId="7151" xr:uid="{00000000-0005-0000-0000-0000501A0000}"/>
    <cellStyle name="Normal 4 5 10 2 2" xfId="7152" xr:uid="{00000000-0005-0000-0000-0000511A0000}"/>
    <cellStyle name="Normal 4 5 10 2 3" xfId="7153" xr:uid="{00000000-0005-0000-0000-0000521A0000}"/>
    <cellStyle name="Normal 4 5 10 3" xfId="7154" xr:uid="{00000000-0005-0000-0000-0000531A0000}"/>
    <cellStyle name="Normal 4 5 10 4" xfId="7155" xr:uid="{00000000-0005-0000-0000-0000541A0000}"/>
    <cellStyle name="Normal 4 5 10 5" xfId="7156" xr:uid="{00000000-0005-0000-0000-0000551A0000}"/>
    <cellStyle name="Normal 4 5 11" xfId="7157" xr:uid="{00000000-0005-0000-0000-0000561A0000}"/>
    <cellStyle name="Normal 4 5 11 2" xfId="7158" xr:uid="{00000000-0005-0000-0000-0000571A0000}"/>
    <cellStyle name="Normal 4 5 11 3" xfId="7159" xr:uid="{00000000-0005-0000-0000-0000581A0000}"/>
    <cellStyle name="Normal 4 5 12" xfId="7160" xr:uid="{00000000-0005-0000-0000-0000591A0000}"/>
    <cellStyle name="Normal 4 5 13" xfId="7161" xr:uid="{00000000-0005-0000-0000-00005A1A0000}"/>
    <cellStyle name="Normal 4 5 14" xfId="7162" xr:uid="{00000000-0005-0000-0000-00005B1A0000}"/>
    <cellStyle name="Normal 4 5 2" xfId="749" xr:uid="{00000000-0005-0000-0000-00005C1A0000}"/>
    <cellStyle name="Normal 4 5 2 10" xfId="7163" xr:uid="{00000000-0005-0000-0000-00005D1A0000}"/>
    <cellStyle name="Normal 4 5 2 11" xfId="7164" xr:uid="{00000000-0005-0000-0000-00005E1A0000}"/>
    <cellStyle name="Normal 4 5 2 12" xfId="7165" xr:uid="{00000000-0005-0000-0000-00005F1A0000}"/>
    <cellStyle name="Normal 4 5 2 2" xfId="7166" xr:uid="{00000000-0005-0000-0000-0000601A0000}"/>
    <cellStyle name="Normal 4 5 2 2 2" xfId="7167" xr:uid="{00000000-0005-0000-0000-0000611A0000}"/>
    <cellStyle name="Normal 4 5 2 2 2 2" xfId="7168" xr:uid="{00000000-0005-0000-0000-0000621A0000}"/>
    <cellStyle name="Normal 4 5 2 2 2 2 2" xfId="7169" xr:uid="{00000000-0005-0000-0000-0000631A0000}"/>
    <cellStyle name="Normal 4 5 2 2 2 2 2 2" xfId="7170" xr:uid="{00000000-0005-0000-0000-0000641A0000}"/>
    <cellStyle name="Normal 4 5 2 2 2 2 2 2 2" xfId="7171" xr:uid="{00000000-0005-0000-0000-0000651A0000}"/>
    <cellStyle name="Normal 4 5 2 2 2 2 2 2 3" xfId="7172" xr:uid="{00000000-0005-0000-0000-0000661A0000}"/>
    <cellStyle name="Normal 4 5 2 2 2 2 2 3" xfId="7173" xr:uid="{00000000-0005-0000-0000-0000671A0000}"/>
    <cellStyle name="Normal 4 5 2 2 2 2 2 4" xfId="7174" xr:uid="{00000000-0005-0000-0000-0000681A0000}"/>
    <cellStyle name="Normal 4 5 2 2 2 2 2 5" xfId="7175" xr:uid="{00000000-0005-0000-0000-0000691A0000}"/>
    <cellStyle name="Normal 4 5 2 2 2 2 3" xfId="7176" xr:uid="{00000000-0005-0000-0000-00006A1A0000}"/>
    <cellStyle name="Normal 4 5 2 2 2 2 3 2" xfId="7177" xr:uid="{00000000-0005-0000-0000-00006B1A0000}"/>
    <cellStyle name="Normal 4 5 2 2 2 2 3 2 2" xfId="7178" xr:uid="{00000000-0005-0000-0000-00006C1A0000}"/>
    <cellStyle name="Normal 4 5 2 2 2 2 3 2 3" xfId="7179" xr:uid="{00000000-0005-0000-0000-00006D1A0000}"/>
    <cellStyle name="Normal 4 5 2 2 2 2 3 3" xfId="7180" xr:uid="{00000000-0005-0000-0000-00006E1A0000}"/>
    <cellStyle name="Normal 4 5 2 2 2 2 3 4" xfId="7181" xr:uid="{00000000-0005-0000-0000-00006F1A0000}"/>
    <cellStyle name="Normal 4 5 2 2 2 2 3 5" xfId="7182" xr:uid="{00000000-0005-0000-0000-0000701A0000}"/>
    <cellStyle name="Normal 4 5 2 2 2 2 4" xfId="7183" xr:uid="{00000000-0005-0000-0000-0000711A0000}"/>
    <cellStyle name="Normal 4 5 2 2 2 2 4 2" xfId="7184" xr:uid="{00000000-0005-0000-0000-0000721A0000}"/>
    <cellStyle name="Normal 4 5 2 2 2 2 4 3" xfId="7185" xr:uid="{00000000-0005-0000-0000-0000731A0000}"/>
    <cellStyle name="Normal 4 5 2 2 2 2 5" xfId="7186" xr:uid="{00000000-0005-0000-0000-0000741A0000}"/>
    <cellStyle name="Normal 4 5 2 2 2 2 6" xfId="7187" xr:uid="{00000000-0005-0000-0000-0000751A0000}"/>
    <cellStyle name="Normal 4 5 2 2 2 2 7" xfId="7188" xr:uid="{00000000-0005-0000-0000-0000761A0000}"/>
    <cellStyle name="Normal 4 5 2 2 2 3" xfId="7189" xr:uid="{00000000-0005-0000-0000-0000771A0000}"/>
    <cellStyle name="Normal 4 5 2 2 2 3 2" xfId="7190" xr:uid="{00000000-0005-0000-0000-0000781A0000}"/>
    <cellStyle name="Normal 4 5 2 2 2 3 2 2" xfId="7191" xr:uid="{00000000-0005-0000-0000-0000791A0000}"/>
    <cellStyle name="Normal 4 5 2 2 2 3 2 3" xfId="7192" xr:uid="{00000000-0005-0000-0000-00007A1A0000}"/>
    <cellStyle name="Normal 4 5 2 2 2 3 3" xfId="7193" xr:uid="{00000000-0005-0000-0000-00007B1A0000}"/>
    <cellStyle name="Normal 4 5 2 2 2 3 4" xfId="7194" xr:uid="{00000000-0005-0000-0000-00007C1A0000}"/>
    <cellStyle name="Normal 4 5 2 2 2 3 5" xfId="7195" xr:uid="{00000000-0005-0000-0000-00007D1A0000}"/>
    <cellStyle name="Normal 4 5 2 2 2 4" xfId="7196" xr:uid="{00000000-0005-0000-0000-00007E1A0000}"/>
    <cellStyle name="Normal 4 5 2 2 2 4 2" xfId="7197" xr:uid="{00000000-0005-0000-0000-00007F1A0000}"/>
    <cellStyle name="Normal 4 5 2 2 2 4 2 2" xfId="7198" xr:uid="{00000000-0005-0000-0000-0000801A0000}"/>
    <cellStyle name="Normal 4 5 2 2 2 4 2 3" xfId="7199" xr:uid="{00000000-0005-0000-0000-0000811A0000}"/>
    <cellStyle name="Normal 4 5 2 2 2 4 3" xfId="7200" xr:uid="{00000000-0005-0000-0000-0000821A0000}"/>
    <cellStyle name="Normal 4 5 2 2 2 4 4" xfId="7201" xr:uid="{00000000-0005-0000-0000-0000831A0000}"/>
    <cellStyle name="Normal 4 5 2 2 2 4 5" xfId="7202" xr:uid="{00000000-0005-0000-0000-0000841A0000}"/>
    <cellStyle name="Normal 4 5 2 2 2 5" xfId="7203" xr:uid="{00000000-0005-0000-0000-0000851A0000}"/>
    <cellStyle name="Normal 4 5 2 2 2 5 2" xfId="7204" xr:uid="{00000000-0005-0000-0000-0000861A0000}"/>
    <cellStyle name="Normal 4 5 2 2 2 5 3" xfId="7205" xr:uid="{00000000-0005-0000-0000-0000871A0000}"/>
    <cellStyle name="Normal 4 5 2 2 2 6" xfId="7206" xr:uid="{00000000-0005-0000-0000-0000881A0000}"/>
    <cellStyle name="Normal 4 5 2 2 2 7" xfId="7207" xr:uid="{00000000-0005-0000-0000-0000891A0000}"/>
    <cellStyle name="Normal 4 5 2 2 2 8" xfId="7208" xr:uid="{00000000-0005-0000-0000-00008A1A0000}"/>
    <cellStyle name="Normal 4 5 2 2 3" xfId="7209" xr:uid="{00000000-0005-0000-0000-00008B1A0000}"/>
    <cellStyle name="Normal 4 5 2 2 3 2" xfId="7210" xr:uid="{00000000-0005-0000-0000-00008C1A0000}"/>
    <cellStyle name="Normal 4 5 2 2 3 2 2" xfId="7211" xr:uid="{00000000-0005-0000-0000-00008D1A0000}"/>
    <cellStyle name="Normal 4 5 2 2 3 2 2 2" xfId="7212" xr:uid="{00000000-0005-0000-0000-00008E1A0000}"/>
    <cellStyle name="Normal 4 5 2 2 3 2 2 3" xfId="7213" xr:uid="{00000000-0005-0000-0000-00008F1A0000}"/>
    <cellStyle name="Normal 4 5 2 2 3 2 3" xfId="7214" xr:uid="{00000000-0005-0000-0000-0000901A0000}"/>
    <cellStyle name="Normal 4 5 2 2 3 2 4" xfId="7215" xr:uid="{00000000-0005-0000-0000-0000911A0000}"/>
    <cellStyle name="Normal 4 5 2 2 3 2 5" xfId="7216" xr:uid="{00000000-0005-0000-0000-0000921A0000}"/>
    <cellStyle name="Normal 4 5 2 2 3 3" xfId="7217" xr:uid="{00000000-0005-0000-0000-0000931A0000}"/>
    <cellStyle name="Normal 4 5 2 2 3 3 2" xfId="7218" xr:uid="{00000000-0005-0000-0000-0000941A0000}"/>
    <cellStyle name="Normal 4 5 2 2 3 3 2 2" xfId="7219" xr:uid="{00000000-0005-0000-0000-0000951A0000}"/>
    <cellStyle name="Normal 4 5 2 2 3 3 2 3" xfId="7220" xr:uid="{00000000-0005-0000-0000-0000961A0000}"/>
    <cellStyle name="Normal 4 5 2 2 3 3 3" xfId="7221" xr:uid="{00000000-0005-0000-0000-0000971A0000}"/>
    <cellStyle name="Normal 4 5 2 2 3 3 4" xfId="7222" xr:uid="{00000000-0005-0000-0000-0000981A0000}"/>
    <cellStyle name="Normal 4 5 2 2 3 3 5" xfId="7223" xr:uid="{00000000-0005-0000-0000-0000991A0000}"/>
    <cellStyle name="Normal 4 5 2 2 3 4" xfId="7224" xr:uid="{00000000-0005-0000-0000-00009A1A0000}"/>
    <cellStyle name="Normal 4 5 2 2 3 4 2" xfId="7225" xr:uid="{00000000-0005-0000-0000-00009B1A0000}"/>
    <cellStyle name="Normal 4 5 2 2 3 4 3" xfId="7226" xr:uid="{00000000-0005-0000-0000-00009C1A0000}"/>
    <cellStyle name="Normal 4 5 2 2 3 5" xfId="7227" xr:uid="{00000000-0005-0000-0000-00009D1A0000}"/>
    <cellStyle name="Normal 4 5 2 2 3 6" xfId="7228" xr:uid="{00000000-0005-0000-0000-00009E1A0000}"/>
    <cellStyle name="Normal 4 5 2 2 3 7" xfId="7229" xr:uid="{00000000-0005-0000-0000-00009F1A0000}"/>
    <cellStyle name="Normal 4 5 2 2 4" xfId="7230" xr:uid="{00000000-0005-0000-0000-0000A01A0000}"/>
    <cellStyle name="Normal 4 5 2 2 4 2" xfId="7231" xr:uid="{00000000-0005-0000-0000-0000A11A0000}"/>
    <cellStyle name="Normal 4 5 2 2 4 2 2" xfId="7232" xr:uid="{00000000-0005-0000-0000-0000A21A0000}"/>
    <cellStyle name="Normal 4 5 2 2 4 2 3" xfId="7233" xr:uid="{00000000-0005-0000-0000-0000A31A0000}"/>
    <cellStyle name="Normal 4 5 2 2 4 3" xfId="7234" xr:uid="{00000000-0005-0000-0000-0000A41A0000}"/>
    <cellStyle name="Normal 4 5 2 2 4 4" xfId="7235" xr:uid="{00000000-0005-0000-0000-0000A51A0000}"/>
    <cellStyle name="Normal 4 5 2 2 4 5" xfId="7236" xr:uid="{00000000-0005-0000-0000-0000A61A0000}"/>
    <cellStyle name="Normal 4 5 2 2 5" xfId="7237" xr:uid="{00000000-0005-0000-0000-0000A71A0000}"/>
    <cellStyle name="Normal 4 5 2 2 5 2" xfId="7238" xr:uid="{00000000-0005-0000-0000-0000A81A0000}"/>
    <cellStyle name="Normal 4 5 2 2 5 2 2" xfId="7239" xr:uid="{00000000-0005-0000-0000-0000A91A0000}"/>
    <cellStyle name="Normal 4 5 2 2 5 2 3" xfId="7240" xr:uid="{00000000-0005-0000-0000-0000AA1A0000}"/>
    <cellStyle name="Normal 4 5 2 2 5 3" xfId="7241" xr:uid="{00000000-0005-0000-0000-0000AB1A0000}"/>
    <cellStyle name="Normal 4 5 2 2 5 4" xfId="7242" xr:uid="{00000000-0005-0000-0000-0000AC1A0000}"/>
    <cellStyle name="Normal 4 5 2 2 5 5" xfId="7243" xr:uid="{00000000-0005-0000-0000-0000AD1A0000}"/>
    <cellStyle name="Normal 4 5 2 2 6" xfId="7244" xr:uid="{00000000-0005-0000-0000-0000AE1A0000}"/>
    <cellStyle name="Normal 4 5 2 2 6 2" xfId="7245" xr:uid="{00000000-0005-0000-0000-0000AF1A0000}"/>
    <cellStyle name="Normal 4 5 2 2 6 3" xfId="7246" xr:uid="{00000000-0005-0000-0000-0000B01A0000}"/>
    <cellStyle name="Normal 4 5 2 2 7" xfId="7247" xr:uid="{00000000-0005-0000-0000-0000B11A0000}"/>
    <cellStyle name="Normal 4 5 2 2 8" xfId="7248" xr:uid="{00000000-0005-0000-0000-0000B21A0000}"/>
    <cellStyle name="Normal 4 5 2 2 9" xfId="7249" xr:uid="{00000000-0005-0000-0000-0000B31A0000}"/>
    <cellStyle name="Normal 4 5 2 3" xfId="7250" xr:uid="{00000000-0005-0000-0000-0000B41A0000}"/>
    <cellStyle name="Normal 4 5 2 3 2" xfId="7251" xr:uid="{00000000-0005-0000-0000-0000B51A0000}"/>
    <cellStyle name="Normal 4 5 2 3 2 2" xfId="7252" xr:uid="{00000000-0005-0000-0000-0000B61A0000}"/>
    <cellStyle name="Normal 4 5 2 3 2 2 2" xfId="7253" xr:uid="{00000000-0005-0000-0000-0000B71A0000}"/>
    <cellStyle name="Normal 4 5 2 3 2 2 2 2" xfId="7254" xr:uid="{00000000-0005-0000-0000-0000B81A0000}"/>
    <cellStyle name="Normal 4 5 2 3 2 2 2 2 2" xfId="7255" xr:uid="{00000000-0005-0000-0000-0000B91A0000}"/>
    <cellStyle name="Normal 4 5 2 3 2 2 2 2 3" xfId="7256" xr:uid="{00000000-0005-0000-0000-0000BA1A0000}"/>
    <cellStyle name="Normal 4 5 2 3 2 2 2 3" xfId="7257" xr:uid="{00000000-0005-0000-0000-0000BB1A0000}"/>
    <cellStyle name="Normal 4 5 2 3 2 2 2 4" xfId="7258" xr:uid="{00000000-0005-0000-0000-0000BC1A0000}"/>
    <cellStyle name="Normal 4 5 2 3 2 2 2 5" xfId="7259" xr:uid="{00000000-0005-0000-0000-0000BD1A0000}"/>
    <cellStyle name="Normal 4 5 2 3 2 2 3" xfId="7260" xr:uid="{00000000-0005-0000-0000-0000BE1A0000}"/>
    <cellStyle name="Normal 4 5 2 3 2 2 3 2" xfId="7261" xr:uid="{00000000-0005-0000-0000-0000BF1A0000}"/>
    <cellStyle name="Normal 4 5 2 3 2 2 3 2 2" xfId="7262" xr:uid="{00000000-0005-0000-0000-0000C01A0000}"/>
    <cellStyle name="Normal 4 5 2 3 2 2 3 2 3" xfId="7263" xr:uid="{00000000-0005-0000-0000-0000C11A0000}"/>
    <cellStyle name="Normal 4 5 2 3 2 2 3 3" xfId="7264" xr:uid="{00000000-0005-0000-0000-0000C21A0000}"/>
    <cellStyle name="Normal 4 5 2 3 2 2 3 4" xfId="7265" xr:uid="{00000000-0005-0000-0000-0000C31A0000}"/>
    <cellStyle name="Normal 4 5 2 3 2 2 3 5" xfId="7266" xr:uid="{00000000-0005-0000-0000-0000C41A0000}"/>
    <cellStyle name="Normal 4 5 2 3 2 2 4" xfId="7267" xr:uid="{00000000-0005-0000-0000-0000C51A0000}"/>
    <cellStyle name="Normal 4 5 2 3 2 2 4 2" xfId="7268" xr:uid="{00000000-0005-0000-0000-0000C61A0000}"/>
    <cellStyle name="Normal 4 5 2 3 2 2 4 3" xfId="7269" xr:uid="{00000000-0005-0000-0000-0000C71A0000}"/>
    <cellStyle name="Normal 4 5 2 3 2 2 5" xfId="7270" xr:uid="{00000000-0005-0000-0000-0000C81A0000}"/>
    <cellStyle name="Normal 4 5 2 3 2 2 6" xfId="7271" xr:uid="{00000000-0005-0000-0000-0000C91A0000}"/>
    <cellStyle name="Normal 4 5 2 3 2 2 7" xfId="7272" xr:uid="{00000000-0005-0000-0000-0000CA1A0000}"/>
    <cellStyle name="Normal 4 5 2 3 2 3" xfId="7273" xr:uid="{00000000-0005-0000-0000-0000CB1A0000}"/>
    <cellStyle name="Normal 4 5 2 3 2 3 2" xfId="7274" xr:uid="{00000000-0005-0000-0000-0000CC1A0000}"/>
    <cellStyle name="Normal 4 5 2 3 2 3 2 2" xfId="7275" xr:uid="{00000000-0005-0000-0000-0000CD1A0000}"/>
    <cellStyle name="Normal 4 5 2 3 2 3 2 3" xfId="7276" xr:uid="{00000000-0005-0000-0000-0000CE1A0000}"/>
    <cellStyle name="Normal 4 5 2 3 2 3 3" xfId="7277" xr:uid="{00000000-0005-0000-0000-0000CF1A0000}"/>
    <cellStyle name="Normal 4 5 2 3 2 3 4" xfId="7278" xr:uid="{00000000-0005-0000-0000-0000D01A0000}"/>
    <cellStyle name="Normal 4 5 2 3 2 3 5" xfId="7279" xr:uid="{00000000-0005-0000-0000-0000D11A0000}"/>
    <cellStyle name="Normal 4 5 2 3 2 4" xfId="7280" xr:uid="{00000000-0005-0000-0000-0000D21A0000}"/>
    <cellStyle name="Normal 4 5 2 3 2 4 2" xfId="7281" xr:uid="{00000000-0005-0000-0000-0000D31A0000}"/>
    <cellStyle name="Normal 4 5 2 3 2 4 2 2" xfId="7282" xr:uid="{00000000-0005-0000-0000-0000D41A0000}"/>
    <cellStyle name="Normal 4 5 2 3 2 4 2 3" xfId="7283" xr:uid="{00000000-0005-0000-0000-0000D51A0000}"/>
    <cellStyle name="Normal 4 5 2 3 2 4 3" xfId="7284" xr:uid="{00000000-0005-0000-0000-0000D61A0000}"/>
    <cellStyle name="Normal 4 5 2 3 2 4 4" xfId="7285" xr:uid="{00000000-0005-0000-0000-0000D71A0000}"/>
    <cellStyle name="Normal 4 5 2 3 2 4 5" xfId="7286" xr:uid="{00000000-0005-0000-0000-0000D81A0000}"/>
    <cellStyle name="Normal 4 5 2 3 2 5" xfId="7287" xr:uid="{00000000-0005-0000-0000-0000D91A0000}"/>
    <cellStyle name="Normal 4 5 2 3 2 5 2" xfId="7288" xr:uid="{00000000-0005-0000-0000-0000DA1A0000}"/>
    <cellStyle name="Normal 4 5 2 3 2 5 3" xfId="7289" xr:uid="{00000000-0005-0000-0000-0000DB1A0000}"/>
    <cellStyle name="Normal 4 5 2 3 2 6" xfId="7290" xr:uid="{00000000-0005-0000-0000-0000DC1A0000}"/>
    <cellStyle name="Normal 4 5 2 3 2 7" xfId="7291" xr:uid="{00000000-0005-0000-0000-0000DD1A0000}"/>
    <cellStyle name="Normal 4 5 2 3 2 8" xfId="7292" xr:uid="{00000000-0005-0000-0000-0000DE1A0000}"/>
    <cellStyle name="Normal 4 5 2 3 3" xfId="7293" xr:uid="{00000000-0005-0000-0000-0000DF1A0000}"/>
    <cellStyle name="Normal 4 5 2 3 3 2" xfId="7294" xr:uid="{00000000-0005-0000-0000-0000E01A0000}"/>
    <cellStyle name="Normal 4 5 2 3 3 2 2" xfId="7295" xr:uid="{00000000-0005-0000-0000-0000E11A0000}"/>
    <cellStyle name="Normal 4 5 2 3 3 2 2 2" xfId="7296" xr:uid="{00000000-0005-0000-0000-0000E21A0000}"/>
    <cellStyle name="Normal 4 5 2 3 3 2 2 3" xfId="7297" xr:uid="{00000000-0005-0000-0000-0000E31A0000}"/>
    <cellStyle name="Normal 4 5 2 3 3 2 3" xfId="7298" xr:uid="{00000000-0005-0000-0000-0000E41A0000}"/>
    <cellStyle name="Normal 4 5 2 3 3 2 4" xfId="7299" xr:uid="{00000000-0005-0000-0000-0000E51A0000}"/>
    <cellStyle name="Normal 4 5 2 3 3 2 5" xfId="7300" xr:uid="{00000000-0005-0000-0000-0000E61A0000}"/>
    <cellStyle name="Normal 4 5 2 3 3 3" xfId="7301" xr:uid="{00000000-0005-0000-0000-0000E71A0000}"/>
    <cellStyle name="Normal 4 5 2 3 3 3 2" xfId="7302" xr:uid="{00000000-0005-0000-0000-0000E81A0000}"/>
    <cellStyle name="Normal 4 5 2 3 3 3 2 2" xfId="7303" xr:uid="{00000000-0005-0000-0000-0000E91A0000}"/>
    <cellStyle name="Normal 4 5 2 3 3 3 2 3" xfId="7304" xr:uid="{00000000-0005-0000-0000-0000EA1A0000}"/>
    <cellStyle name="Normal 4 5 2 3 3 3 3" xfId="7305" xr:uid="{00000000-0005-0000-0000-0000EB1A0000}"/>
    <cellStyle name="Normal 4 5 2 3 3 3 4" xfId="7306" xr:uid="{00000000-0005-0000-0000-0000EC1A0000}"/>
    <cellStyle name="Normal 4 5 2 3 3 3 5" xfId="7307" xr:uid="{00000000-0005-0000-0000-0000ED1A0000}"/>
    <cellStyle name="Normal 4 5 2 3 3 4" xfId="7308" xr:uid="{00000000-0005-0000-0000-0000EE1A0000}"/>
    <cellStyle name="Normal 4 5 2 3 3 4 2" xfId="7309" xr:uid="{00000000-0005-0000-0000-0000EF1A0000}"/>
    <cellStyle name="Normal 4 5 2 3 3 4 3" xfId="7310" xr:uid="{00000000-0005-0000-0000-0000F01A0000}"/>
    <cellStyle name="Normal 4 5 2 3 3 5" xfId="7311" xr:uid="{00000000-0005-0000-0000-0000F11A0000}"/>
    <cellStyle name="Normal 4 5 2 3 3 6" xfId="7312" xr:uid="{00000000-0005-0000-0000-0000F21A0000}"/>
    <cellStyle name="Normal 4 5 2 3 3 7" xfId="7313" xr:uid="{00000000-0005-0000-0000-0000F31A0000}"/>
    <cellStyle name="Normal 4 5 2 3 4" xfId="7314" xr:uid="{00000000-0005-0000-0000-0000F41A0000}"/>
    <cellStyle name="Normal 4 5 2 3 4 2" xfId="7315" xr:uid="{00000000-0005-0000-0000-0000F51A0000}"/>
    <cellStyle name="Normal 4 5 2 3 4 2 2" xfId="7316" xr:uid="{00000000-0005-0000-0000-0000F61A0000}"/>
    <cellStyle name="Normal 4 5 2 3 4 2 3" xfId="7317" xr:uid="{00000000-0005-0000-0000-0000F71A0000}"/>
    <cellStyle name="Normal 4 5 2 3 4 3" xfId="7318" xr:uid="{00000000-0005-0000-0000-0000F81A0000}"/>
    <cellStyle name="Normal 4 5 2 3 4 4" xfId="7319" xr:uid="{00000000-0005-0000-0000-0000F91A0000}"/>
    <cellStyle name="Normal 4 5 2 3 4 5" xfId="7320" xr:uid="{00000000-0005-0000-0000-0000FA1A0000}"/>
    <cellStyle name="Normal 4 5 2 3 5" xfId="7321" xr:uid="{00000000-0005-0000-0000-0000FB1A0000}"/>
    <cellStyle name="Normal 4 5 2 3 5 2" xfId="7322" xr:uid="{00000000-0005-0000-0000-0000FC1A0000}"/>
    <cellStyle name="Normal 4 5 2 3 5 2 2" xfId="7323" xr:uid="{00000000-0005-0000-0000-0000FD1A0000}"/>
    <cellStyle name="Normal 4 5 2 3 5 2 3" xfId="7324" xr:uid="{00000000-0005-0000-0000-0000FE1A0000}"/>
    <cellStyle name="Normal 4 5 2 3 5 3" xfId="7325" xr:uid="{00000000-0005-0000-0000-0000FF1A0000}"/>
    <cellStyle name="Normal 4 5 2 3 5 4" xfId="7326" xr:uid="{00000000-0005-0000-0000-0000001B0000}"/>
    <cellStyle name="Normal 4 5 2 3 5 5" xfId="7327" xr:uid="{00000000-0005-0000-0000-0000011B0000}"/>
    <cellStyle name="Normal 4 5 2 3 6" xfId="7328" xr:uid="{00000000-0005-0000-0000-0000021B0000}"/>
    <cellStyle name="Normal 4 5 2 3 6 2" xfId="7329" xr:uid="{00000000-0005-0000-0000-0000031B0000}"/>
    <cellStyle name="Normal 4 5 2 3 6 3" xfId="7330" xr:uid="{00000000-0005-0000-0000-0000041B0000}"/>
    <cellStyle name="Normal 4 5 2 3 7" xfId="7331" xr:uid="{00000000-0005-0000-0000-0000051B0000}"/>
    <cellStyle name="Normal 4 5 2 3 8" xfId="7332" xr:uid="{00000000-0005-0000-0000-0000061B0000}"/>
    <cellStyle name="Normal 4 5 2 3 9" xfId="7333" xr:uid="{00000000-0005-0000-0000-0000071B0000}"/>
    <cellStyle name="Normal 4 5 2 4" xfId="7334" xr:uid="{00000000-0005-0000-0000-0000081B0000}"/>
    <cellStyle name="Normal 4 5 2 4 2" xfId="7335" xr:uid="{00000000-0005-0000-0000-0000091B0000}"/>
    <cellStyle name="Normal 4 5 2 4 2 2" xfId="7336" xr:uid="{00000000-0005-0000-0000-00000A1B0000}"/>
    <cellStyle name="Normal 4 5 2 4 2 2 2" xfId="7337" xr:uid="{00000000-0005-0000-0000-00000B1B0000}"/>
    <cellStyle name="Normal 4 5 2 4 2 2 2 2" xfId="7338" xr:uid="{00000000-0005-0000-0000-00000C1B0000}"/>
    <cellStyle name="Normal 4 5 2 4 2 2 2 2 2" xfId="7339" xr:uid="{00000000-0005-0000-0000-00000D1B0000}"/>
    <cellStyle name="Normal 4 5 2 4 2 2 2 2 3" xfId="7340" xr:uid="{00000000-0005-0000-0000-00000E1B0000}"/>
    <cellStyle name="Normal 4 5 2 4 2 2 2 3" xfId="7341" xr:uid="{00000000-0005-0000-0000-00000F1B0000}"/>
    <cellStyle name="Normal 4 5 2 4 2 2 2 4" xfId="7342" xr:uid="{00000000-0005-0000-0000-0000101B0000}"/>
    <cellStyle name="Normal 4 5 2 4 2 2 2 5" xfId="7343" xr:uid="{00000000-0005-0000-0000-0000111B0000}"/>
    <cellStyle name="Normal 4 5 2 4 2 2 3" xfId="7344" xr:uid="{00000000-0005-0000-0000-0000121B0000}"/>
    <cellStyle name="Normal 4 5 2 4 2 2 3 2" xfId="7345" xr:uid="{00000000-0005-0000-0000-0000131B0000}"/>
    <cellStyle name="Normal 4 5 2 4 2 2 3 2 2" xfId="7346" xr:uid="{00000000-0005-0000-0000-0000141B0000}"/>
    <cellStyle name="Normal 4 5 2 4 2 2 3 2 3" xfId="7347" xr:uid="{00000000-0005-0000-0000-0000151B0000}"/>
    <cellStyle name="Normal 4 5 2 4 2 2 3 3" xfId="7348" xr:uid="{00000000-0005-0000-0000-0000161B0000}"/>
    <cellStyle name="Normal 4 5 2 4 2 2 3 4" xfId="7349" xr:uid="{00000000-0005-0000-0000-0000171B0000}"/>
    <cellStyle name="Normal 4 5 2 4 2 2 3 5" xfId="7350" xr:uid="{00000000-0005-0000-0000-0000181B0000}"/>
    <cellStyle name="Normal 4 5 2 4 2 2 4" xfId="7351" xr:uid="{00000000-0005-0000-0000-0000191B0000}"/>
    <cellStyle name="Normal 4 5 2 4 2 2 4 2" xfId="7352" xr:uid="{00000000-0005-0000-0000-00001A1B0000}"/>
    <cellStyle name="Normal 4 5 2 4 2 2 4 3" xfId="7353" xr:uid="{00000000-0005-0000-0000-00001B1B0000}"/>
    <cellStyle name="Normal 4 5 2 4 2 2 5" xfId="7354" xr:uid="{00000000-0005-0000-0000-00001C1B0000}"/>
    <cellStyle name="Normal 4 5 2 4 2 2 6" xfId="7355" xr:uid="{00000000-0005-0000-0000-00001D1B0000}"/>
    <cellStyle name="Normal 4 5 2 4 2 2 7" xfId="7356" xr:uid="{00000000-0005-0000-0000-00001E1B0000}"/>
    <cellStyle name="Normal 4 5 2 4 2 3" xfId="7357" xr:uid="{00000000-0005-0000-0000-00001F1B0000}"/>
    <cellStyle name="Normal 4 5 2 4 2 3 2" xfId="7358" xr:uid="{00000000-0005-0000-0000-0000201B0000}"/>
    <cellStyle name="Normal 4 5 2 4 2 3 2 2" xfId="7359" xr:uid="{00000000-0005-0000-0000-0000211B0000}"/>
    <cellStyle name="Normal 4 5 2 4 2 3 2 3" xfId="7360" xr:uid="{00000000-0005-0000-0000-0000221B0000}"/>
    <cellStyle name="Normal 4 5 2 4 2 3 3" xfId="7361" xr:uid="{00000000-0005-0000-0000-0000231B0000}"/>
    <cellStyle name="Normal 4 5 2 4 2 3 4" xfId="7362" xr:uid="{00000000-0005-0000-0000-0000241B0000}"/>
    <cellStyle name="Normal 4 5 2 4 2 3 5" xfId="7363" xr:uid="{00000000-0005-0000-0000-0000251B0000}"/>
    <cellStyle name="Normal 4 5 2 4 2 4" xfId="7364" xr:uid="{00000000-0005-0000-0000-0000261B0000}"/>
    <cellStyle name="Normal 4 5 2 4 2 4 2" xfId="7365" xr:uid="{00000000-0005-0000-0000-0000271B0000}"/>
    <cellStyle name="Normal 4 5 2 4 2 4 2 2" xfId="7366" xr:uid="{00000000-0005-0000-0000-0000281B0000}"/>
    <cellStyle name="Normal 4 5 2 4 2 4 2 3" xfId="7367" xr:uid="{00000000-0005-0000-0000-0000291B0000}"/>
    <cellStyle name="Normal 4 5 2 4 2 4 3" xfId="7368" xr:uid="{00000000-0005-0000-0000-00002A1B0000}"/>
    <cellStyle name="Normal 4 5 2 4 2 4 4" xfId="7369" xr:uid="{00000000-0005-0000-0000-00002B1B0000}"/>
    <cellStyle name="Normal 4 5 2 4 2 4 5" xfId="7370" xr:uid="{00000000-0005-0000-0000-00002C1B0000}"/>
    <cellStyle name="Normal 4 5 2 4 2 5" xfId="7371" xr:uid="{00000000-0005-0000-0000-00002D1B0000}"/>
    <cellStyle name="Normal 4 5 2 4 2 5 2" xfId="7372" xr:uid="{00000000-0005-0000-0000-00002E1B0000}"/>
    <cellStyle name="Normal 4 5 2 4 2 5 3" xfId="7373" xr:uid="{00000000-0005-0000-0000-00002F1B0000}"/>
    <cellStyle name="Normal 4 5 2 4 2 6" xfId="7374" xr:uid="{00000000-0005-0000-0000-0000301B0000}"/>
    <cellStyle name="Normal 4 5 2 4 2 7" xfId="7375" xr:uid="{00000000-0005-0000-0000-0000311B0000}"/>
    <cellStyle name="Normal 4 5 2 4 2 8" xfId="7376" xr:uid="{00000000-0005-0000-0000-0000321B0000}"/>
    <cellStyle name="Normal 4 5 2 4 3" xfId="7377" xr:uid="{00000000-0005-0000-0000-0000331B0000}"/>
    <cellStyle name="Normal 4 5 2 4 3 2" xfId="7378" xr:uid="{00000000-0005-0000-0000-0000341B0000}"/>
    <cellStyle name="Normal 4 5 2 4 3 2 2" xfId="7379" xr:uid="{00000000-0005-0000-0000-0000351B0000}"/>
    <cellStyle name="Normal 4 5 2 4 3 2 2 2" xfId="7380" xr:uid="{00000000-0005-0000-0000-0000361B0000}"/>
    <cellStyle name="Normal 4 5 2 4 3 2 2 3" xfId="7381" xr:uid="{00000000-0005-0000-0000-0000371B0000}"/>
    <cellStyle name="Normal 4 5 2 4 3 2 3" xfId="7382" xr:uid="{00000000-0005-0000-0000-0000381B0000}"/>
    <cellStyle name="Normal 4 5 2 4 3 2 4" xfId="7383" xr:uid="{00000000-0005-0000-0000-0000391B0000}"/>
    <cellStyle name="Normal 4 5 2 4 3 2 5" xfId="7384" xr:uid="{00000000-0005-0000-0000-00003A1B0000}"/>
    <cellStyle name="Normal 4 5 2 4 3 3" xfId="7385" xr:uid="{00000000-0005-0000-0000-00003B1B0000}"/>
    <cellStyle name="Normal 4 5 2 4 3 3 2" xfId="7386" xr:uid="{00000000-0005-0000-0000-00003C1B0000}"/>
    <cellStyle name="Normal 4 5 2 4 3 3 2 2" xfId="7387" xr:uid="{00000000-0005-0000-0000-00003D1B0000}"/>
    <cellStyle name="Normal 4 5 2 4 3 3 2 3" xfId="7388" xr:uid="{00000000-0005-0000-0000-00003E1B0000}"/>
    <cellStyle name="Normal 4 5 2 4 3 3 3" xfId="7389" xr:uid="{00000000-0005-0000-0000-00003F1B0000}"/>
    <cellStyle name="Normal 4 5 2 4 3 3 4" xfId="7390" xr:uid="{00000000-0005-0000-0000-0000401B0000}"/>
    <cellStyle name="Normal 4 5 2 4 3 3 5" xfId="7391" xr:uid="{00000000-0005-0000-0000-0000411B0000}"/>
    <cellStyle name="Normal 4 5 2 4 3 4" xfId="7392" xr:uid="{00000000-0005-0000-0000-0000421B0000}"/>
    <cellStyle name="Normal 4 5 2 4 3 4 2" xfId="7393" xr:uid="{00000000-0005-0000-0000-0000431B0000}"/>
    <cellStyle name="Normal 4 5 2 4 3 4 3" xfId="7394" xr:uid="{00000000-0005-0000-0000-0000441B0000}"/>
    <cellStyle name="Normal 4 5 2 4 3 5" xfId="7395" xr:uid="{00000000-0005-0000-0000-0000451B0000}"/>
    <cellStyle name="Normal 4 5 2 4 3 6" xfId="7396" xr:uid="{00000000-0005-0000-0000-0000461B0000}"/>
    <cellStyle name="Normal 4 5 2 4 3 7" xfId="7397" xr:uid="{00000000-0005-0000-0000-0000471B0000}"/>
    <cellStyle name="Normal 4 5 2 4 4" xfId="7398" xr:uid="{00000000-0005-0000-0000-0000481B0000}"/>
    <cellStyle name="Normal 4 5 2 4 4 2" xfId="7399" xr:uid="{00000000-0005-0000-0000-0000491B0000}"/>
    <cellStyle name="Normal 4 5 2 4 4 2 2" xfId="7400" xr:uid="{00000000-0005-0000-0000-00004A1B0000}"/>
    <cellStyle name="Normal 4 5 2 4 4 2 3" xfId="7401" xr:uid="{00000000-0005-0000-0000-00004B1B0000}"/>
    <cellStyle name="Normal 4 5 2 4 4 3" xfId="7402" xr:uid="{00000000-0005-0000-0000-00004C1B0000}"/>
    <cellStyle name="Normal 4 5 2 4 4 4" xfId="7403" xr:uid="{00000000-0005-0000-0000-00004D1B0000}"/>
    <cellStyle name="Normal 4 5 2 4 4 5" xfId="7404" xr:uid="{00000000-0005-0000-0000-00004E1B0000}"/>
    <cellStyle name="Normal 4 5 2 4 5" xfId="7405" xr:uid="{00000000-0005-0000-0000-00004F1B0000}"/>
    <cellStyle name="Normal 4 5 2 4 5 2" xfId="7406" xr:uid="{00000000-0005-0000-0000-0000501B0000}"/>
    <cellStyle name="Normal 4 5 2 4 5 2 2" xfId="7407" xr:uid="{00000000-0005-0000-0000-0000511B0000}"/>
    <cellStyle name="Normal 4 5 2 4 5 2 3" xfId="7408" xr:uid="{00000000-0005-0000-0000-0000521B0000}"/>
    <cellStyle name="Normal 4 5 2 4 5 3" xfId="7409" xr:uid="{00000000-0005-0000-0000-0000531B0000}"/>
    <cellStyle name="Normal 4 5 2 4 5 4" xfId="7410" xr:uid="{00000000-0005-0000-0000-0000541B0000}"/>
    <cellStyle name="Normal 4 5 2 4 5 5" xfId="7411" xr:uid="{00000000-0005-0000-0000-0000551B0000}"/>
    <cellStyle name="Normal 4 5 2 4 6" xfId="7412" xr:uid="{00000000-0005-0000-0000-0000561B0000}"/>
    <cellStyle name="Normal 4 5 2 4 6 2" xfId="7413" xr:uid="{00000000-0005-0000-0000-0000571B0000}"/>
    <cellStyle name="Normal 4 5 2 4 6 3" xfId="7414" xr:uid="{00000000-0005-0000-0000-0000581B0000}"/>
    <cellStyle name="Normal 4 5 2 4 7" xfId="7415" xr:uid="{00000000-0005-0000-0000-0000591B0000}"/>
    <cellStyle name="Normal 4 5 2 4 8" xfId="7416" xr:uid="{00000000-0005-0000-0000-00005A1B0000}"/>
    <cellStyle name="Normal 4 5 2 4 9" xfId="7417" xr:uid="{00000000-0005-0000-0000-00005B1B0000}"/>
    <cellStyle name="Normal 4 5 2 5" xfId="7418" xr:uid="{00000000-0005-0000-0000-00005C1B0000}"/>
    <cellStyle name="Normal 4 5 2 5 2" xfId="7419" xr:uid="{00000000-0005-0000-0000-00005D1B0000}"/>
    <cellStyle name="Normal 4 5 2 5 2 2" xfId="7420" xr:uid="{00000000-0005-0000-0000-00005E1B0000}"/>
    <cellStyle name="Normal 4 5 2 5 2 2 2" xfId="7421" xr:uid="{00000000-0005-0000-0000-00005F1B0000}"/>
    <cellStyle name="Normal 4 5 2 5 2 2 2 2" xfId="7422" xr:uid="{00000000-0005-0000-0000-0000601B0000}"/>
    <cellStyle name="Normal 4 5 2 5 2 2 2 3" xfId="7423" xr:uid="{00000000-0005-0000-0000-0000611B0000}"/>
    <cellStyle name="Normal 4 5 2 5 2 2 3" xfId="7424" xr:uid="{00000000-0005-0000-0000-0000621B0000}"/>
    <cellStyle name="Normal 4 5 2 5 2 2 4" xfId="7425" xr:uid="{00000000-0005-0000-0000-0000631B0000}"/>
    <cellStyle name="Normal 4 5 2 5 2 2 5" xfId="7426" xr:uid="{00000000-0005-0000-0000-0000641B0000}"/>
    <cellStyle name="Normal 4 5 2 5 2 3" xfId="7427" xr:uid="{00000000-0005-0000-0000-0000651B0000}"/>
    <cellStyle name="Normal 4 5 2 5 2 3 2" xfId="7428" xr:uid="{00000000-0005-0000-0000-0000661B0000}"/>
    <cellStyle name="Normal 4 5 2 5 2 3 2 2" xfId="7429" xr:uid="{00000000-0005-0000-0000-0000671B0000}"/>
    <cellStyle name="Normal 4 5 2 5 2 3 2 3" xfId="7430" xr:uid="{00000000-0005-0000-0000-0000681B0000}"/>
    <cellStyle name="Normal 4 5 2 5 2 3 3" xfId="7431" xr:uid="{00000000-0005-0000-0000-0000691B0000}"/>
    <cellStyle name="Normal 4 5 2 5 2 3 4" xfId="7432" xr:uid="{00000000-0005-0000-0000-00006A1B0000}"/>
    <cellStyle name="Normal 4 5 2 5 2 3 5" xfId="7433" xr:uid="{00000000-0005-0000-0000-00006B1B0000}"/>
    <cellStyle name="Normal 4 5 2 5 2 4" xfId="7434" xr:uid="{00000000-0005-0000-0000-00006C1B0000}"/>
    <cellStyle name="Normal 4 5 2 5 2 4 2" xfId="7435" xr:uid="{00000000-0005-0000-0000-00006D1B0000}"/>
    <cellStyle name="Normal 4 5 2 5 2 4 3" xfId="7436" xr:uid="{00000000-0005-0000-0000-00006E1B0000}"/>
    <cellStyle name="Normal 4 5 2 5 2 5" xfId="7437" xr:uid="{00000000-0005-0000-0000-00006F1B0000}"/>
    <cellStyle name="Normal 4 5 2 5 2 6" xfId="7438" xr:uid="{00000000-0005-0000-0000-0000701B0000}"/>
    <cellStyle name="Normal 4 5 2 5 2 7" xfId="7439" xr:uid="{00000000-0005-0000-0000-0000711B0000}"/>
    <cellStyle name="Normal 4 5 2 5 3" xfId="7440" xr:uid="{00000000-0005-0000-0000-0000721B0000}"/>
    <cellStyle name="Normal 4 5 2 5 3 2" xfId="7441" xr:uid="{00000000-0005-0000-0000-0000731B0000}"/>
    <cellStyle name="Normal 4 5 2 5 3 2 2" xfId="7442" xr:uid="{00000000-0005-0000-0000-0000741B0000}"/>
    <cellStyle name="Normal 4 5 2 5 3 2 3" xfId="7443" xr:uid="{00000000-0005-0000-0000-0000751B0000}"/>
    <cellStyle name="Normal 4 5 2 5 3 3" xfId="7444" xr:uid="{00000000-0005-0000-0000-0000761B0000}"/>
    <cellStyle name="Normal 4 5 2 5 3 4" xfId="7445" xr:uid="{00000000-0005-0000-0000-0000771B0000}"/>
    <cellStyle name="Normal 4 5 2 5 3 5" xfId="7446" xr:uid="{00000000-0005-0000-0000-0000781B0000}"/>
    <cellStyle name="Normal 4 5 2 5 4" xfId="7447" xr:uid="{00000000-0005-0000-0000-0000791B0000}"/>
    <cellStyle name="Normal 4 5 2 5 4 2" xfId="7448" xr:uid="{00000000-0005-0000-0000-00007A1B0000}"/>
    <cellStyle name="Normal 4 5 2 5 4 2 2" xfId="7449" xr:uid="{00000000-0005-0000-0000-00007B1B0000}"/>
    <cellStyle name="Normal 4 5 2 5 4 2 3" xfId="7450" xr:uid="{00000000-0005-0000-0000-00007C1B0000}"/>
    <cellStyle name="Normal 4 5 2 5 4 3" xfId="7451" xr:uid="{00000000-0005-0000-0000-00007D1B0000}"/>
    <cellStyle name="Normal 4 5 2 5 4 4" xfId="7452" xr:uid="{00000000-0005-0000-0000-00007E1B0000}"/>
    <cellStyle name="Normal 4 5 2 5 4 5" xfId="7453" xr:uid="{00000000-0005-0000-0000-00007F1B0000}"/>
    <cellStyle name="Normal 4 5 2 5 5" xfId="7454" xr:uid="{00000000-0005-0000-0000-0000801B0000}"/>
    <cellStyle name="Normal 4 5 2 5 5 2" xfId="7455" xr:uid="{00000000-0005-0000-0000-0000811B0000}"/>
    <cellStyle name="Normal 4 5 2 5 5 3" xfId="7456" xr:uid="{00000000-0005-0000-0000-0000821B0000}"/>
    <cellStyle name="Normal 4 5 2 5 6" xfId="7457" xr:uid="{00000000-0005-0000-0000-0000831B0000}"/>
    <cellStyle name="Normal 4 5 2 5 7" xfId="7458" xr:uid="{00000000-0005-0000-0000-0000841B0000}"/>
    <cellStyle name="Normal 4 5 2 5 8" xfId="7459" xr:uid="{00000000-0005-0000-0000-0000851B0000}"/>
    <cellStyle name="Normal 4 5 2 6" xfId="7460" xr:uid="{00000000-0005-0000-0000-0000861B0000}"/>
    <cellStyle name="Normal 4 5 2 6 2" xfId="7461" xr:uid="{00000000-0005-0000-0000-0000871B0000}"/>
    <cellStyle name="Normal 4 5 2 6 2 2" xfId="7462" xr:uid="{00000000-0005-0000-0000-0000881B0000}"/>
    <cellStyle name="Normal 4 5 2 6 2 2 2" xfId="7463" xr:uid="{00000000-0005-0000-0000-0000891B0000}"/>
    <cellStyle name="Normal 4 5 2 6 2 2 3" xfId="7464" xr:uid="{00000000-0005-0000-0000-00008A1B0000}"/>
    <cellStyle name="Normal 4 5 2 6 2 3" xfId="7465" xr:uid="{00000000-0005-0000-0000-00008B1B0000}"/>
    <cellStyle name="Normal 4 5 2 6 2 4" xfId="7466" xr:uid="{00000000-0005-0000-0000-00008C1B0000}"/>
    <cellStyle name="Normal 4 5 2 6 2 5" xfId="7467" xr:uid="{00000000-0005-0000-0000-00008D1B0000}"/>
    <cellStyle name="Normal 4 5 2 6 3" xfId="7468" xr:uid="{00000000-0005-0000-0000-00008E1B0000}"/>
    <cellStyle name="Normal 4 5 2 6 3 2" xfId="7469" xr:uid="{00000000-0005-0000-0000-00008F1B0000}"/>
    <cellStyle name="Normal 4 5 2 6 3 2 2" xfId="7470" xr:uid="{00000000-0005-0000-0000-0000901B0000}"/>
    <cellStyle name="Normal 4 5 2 6 3 2 3" xfId="7471" xr:uid="{00000000-0005-0000-0000-0000911B0000}"/>
    <cellStyle name="Normal 4 5 2 6 3 3" xfId="7472" xr:uid="{00000000-0005-0000-0000-0000921B0000}"/>
    <cellStyle name="Normal 4 5 2 6 3 4" xfId="7473" xr:uid="{00000000-0005-0000-0000-0000931B0000}"/>
    <cellStyle name="Normal 4 5 2 6 3 5" xfId="7474" xr:uid="{00000000-0005-0000-0000-0000941B0000}"/>
    <cellStyle name="Normal 4 5 2 6 4" xfId="7475" xr:uid="{00000000-0005-0000-0000-0000951B0000}"/>
    <cellStyle name="Normal 4 5 2 6 4 2" xfId="7476" xr:uid="{00000000-0005-0000-0000-0000961B0000}"/>
    <cellStyle name="Normal 4 5 2 6 4 3" xfId="7477" xr:uid="{00000000-0005-0000-0000-0000971B0000}"/>
    <cellStyle name="Normal 4 5 2 6 5" xfId="7478" xr:uid="{00000000-0005-0000-0000-0000981B0000}"/>
    <cellStyle name="Normal 4 5 2 6 6" xfId="7479" xr:uid="{00000000-0005-0000-0000-0000991B0000}"/>
    <cellStyle name="Normal 4 5 2 6 7" xfId="7480" xr:uid="{00000000-0005-0000-0000-00009A1B0000}"/>
    <cellStyle name="Normal 4 5 2 7" xfId="7481" xr:uid="{00000000-0005-0000-0000-00009B1B0000}"/>
    <cellStyle name="Normal 4 5 2 7 2" xfId="7482" xr:uid="{00000000-0005-0000-0000-00009C1B0000}"/>
    <cellStyle name="Normal 4 5 2 7 2 2" xfId="7483" xr:uid="{00000000-0005-0000-0000-00009D1B0000}"/>
    <cellStyle name="Normal 4 5 2 7 2 3" xfId="7484" xr:uid="{00000000-0005-0000-0000-00009E1B0000}"/>
    <cellStyle name="Normal 4 5 2 7 3" xfId="7485" xr:uid="{00000000-0005-0000-0000-00009F1B0000}"/>
    <cellStyle name="Normal 4 5 2 7 4" xfId="7486" xr:uid="{00000000-0005-0000-0000-0000A01B0000}"/>
    <cellStyle name="Normal 4 5 2 7 5" xfId="7487" xr:uid="{00000000-0005-0000-0000-0000A11B0000}"/>
    <cellStyle name="Normal 4 5 2 8" xfId="7488" xr:uid="{00000000-0005-0000-0000-0000A21B0000}"/>
    <cellStyle name="Normal 4 5 2 8 2" xfId="7489" xr:uid="{00000000-0005-0000-0000-0000A31B0000}"/>
    <cellStyle name="Normal 4 5 2 8 2 2" xfId="7490" xr:uid="{00000000-0005-0000-0000-0000A41B0000}"/>
    <cellStyle name="Normal 4 5 2 8 2 3" xfId="7491" xr:uid="{00000000-0005-0000-0000-0000A51B0000}"/>
    <cellStyle name="Normal 4 5 2 8 3" xfId="7492" xr:uid="{00000000-0005-0000-0000-0000A61B0000}"/>
    <cellStyle name="Normal 4 5 2 8 4" xfId="7493" xr:uid="{00000000-0005-0000-0000-0000A71B0000}"/>
    <cellStyle name="Normal 4 5 2 8 5" xfId="7494" xr:uid="{00000000-0005-0000-0000-0000A81B0000}"/>
    <cellStyle name="Normal 4 5 2 9" xfId="7495" xr:uid="{00000000-0005-0000-0000-0000A91B0000}"/>
    <cellStyle name="Normal 4 5 2 9 2" xfId="7496" xr:uid="{00000000-0005-0000-0000-0000AA1B0000}"/>
    <cellStyle name="Normal 4 5 2 9 3" xfId="7497" xr:uid="{00000000-0005-0000-0000-0000AB1B0000}"/>
    <cellStyle name="Normal 4 5 3" xfId="7498" xr:uid="{00000000-0005-0000-0000-0000AC1B0000}"/>
    <cellStyle name="Normal 4 5 3 2" xfId="7499" xr:uid="{00000000-0005-0000-0000-0000AD1B0000}"/>
    <cellStyle name="Normal 4 5 3 2 2" xfId="7500" xr:uid="{00000000-0005-0000-0000-0000AE1B0000}"/>
    <cellStyle name="Normal 4 5 3 2 2 2" xfId="7501" xr:uid="{00000000-0005-0000-0000-0000AF1B0000}"/>
    <cellStyle name="Normal 4 5 3 2 2 2 2" xfId="7502" xr:uid="{00000000-0005-0000-0000-0000B01B0000}"/>
    <cellStyle name="Normal 4 5 3 2 2 2 2 2" xfId="7503" xr:uid="{00000000-0005-0000-0000-0000B11B0000}"/>
    <cellStyle name="Normal 4 5 3 2 2 2 2 3" xfId="7504" xr:uid="{00000000-0005-0000-0000-0000B21B0000}"/>
    <cellStyle name="Normal 4 5 3 2 2 2 3" xfId="7505" xr:uid="{00000000-0005-0000-0000-0000B31B0000}"/>
    <cellStyle name="Normal 4 5 3 2 2 2 4" xfId="7506" xr:uid="{00000000-0005-0000-0000-0000B41B0000}"/>
    <cellStyle name="Normal 4 5 3 2 2 2 5" xfId="7507" xr:uid="{00000000-0005-0000-0000-0000B51B0000}"/>
    <cellStyle name="Normal 4 5 3 2 2 3" xfId="7508" xr:uid="{00000000-0005-0000-0000-0000B61B0000}"/>
    <cellStyle name="Normal 4 5 3 2 2 3 2" xfId="7509" xr:uid="{00000000-0005-0000-0000-0000B71B0000}"/>
    <cellStyle name="Normal 4 5 3 2 2 3 2 2" xfId="7510" xr:uid="{00000000-0005-0000-0000-0000B81B0000}"/>
    <cellStyle name="Normal 4 5 3 2 2 3 2 3" xfId="7511" xr:uid="{00000000-0005-0000-0000-0000B91B0000}"/>
    <cellStyle name="Normal 4 5 3 2 2 3 3" xfId="7512" xr:uid="{00000000-0005-0000-0000-0000BA1B0000}"/>
    <cellStyle name="Normal 4 5 3 2 2 3 4" xfId="7513" xr:uid="{00000000-0005-0000-0000-0000BB1B0000}"/>
    <cellStyle name="Normal 4 5 3 2 2 3 5" xfId="7514" xr:uid="{00000000-0005-0000-0000-0000BC1B0000}"/>
    <cellStyle name="Normal 4 5 3 2 2 4" xfId="7515" xr:uid="{00000000-0005-0000-0000-0000BD1B0000}"/>
    <cellStyle name="Normal 4 5 3 2 2 4 2" xfId="7516" xr:uid="{00000000-0005-0000-0000-0000BE1B0000}"/>
    <cellStyle name="Normal 4 5 3 2 2 4 3" xfId="7517" xr:uid="{00000000-0005-0000-0000-0000BF1B0000}"/>
    <cellStyle name="Normal 4 5 3 2 2 5" xfId="7518" xr:uid="{00000000-0005-0000-0000-0000C01B0000}"/>
    <cellStyle name="Normal 4 5 3 2 2 6" xfId="7519" xr:uid="{00000000-0005-0000-0000-0000C11B0000}"/>
    <cellStyle name="Normal 4 5 3 2 2 7" xfId="7520" xr:uid="{00000000-0005-0000-0000-0000C21B0000}"/>
    <cellStyle name="Normal 4 5 3 2 3" xfId="7521" xr:uid="{00000000-0005-0000-0000-0000C31B0000}"/>
    <cellStyle name="Normal 4 5 3 2 3 2" xfId="7522" xr:uid="{00000000-0005-0000-0000-0000C41B0000}"/>
    <cellStyle name="Normal 4 5 3 2 3 2 2" xfId="7523" xr:uid="{00000000-0005-0000-0000-0000C51B0000}"/>
    <cellStyle name="Normal 4 5 3 2 3 2 3" xfId="7524" xr:uid="{00000000-0005-0000-0000-0000C61B0000}"/>
    <cellStyle name="Normal 4 5 3 2 3 3" xfId="7525" xr:uid="{00000000-0005-0000-0000-0000C71B0000}"/>
    <cellStyle name="Normal 4 5 3 2 3 4" xfId="7526" xr:uid="{00000000-0005-0000-0000-0000C81B0000}"/>
    <cellStyle name="Normal 4 5 3 2 3 5" xfId="7527" xr:uid="{00000000-0005-0000-0000-0000C91B0000}"/>
    <cellStyle name="Normal 4 5 3 2 4" xfId="7528" xr:uid="{00000000-0005-0000-0000-0000CA1B0000}"/>
    <cellStyle name="Normal 4 5 3 2 4 2" xfId="7529" xr:uid="{00000000-0005-0000-0000-0000CB1B0000}"/>
    <cellStyle name="Normal 4 5 3 2 4 2 2" xfId="7530" xr:uid="{00000000-0005-0000-0000-0000CC1B0000}"/>
    <cellStyle name="Normal 4 5 3 2 4 2 3" xfId="7531" xr:uid="{00000000-0005-0000-0000-0000CD1B0000}"/>
    <cellStyle name="Normal 4 5 3 2 4 3" xfId="7532" xr:uid="{00000000-0005-0000-0000-0000CE1B0000}"/>
    <cellStyle name="Normal 4 5 3 2 4 4" xfId="7533" xr:uid="{00000000-0005-0000-0000-0000CF1B0000}"/>
    <cellStyle name="Normal 4 5 3 2 4 5" xfId="7534" xr:uid="{00000000-0005-0000-0000-0000D01B0000}"/>
    <cellStyle name="Normal 4 5 3 2 5" xfId="7535" xr:uid="{00000000-0005-0000-0000-0000D11B0000}"/>
    <cellStyle name="Normal 4 5 3 2 5 2" xfId="7536" xr:uid="{00000000-0005-0000-0000-0000D21B0000}"/>
    <cellStyle name="Normal 4 5 3 2 5 3" xfId="7537" xr:uid="{00000000-0005-0000-0000-0000D31B0000}"/>
    <cellStyle name="Normal 4 5 3 2 6" xfId="7538" xr:uid="{00000000-0005-0000-0000-0000D41B0000}"/>
    <cellStyle name="Normal 4 5 3 2 7" xfId="7539" xr:uid="{00000000-0005-0000-0000-0000D51B0000}"/>
    <cellStyle name="Normal 4 5 3 2 8" xfId="7540" xr:uid="{00000000-0005-0000-0000-0000D61B0000}"/>
    <cellStyle name="Normal 4 5 3 3" xfId="7541" xr:uid="{00000000-0005-0000-0000-0000D71B0000}"/>
    <cellStyle name="Normal 4 5 3 3 2" xfId="7542" xr:uid="{00000000-0005-0000-0000-0000D81B0000}"/>
    <cellStyle name="Normal 4 5 3 3 2 2" xfId="7543" xr:uid="{00000000-0005-0000-0000-0000D91B0000}"/>
    <cellStyle name="Normal 4 5 3 3 2 2 2" xfId="7544" xr:uid="{00000000-0005-0000-0000-0000DA1B0000}"/>
    <cellStyle name="Normal 4 5 3 3 2 2 3" xfId="7545" xr:uid="{00000000-0005-0000-0000-0000DB1B0000}"/>
    <cellStyle name="Normal 4 5 3 3 2 3" xfId="7546" xr:uid="{00000000-0005-0000-0000-0000DC1B0000}"/>
    <cellStyle name="Normal 4 5 3 3 2 4" xfId="7547" xr:uid="{00000000-0005-0000-0000-0000DD1B0000}"/>
    <cellStyle name="Normal 4 5 3 3 2 5" xfId="7548" xr:uid="{00000000-0005-0000-0000-0000DE1B0000}"/>
    <cellStyle name="Normal 4 5 3 3 3" xfId="7549" xr:uid="{00000000-0005-0000-0000-0000DF1B0000}"/>
    <cellStyle name="Normal 4 5 3 3 3 2" xfId="7550" xr:uid="{00000000-0005-0000-0000-0000E01B0000}"/>
    <cellStyle name="Normal 4 5 3 3 3 2 2" xfId="7551" xr:uid="{00000000-0005-0000-0000-0000E11B0000}"/>
    <cellStyle name="Normal 4 5 3 3 3 2 3" xfId="7552" xr:uid="{00000000-0005-0000-0000-0000E21B0000}"/>
    <cellStyle name="Normal 4 5 3 3 3 3" xfId="7553" xr:uid="{00000000-0005-0000-0000-0000E31B0000}"/>
    <cellStyle name="Normal 4 5 3 3 3 4" xfId="7554" xr:uid="{00000000-0005-0000-0000-0000E41B0000}"/>
    <cellStyle name="Normal 4 5 3 3 3 5" xfId="7555" xr:uid="{00000000-0005-0000-0000-0000E51B0000}"/>
    <cellStyle name="Normal 4 5 3 3 4" xfId="7556" xr:uid="{00000000-0005-0000-0000-0000E61B0000}"/>
    <cellStyle name="Normal 4 5 3 3 4 2" xfId="7557" xr:uid="{00000000-0005-0000-0000-0000E71B0000}"/>
    <cellStyle name="Normal 4 5 3 3 4 3" xfId="7558" xr:uid="{00000000-0005-0000-0000-0000E81B0000}"/>
    <cellStyle name="Normal 4 5 3 3 5" xfId="7559" xr:uid="{00000000-0005-0000-0000-0000E91B0000}"/>
    <cellStyle name="Normal 4 5 3 3 6" xfId="7560" xr:uid="{00000000-0005-0000-0000-0000EA1B0000}"/>
    <cellStyle name="Normal 4 5 3 3 7" xfId="7561" xr:uid="{00000000-0005-0000-0000-0000EB1B0000}"/>
    <cellStyle name="Normal 4 5 3 4" xfId="7562" xr:uid="{00000000-0005-0000-0000-0000EC1B0000}"/>
    <cellStyle name="Normal 4 5 3 4 2" xfId="7563" xr:uid="{00000000-0005-0000-0000-0000ED1B0000}"/>
    <cellStyle name="Normal 4 5 3 4 2 2" xfId="7564" xr:uid="{00000000-0005-0000-0000-0000EE1B0000}"/>
    <cellStyle name="Normal 4 5 3 4 2 3" xfId="7565" xr:uid="{00000000-0005-0000-0000-0000EF1B0000}"/>
    <cellStyle name="Normal 4 5 3 4 3" xfId="7566" xr:uid="{00000000-0005-0000-0000-0000F01B0000}"/>
    <cellStyle name="Normal 4 5 3 4 4" xfId="7567" xr:uid="{00000000-0005-0000-0000-0000F11B0000}"/>
    <cellStyle name="Normal 4 5 3 4 5" xfId="7568" xr:uid="{00000000-0005-0000-0000-0000F21B0000}"/>
    <cellStyle name="Normal 4 5 3 5" xfId="7569" xr:uid="{00000000-0005-0000-0000-0000F31B0000}"/>
    <cellStyle name="Normal 4 5 3 5 2" xfId="7570" xr:uid="{00000000-0005-0000-0000-0000F41B0000}"/>
    <cellStyle name="Normal 4 5 3 5 2 2" xfId="7571" xr:uid="{00000000-0005-0000-0000-0000F51B0000}"/>
    <cellStyle name="Normal 4 5 3 5 2 3" xfId="7572" xr:uid="{00000000-0005-0000-0000-0000F61B0000}"/>
    <cellStyle name="Normal 4 5 3 5 3" xfId="7573" xr:uid="{00000000-0005-0000-0000-0000F71B0000}"/>
    <cellStyle name="Normal 4 5 3 5 4" xfId="7574" xr:uid="{00000000-0005-0000-0000-0000F81B0000}"/>
    <cellStyle name="Normal 4 5 3 5 5" xfId="7575" xr:uid="{00000000-0005-0000-0000-0000F91B0000}"/>
    <cellStyle name="Normal 4 5 3 6" xfId="7576" xr:uid="{00000000-0005-0000-0000-0000FA1B0000}"/>
    <cellStyle name="Normal 4 5 3 6 2" xfId="7577" xr:uid="{00000000-0005-0000-0000-0000FB1B0000}"/>
    <cellStyle name="Normal 4 5 3 6 3" xfId="7578" xr:uid="{00000000-0005-0000-0000-0000FC1B0000}"/>
    <cellStyle name="Normal 4 5 3 7" xfId="7579" xr:uid="{00000000-0005-0000-0000-0000FD1B0000}"/>
    <cellStyle name="Normal 4 5 3 8" xfId="7580" xr:uid="{00000000-0005-0000-0000-0000FE1B0000}"/>
    <cellStyle name="Normal 4 5 3 9" xfId="7581" xr:uid="{00000000-0005-0000-0000-0000FF1B0000}"/>
    <cellStyle name="Normal 4 5 4" xfId="7582" xr:uid="{00000000-0005-0000-0000-0000001C0000}"/>
    <cellStyle name="Normal 4 5 4 2" xfId="7583" xr:uid="{00000000-0005-0000-0000-0000011C0000}"/>
    <cellStyle name="Normal 4 5 4 2 2" xfId="7584" xr:uid="{00000000-0005-0000-0000-0000021C0000}"/>
    <cellStyle name="Normal 4 5 4 2 2 2" xfId="7585" xr:uid="{00000000-0005-0000-0000-0000031C0000}"/>
    <cellStyle name="Normal 4 5 4 2 2 2 2" xfId="7586" xr:uid="{00000000-0005-0000-0000-0000041C0000}"/>
    <cellStyle name="Normal 4 5 4 2 2 2 2 2" xfId="7587" xr:uid="{00000000-0005-0000-0000-0000051C0000}"/>
    <cellStyle name="Normal 4 5 4 2 2 2 2 3" xfId="7588" xr:uid="{00000000-0005-0000-0000-0000061C0000}"/>
    <cellStyle name="Normal 4 5 4 2 2 2 3" xfId="7589" xr:uid="{00000000-0005-0000-0000-0000071C0000}"/>
    <cellStyle name="Normal 4 5 4 2 2 2 4" xfId="7590" xr:uid="{00000000-0005-0000-0000-0000081C0000}"/>
    <cellStyle name="Normal 4 5 4 2 2 2 5" xfId="7591" xr:uid="{00000000-0005-0000-0000-0000091C0000}"/>
    <cellStyle name="Normal 4 5 4 2 2 3" xfId="7592" xr:uid="{00000000-0005-0000-0000-00000A1C0000}"/>
    <cellStyle name="Normal 4 5 4 2 2 3 2" xfId="7593" xr:uid="{00000000-0005-0000-0000-00000B1C0000}"/>
    <cellStyle name="Normal 4 5 4 2 2 3 2 2" xfId="7594" xr:uid="{00000000-0005-0000-0000-00000C1C0000}"/>
    <cellStyle name="Normal 4 5 4 2 2 3 2 3" xfId="7595" xr:uid="{00000000-0005-0000-0000-00000D1C0000}"/>
    <cellStyle name="Normal 4 5 4 2 2 3 3" xfId="7596" xr:uid="{00000000-0005-0000-0000-00000E1C0000}"/>
    <cellStyle name="Normal 4 5 4 2 2 3 4" xfId="7597" xr:uid="{00000000-0005-0000-0000-00000F1C0000}"/>
    <cellStyle name="Normal 4 5 4 2 2 3 5" xfId="7598" xr:uid="{00000000-0005-0000-0000-0000101C0000}"/>
    <cellStyle name="Normal 4 5 4 2 2 4" xfId="7599" xr:uid="{00000000-0005-0000-0000-0000111C0000}"/>
    <cellStyle name="Normal 4 5 4 2 2 4 2" xfId="7600" xr:uid="{00000000-0005-0000-0000-0000121C0000}"/>
    <cellStyle name="Normal 4 5 4 2 2 4 3" xfId="7601" xr:uid="{00000000-0005-0000-0000-0000131C0000}"/>
    <cellStyle name="Normal 4 5 4 2 2 5" xfId="7602" xr:uid="{00000000-0005-0000-0000-0000141C0000}"/>
    <cellStyle name="Normal 4 5 4 2 2 6" xfId="7603" xr:uid="{00000000-0005-0000-0000-0000151C0000}"/>
    <cellStyle name="Normal 4 5 4 2 2 7" xfId="7604" xr:uid="{00000000-0005-0000-0000-0000161C0000}"/>
    <cellStyle name="Normal 4 5 4 2 3" xfId="7605" xr:uid="{00000000-0005-0000-0000-0000171C0000}"/>
    <cellStyle name="Normal 4 5 4 2 3 2" xfId="7606" xr:uid="{00000000-0005-0000-0000-0000181C0000}"/>
    <cellStyle name="Normal 4 5 4 2 3 2 2" xfId="7607" xr:uid="{00000000-0005-0000-0000-0000191C0000}"/>
    <cellStyle name="Normal 4 5 4 2 3 2 3" xfId="7608" xr:uid="{00000000-0005-0000-0000-00001A1C0000}"/>
    <cellStyle name="Normal 4 5 4 2 3 3" xfId="7609" xr:uid="{00000000-0005-0000-0000-00001B1C0000}"/>
    <cellStyle name="Normal 4 5 4 2 3 4" xfId="7610" xr:uid="{00000000-0005-0000-0000-00001C1C0000}"/>
    <cellStyle name="Normal 4 5 4 2 3 5" xfId="7611" xr:uid="{00000000-0005-0000-0000-00001D1C0000}"/>
    <cellStyle name="Normal 4 5 4 2 4" xfId="7612" xr:uid="{00000000-0005-0000-0000-00001E1C0000}"/>
    <cellStyle name="Normal 4 5 4 2 4 2" xfId="7613" xr:uid="{00000000-0005-0000-0000-00001F1C0000}"/>
    <cellStyle name="Normal 4 5 4 2 4 2 2" xfId="7614" xr:uid="{00000000-0005-0000-0000-0000201C0000}"/>
    <cellStyle name="Normal 4 5 4 2 4 2 3" xfId="7615" xr:uid="{00000000-0005-0000-0000-0000211C0000}"/>
    <cellStyle name="Normal 4 5 4 2 4 3" xfId="7616" xr:uid="{00000000-0005-0000-0000-0000221C0000}"/>
    <cellStyle name="Normal 4 5 4 2 4 4" xfId="7617" xr:uid="{00000000-0005-0000-0000-0000231C0000}"/>
    <cellStyle name="Normal 4 5 4 2 4 5" xfId="7618" xr:uid="{00000000-0005-0000-0000-0000241C0000}"/>
    <cellStyle name="Normal 4 5 4 2 5" xfId="7619" xr:uid="{00000000-0005-0000-0000-0000251C0000}"/>
    <cellStyle name="Normal 4 5 4 2 5 2" xfId="7620" xr:uid="{00000000-0005-0000-0000-0000261C0000}"/>
    <cellStyle name="Normal 4 5 4 2 5 3" xfId="7621" xr:uid="{00000000-0005-0000-0000-0000271C0000}"/>
    <cellStyle name="Normal 4 5 4 2 6" xfId="7622" xr:uid="{00000000-0005-0000-0000-0000281C0000}"/>
    <cellStyle name="Normal 4 5 4 2 7" xfId="7623" xr:uid="{00000000-0005-0000-0000-0000291C0000}"/>
    <cellStyle name="Normal 4 5 4 2 8" xfId="7624" xr:uid="{00000000-0005-0000-0000-00002A1C0000}"/>
    <cellStyle name="Normal 4 5 4 3" xfId="7625" xr:uid="{00000000-0005-0000-0000-00002B1C0000}"/>
    <cellStyle name="Normal 4 5 4 3 2" xfId="7626" xr:uid="{00000000-0005-0000-0000-00002C1C0000}"/>
    <cellStyle name="Normal 4 5 4 3 2 2" xfId="7627" xr:uid="{00000000-0005-0000-0000-00002D1C0000}"/>
    <cellStyle name="Normal 4 5 4 3 2 2 2" xfId="7628" xr:uid="{00000000-0005-0000-0000-00002E1C0000}"/>
    <cellStyle name="Normal 4 5 4 3 2 2 3" xfId="7629" xr:uid="{00000000-0005-0000-0000-00002F1C0000}"/>
    <cellStyle name="Normal 4 5 4 3 2 3" xfId="7630" xr:uid="{00000000-0005-0000-0000-0000301C0000}"/>
    <cellStyle name="Normal 4 5 4 3 2 4" xfId="7631" xr:uid="{00000000-0005-0000-0000-0000311C0000}"/>
    <cellStyle name="Normal 4 5 4 3 2 5" xfId="7632" xr:uid="{00000000-0005-0000-0000-0000321C0000}"/>
    <cellStyle name="Normal 4 5 4 3 3" xfId="7633" xr:uid="{00000000-0005-0000-0000-0000331C0000}"/>
    <cellStyle name="Normal 4 5 4 3 3 2" xfId="7634" xr:uid="{00000000-0005-0000-0000-0000341C0000}"/>
    <cellStyle name="Normal 4 5 4 3 3 2 2" xfId="7635" xr:uid="{00000000-0005-0000-0000-0000351C0000}"/>
    <cellStyle name="Normal 4 5 4 3 3 2 3" xfId="7636" xr:uid="{00000000-0005-0000-0000-0000361C0000}"/>
    <cellStyle name="Normal 4 5 4 3 3 3" xfId="7637" xr:uid="{00000000-0005-0000-0000-0000371C0000}"/>
    <cellStyle name="Normal 4 5 4 3 3 4" xfId="7638" xr:uid="{00000000-0005-0000-0000-0000381C0000}"/>
    <cellStyle name="Normal 4 5 4 3 3 5" xfId="7639" xr:uid="{00000000-0005-0000-0000-0000391C0000}"/>
    <cellStyle name="Normal 4 5 4 3 4" xfId="7640" xr:uid="{00000000-0005-0000-0000-00003A1C0000}"/>
    <cellStyle name="Normal 4 5 4 3 4 2" xfId="7641" xr:uid="{00000000-0005-0000-0000-00003B1C0000}"/>
    <cellStyle name="Normal 4 5 4 3 4 3" xfId="7642" xr:uid="{00000000-0005-0000-0000-00003C1C0000}"/>
    <cellStyle name="Normal 4 5 4 3 5" xfId="7643" xr:uid="{00000000-0005-0000-0000-00003D1C0000}"/>
    <cellStyle name="Normal 4 5 4 3 6" xfId="7644" xr:uid="{00000000-0005-0000-0000-00003E1C0000}"/>
    <cellStyle name="Normal 4 5 4 3 7" xfId="7645" xr:uid="{00000000-0005-0000-0000-00003F1C0000}"/>
    <cellStyle name="Normal 4 5 4 4" xfId="7646" xr:uid="{00000000-0005-0000-0000-0000401C0000}"/>
    <cellStyle name="Normal 4 5 4 4 2" xfId="7647" xr:uid="{00000000-0005-0000-0000-0000411C0000}"/>
    <cellStyle name="Normal 4 5 4 4 2 2" xfId="7648" xr:uid="{00000000-0005-0000-0000-0000421C0000}"/>
    <cellStyle name="Normal 4 5 4 4 2 3" xfId="7649" xr:uid="{00000000-0005-0000-0000-0000431C0000}"/>
    <cellStyle name="Normal 4 5 4 4 3" xfId="7650" xr:uid="{00000000-0005-0000-0000-0000441C0000}"/>
    <cellStyle name="Normal 4 5 4 4 4" xfId="7651" xr:uid="{00000000-0005-0000-0000-0000451C0000}"/>
    <cellStyle name="Normal 4 5 4 4 5" xfId="7652" xr:uid="{00000000-0005-0000-0000-0000461C0000}"/>
    <cellStyle name="Normal 4 5 4 5" xfId="7653" xr:uid="{00000000-0005-0000-0000-0000471C0000}"/>
    <cellStyle name="Normal 4 5 4 5 2" xfId="7654" xr:uid="{00000000-0005-0000-0000-0000481C0000}"/>
    <cellStyle name="Normal 4 5 4 5 2 2" xfId="7655" xr:uid="{00000000-0005-0000-0000-0000491C0000}"/>
    <cellStyle name="Normal 4 5 4 5 2 3" xfId="7656" xr:uid="{00000000-0005-0000-0000-00004A1C0000}"/>
    <cellStyle name="Normal 4 5 4 5 3" xfId="7657" xr:uid="{00000000-0005-0000-0000-00004B1C0000}"/>
    <cellStyle name="Normal 4 5 4 5 4" xfId="7658" xr:uid="{00000000-0005-0000-0000-00004C1C0000}"/>
    <cellStyle name="Normal 4 5 4 5 5" xfId="7659" xr:uid="{00000000-0005-0000-0000-00004D1C0000}"/>
    <cellStyle name="Normal 4 5 4 6" xfId="7660" xr:uid="{00000000-0005-0000-0000-00004E1C0000}"/>
    <cellStyle name="Normal 4 5 4 6 2" xfId="7661" xr:uid="{00000000-0005-0000-0000-00004F1C0000}"/>
    <cellStyle name="Normal 4 5 4 6 3" xfId="7662" xr:uid="{00000000-0005-0000-0000-0000501C0000}"/>
    <cellStyle name="Normal 4 5 4 7" xfId="7663" xr:uid="{00000000-0005-0000-0000-0000511C0000}"/>
    <cellStyle name="Normal 4 5 4 8" xfId="7664" xr:uid="{00000000-0005-0000-0000-0000521C0000}"/>
    <cellStyle name="Normal 4 5 4 9" xfId="7665" xr:uid="{00000000-0005-0000-0000-0000531C0000}"/>
    <cellStyle name="Normal 4 5 5" xfId="7666" xr:uid="{00000000-0005-0000-0000-0000541C0000}"/>
    <cellStyle name="Normal 4 5 5 2" xfId="7667" xr:uid="{00000000-0005-0000-0000-0000551C0000}"/>
    <cellStyle name="Normal 4 5 5 2 2" xfId="7668" xr:uid="{00000000-0005-0000-0000-0000561C0000}"/>
    <cellStyle name="Normal 4 5 5 2 2 2" xfId="7669" xr:uid="{00000000-0005-0000-0000-0000571C0000}"/>
    <cellStyle name="Normal 4 5 5 2 2 2 2" xfId="7670" xr:uid="{00000000-0005-0000-0000-0000581C0000}"/>
    <cellStyle name="Normal 4 5 5 2 2 2 2 2" xfId="7671" xr:uid="{00000000-0005-0000-0000-0000591C0000}"/>
    <cellStyle name="Normal 4 5 5 2 2 2 2 3" xfId="7672" xr:uid="{00000000-0005-0000-0000-00005A1C0000}"/>
    <cellStyle name="Normal 4 5 5 2 2 2 3" xfId="7673" xr:uid="{00000000-0005-0000-0000-00005B1C0000}"/>
    <cellStyle name="Normal 4 5 5 2 2 2 4" xfId="7674" xr:uid="{00000000-0005-0000-0000-00005C1C0000}"/>
    <cellStyle name="Normal 4 5 5 2 2 2 5" xfId="7675" xr:uid="{00000000-0005-0000-0000-00005D1C0000}"/>
    <cellStyle name="Normal 4 5 5 2 2 3" xfId="7676" xr:uid="{00000000-0005-0000-0000-00005E1C0000}"/>
    <cellStyle name="Normal 4 5 5 2 2 3 2" xfId="7677" xr:uid="{00000000-0005-0000-0000-00005F1C0000}"/>
    <cellStyle name="Normal 4 5 5 2 2 3 2 2" xfId="7678" xr:uid="{00000000-0005-0000-0000-0000601C0000}"/>
    <cellStyle name="Normal 4 5 5 2 2 3 2 3" xfId="7679" xr:uid="{00000000-0005-0000-0000-0000611C0000}"/>
    <cellStyle name="Normal 4 5 5 2 2 3 3" xfId="7680" xr:uid="{00000000-0005-0000-0000-0000621C0000}"/>
    <cellStyle name="Normal 4 5 5 2 2 3 4" xfId="7681" xr:uid="{00000000-0005-0000-0000-0000631C0000}"/>
    <cellStyle name="Normal 4 5 5 2 2 3 5" xfId="7682" xr:uid="{00000000-0005-0000-0000-0000641C0000}"/>
    <cellStyle name="Normal 4 5 5 2 2 4" xfId="7683" xr:uid="{00000000-0005-0000-0000-0000651C0000}"/>
    <cellStyle name="Normal 4 5 5 2 2 4 2" xfId="7684" xr:uid="{00000000-0005-0000-0000-0000661C0000}"/>
    <cellStyle name="Normal 4 5 5 2 2 4 3" xfId="7685" xr:uid="{00000000-0005-0000-0000-0000671C0000}"/>
    <cellStyle name="Normal 4 5 5 2 2 5" xfId="7686" xr:uid="{00000000-0005-0000-0000-0000681C0000}"/>
    <cellStyle name="Normal 4 5 5 2 2 6" xfId="7687" xr:uid="{00000000-0005-0000-0000-0000691C0000}"/>
    <cellStyle name="Normal 4 5 5 2 2 7" xfId="7688" xr:uid="{00000000-0005-0000-0000-00006A1C0000}"/>
    <cellStyle name="Normal 4 5 5 2 3" xfId="7689" xr:uid="{00000000-0005-0000-0000-00006B1C0000}"/>
    <cellStyle name="Normal 4 5 5 2 3 2" xfId="7690" xr:uid="{00000000-0005-0000-0000-00006C1C0000}"/>
    <cellStyle name="Normal 4 5 5 2 3 2 2" xfId="7691" xr:uid="{00000000-0005-0000-0000-00006D1C0000}"/>
    <cellStyle name="Normal 4 5 5 2 3 2 3" xfId="7692" xr:uid="{00000000-0005-0000-0000-00006E1C0000}"/>
    <cellStyle name="Normal 4 5 5 2 3 3" xfId="7693" xr:uid="{00000000-0005-0000-0000-00006F1C0000}"/>
    <cellStyle name="Normal 4 5 5 2 3 4" xfId="7694" xr:uid="{00000000-0005-0000-0000-0000701C0000}"/>
    <cellStyle name="Normal 4 5 5 2 3 5" xfId="7695" xr:uid="{00000000-0005-0000-0000-0000711C0000}"/>
    <cellStyle name="Normal 4 5 5 2 4" xfId="7696" xr:uid="{00000000-0005-0000-0000-0000721C0000}"/>
    <cellStyle name="Normal 4 5 5 2 4 2" xfId="7697" xr:uid="{00000000-0005-0000-0000-0000731C0000}"/>
    <cellStyle name="Normal 4 5 5 2 4 2 2" xfId="7698" xr:uid="{00000000-0005-0000-0000-0000741C0000}"/>
    <cellStyle name="Normal 4 5 5 2 4 2 3" xfId="7699" xr:uid="{00000000-0005-0000-0000-0000751C0000}"/>
    <cellStyle name="Normal 4 5 5 2 4 3" xfId="7700" xr:uid="{00000000-0005-0000-0000-0000761C0000}"/>
    <cellStyle name="Normal 4 5 5 2 4 4" xfId="7701" xr:uid="{00000000-0005-0000-0000-0000771C0000}"/>
    <cellStyle name="Normal 4 5 5 2 4 5" xfId="7702" xr:uid="{00000000-0005-0000-0000-0000781C0000}"/>
    <cellStyle name="Normal 4 5 5 2 5" xfId="7703" xr:uid="{00000000-0005-0000-0000-0000791C0000}"/>
    <cellStyle name="Normal 4 5 5 2 5 2" xfId="7704" xr:uid="{00000000-0005-0000-0000-00007A1C0000}"/>
    <cellStyle name="Normal 4 5 5 2 5 3" xfId="7705" xr:uid="{00000000-0005-0000-0000-00007B1C0000}"/>
    <cellStyle name="Normal 4 5 5 2 6" xfId="7706" xr:uid="{00000000-0005-0000-0000-00007C1C0000}"/>
    <cellStyle name="Normal 4 5 5 2 7" xfId="7707" xr:uid="{00000000-0005-0000-0000-00007D1C0000}"/>
    <cellStyle name="Normal 4 5 5 2 8" xfId="7708" xr:uid="{00000000-0005-0000-0000-00007E1C0000}"/>
    <cellStyle name="Normal 4 5 5 3" xfId="7709" xr:uid="{00000000-0005-0000-0000-00007F1C0000}"/>
    <cellStyle name="Normal 4 5 5 3 2" xfId="7710" xr:uid="{00000000-0005-0000-0000-0000801C0000}"/>
    <cellStyle name="Normal 4 5 5 3 2 2" xfId="7711" xr:uid="{00000000-0005-0000-0000-0000811C0000}"/>
    <cellStyle name="Normal 4 5 5 3 2 2 2" xfId="7712" xr:uid="{00000000-0005-0000-0000-0000821C0000}"/>
    <cellStyle name="Normal 4 5 5 3 2 2 3" xfId="7713" xr:uid="{00000000-0005-0000-0000-0000831C0000}"/>
    <cellStyle name="Normal 4 5 5 3 2 3" xfId="7714" xr:uid="{00000000-0005-0000-0000-0000841C0000}"/>
    <cellStyle name="Normal 4 5 5 3 2 4" xfId="7715" xr:uid="{00000000-0005-0000-0000-0000851C0000}"/>
    <cellStyle name="Normal 4 5 5 3 2 5" xfId="7716" xr:uid="{00000000-0005-0000-0000-0000861C0000}"/>
    <cellStyle name="Normal 4 5 5 3 3" xfId="7717" xr:uid="{00000000-0005-0000-0000-0000871C0000}"/>
    <cellStyle name="Normal 4 5 5 3 3 2" xfId="7718" xr:uid="{00000000-0005-0000-0000-0000881C0000}"/>
    <cellStyle name="Normal 4 5 5 3 3 2 2" xfId="7719" xr:uid="{00000000-0005-0000-0000-0000891C0000}"/>
    <cellStyle name="Normal 4 5 5 3 3 2 3" xfId="7720" xr:uid="{00000000-0005-0000-0000-00008A1C0000}"/>
    <cellStyle name="Normal 4 5 5 3 3 3" xfId="7721" xr:uid="{00000000-0005-0000-0000-00008B1C0000}"/>
    <cellStyle name="Normal 4 5 5 3 3 4" xfId="7722" xr:uid="{00000000-0005-0000-0000-00008C1C0000}"/>
    <cellStyle name="Normal 4 5 5 3 3 5" xfId="7723" xr:uid="{00000000-0005-0000-0000-00008D1C0000}"/>
    <cellStyle name="Normal 4 5 5 3 4" xfId="7724" xr:uid="{00000000-0005-0000-0000-00008E1C0000}"/>
    <cellStyle name="Normal 4 5 5 3 4 2" xfId="7725" xr:uid="{00000000-0005-0000-0000-00008F1C0000}"/>
    <cellStyle name="Normal 4 5 5 3 4 3" xfId="7726" xr:uid="{00000000-0005-0000-0000-0000901C0000}"/>
    <cellStyle name="Normal 4 5 5 3 5" xfId="7727" xr:uid="{00000000-0005-0000-0000-0000911C0000}"/>
    <cellStyle name="Normal 4 5 5 3 6" xfId="7728" xr:uid="{00000000-0005-0000-0000-0000921C0000}"/>
    <cellStyle name="Normal 4 5 5 3 7" xfId="7729" xr:uid="{00000000-0005-0000-0000-0000931C0000}"/>
    <cellStyle name="Normal 4 5 5 4" xfId="7730" xr:uid="{00000000-0005-0000-0000-0000941C0000}"/>
    <cellStyle name="Normal 4 5 5 4 2" xfId="7731" xr:uid="{00000000-0005-0000-0000-0000951C0000}"/>
    <cellStyle name="Normal 4 5 5 4 2 2" xfId="7732" xr:uid="{00000000-0005-0000-0000-0000961C0000}"/>
    <cellStyle name="Normal 4 5 5 4 2 3" xfId="7733" xr:uid="{00000000-0005-0000-0000-0000971C0000}"/>
    <cellStyle name="Normal 4 5 5 4 3" xfId="7734" xr:uid="{00000000-0005-0000-0000-0000981C0000}"/>
    <cellStyle name="Normal 4 5 5 4 4" xfId="7735" xr:uid="{00000000-0005-0000-0000-0000991C0000}"/>
    <cellStyle name="Normal 4 5 5 4 5" xfId="7736" xr:uid="{00000000-0005-0000-0000-00009A1C0000}"/>
    <cellStyle name="Normal 4 5 5 5" xfId="7737" xr:uid="{00000000-0005-0000-0000-00009B1C0000}"/>
    <cellStyle name="Normal 4 5 5 5 2" xfId="7738" xr:uid="{00000000-0005-0000-0000-00009C1C0000}"/>
    <cellStyle name="Normal 4 5 5 5 2 2" xfId="7739" xr:uid="{00000000-0005-0000-0000-00009D1C0000}"/>
    <cellStyle name="Normal 4 5 5 5 2 3" xfId="7740" xr:uid="{00000000-0005-0000-0000-00009E1C0000}"/>
    <cellStyle name="Normal 4 5 5 5 3" xfId="7741" xr:uid="{00000000-0005-0000-0000-00009F1C0000}"/>
    <cellStyle name="Normal 4 5 5 5 4" xfId="7742" xr:uid="{00000000-0005-0000-0000-0000A01C0000}"/>
    <cellStyle name="Normal 4 5 5 5 5" xfId="7743" xr:uid="{00000000-0005-0000-0000-0000A11C0000}"/>
    <cellStyle name="Normal 4 5 5 6" xfId="7744" xr:uid="{00000000-0005-0000-0000-0000A21C0000}"/>
    <cellStyle name="Normal 4 5 5 6 2" xfId="7745" xr:uid="{00000000-0005-0000-0000-0000A31C0000}"/>
    <cellStyle name="Normal 4 5 5 6 3" xfId="7746" xr:uid="{00000000-0005-0000-0000-0000A41C0000}"/>
    <cellStyle name="Normal 4 5 5 7" xfId="7747" xr:uid="{00000000-0005-0000-0000-0000A51C0000}"/>
    <cellStyle name="Normal 4 5 5 8" xfId="7748" xr:uid="{00000000-0005-0000-0000-0000A61C0000}"/>
    <cellStyle name="Normal 4 5 5 9" xfId="7749" xr:uid="{00000000-0005-0000-0000-0000A71C0000}"/>
    <cellStyle name="Normal 4 5 6" xfId="7750" xr:uid="{00000000-0005-0000-0000-0000A81C0000}"/>
    <cellStyle name="Normal 4 5 6 2" xfId="7751" xr:uid="{00000000-0005-0000-0000-0000A91C0000}"/>
    <cellStyle name="Normal 4 5 6 2 2" xfId="7752" xr:uid="{00000000-0005-0000-0000-0000AA1C0000}"/>
    <cellStyle name="Normal 4 5 6 2 2 2" xfId="7753" xr:uid="{00000000-0005-0000-0000-0000AB1C0000}"/>
    <cellStyle name="Normal 4 5 6 2 2 2 2" xfId="7754" xr:uid="{00000000-0005-0000-0000-0000AC1C0000}"/>
    <cellStyle name="Normal 4 5 6 2 2 2 3" xfId="7755" xr:uid="{00000000-0005-0000-0000-0000AD1C0000}"/>
    <cellStyle name="Normal 4 5 6 2 2 3" xfId="7756" xr:uid="{00000000-0005-0000-0000-0000AE1C0000}"/>
    <cellStyle name="Normal 4 5 6 2 2 4" xfId="7757" xr:uid="{00000000-0005-0000-0000-0000AF1C0000}"/>
    <cellStyle name="Normal 4 5 6 2 2 5" xfId="7758" xr:uid="{00000000-0005-0000-0000-0000B01C0000}"/>
    <cellStyle name="Normal 4 5 6 2 3" xfId="7759" xr:uid="{00000000-0005-0000-0000-0000B11C0000}"/>
    <cellStyle name="Normal 4 5 6 2 3 2" xfId="7760" xr:uid="{00000000-0005-0000-0000-0000B21C0000}"/>
    <cellStyle name="Normal 4 5 6 2 3 2 2" xfId="7761" xr:uid="{00000000-0005-0000-0000-0000B31C0000}"/>
    <cellStyle name="Normal 4 5 6 2 3 2 3" xfId="7762" xr:uid="{00000000-0005-0000-0000-0000B41C0000}"/>
    <cellStyle name="Normal 4 5 6 2 3 3" xfId="7763" xr:uid="{00000000-0005-0000-0000-0000B51C0000}"/>
    <cellStyle name="Normal 4 5 6 2 3 4" xfId="7764" xr:uid="{00000000-0005-0000-0000-0000B61C0000}"/>
    <cellStyle name="Normal 4 5 6 2 3 5" xfId="7765" xr:uid="{00000000-0005-0000-0000-0000B71C0000}"/>
    <cellStyle name="Normal 4 5 6 2 4" xfId="7766" xr:uid="{00000000-0005-0000-0000-0000B81C0000}"/>
    <cellStyle name="Normal 4 5 6 2 4 2" xfId="7767" xr:uid="{00000000-0005-0000-0000-0000B91C0000}"/>
    <cellStyle name="Normal 4 5 6 2 4 3" xfId="7768" xr:uid="{00000000-0005-0000-0000-0000BA1C0000}"/>
    <cellStyle name="Normal 4 5 6 2 5" xfId="7769" xr:uid="{00000000-0005-0000-0000-0000BB1C0000}"/>
    <cellStyle name="Normal 4 5 6 2 6" xfId="7770" xr:uid="{00000000-0005-0000-0000-0000BC1C0000}"/>
    <cellStyle name="Normal 4 5 6 2 7" xfId="7771" xr:uid="{00000000-0005-0000-0000-0000BD1C0000}"/>
    <cellStyle name="Normal 4 5 6 3" xfId="7772" xr:uid="{00000000-0005-0000-0000-0000BE1C0000}"/>
    <cellStyle name="Normal 4 5 6 3 2" xfId="7773" xr:uid="{00000000-0005-0000-0000-0000BF1C0000}"/>
    <cellStyle name="Normal 4 5 6 3 2 2" xfId="7774" xr:uid="{00000000-0005-0000-0000-0000C01C0000}"/>
    <cellStyle name="Normal 4 5 6 3 2 3" xfId="7775" xr:uid="{00000000-0005-0000-0000-0000C11C0000}"/>
    <cellStyle name="Normal 4 5 6 3 3" xfId="7776" xr:uid="{00000000-0005-0000-0000-0000C21C0000}"/>
    <cellStyle name="Normal 4 5 6 3 4" xfId="7777" xr:uid="{00000000-0005-0000-0000-0000C31C0000}"/>
    <cellStyle name="Normal 4 5 6 3 5" xfId="7778" xr:uid="{00000000-0005-0000-0000-0000C41C0000}"/>
    <cellStyle name="Normal 4 5 6 4" xfId="7779" xr:uid="{00000000-0005-0000-0000-0000C51C0000}"/>
    <cellStyle name="Normal 4 5 6 4 2" xfId="7780" xr:uid="{00000000-0005-0000-0000-0000C61C0000}"/>
    <cellStyle name="Normal 4 5 6 4 2 2" xfId="7781" xr:uid="{00000000-0005-0000-0000-0000C71C0000}"/>
    <cellStyle name="Normal 4 5 6 4 2 3" xfId="7782" xr:uid="{00000000-0005-0000-0000-0000C81C0000}"/>
    <cellStyle name="Normal 4 5 6 4 3" xfId="7783" xr:uid="{00000000-0005-0000-0000-0000C91C0000}"/>
    <cellStyle name="Normal 4 5 6 4 4" xfId="7784" xr:uid="{00000000-0005-0000-0000-0000CA1C0000}"/>
    <cellStyle name="Normal 4 5 6 4 5" xfId="7785" xr:uid="{00000000-0005-0000-0000-0000CB1C0000}"/>
    <cellStyle name="Normal 4 5 6 5" xfId="7786" xr:uid="{00000000-0005-0000-0000-0000CC1C0000}"/>
    <cellStyle name="Normal 4 5 6 5 2" xfId="7787" xr:uid="{00000000-0005-0000-0000-0000CD1C0000}"/>
    <cellStyle name="Normal 4 5 6 5 3" xfId="7788" xr:uid="{00000000-0005-0000-0000-0000CE1C0000}"/>
    <cellStyle name="Normal 4 5 6 6" xfId="7789" xr:uid="{00000000-0005-0000-0000-0000CF1C0000}"/>
    <cellStyle name="Normal 4 5 6 7" xfId="7790" xr:uid="{00000000-0005-0000-0000-0000D01C0000}"/>
    <cellStyle name="Normal 4 5 6 8" xfId="7791" xr:uid="{00000000-0005-0000-0000-0000D11C0000}"/>
    <cellStyle name="Normal 4 5 7" xfId="7792" xr:uid="{00000000-0005-0000-0000-0000D21C0000}"/>
    <cellStyle name="Normal 4 5 7 2" xfId="7793" xr:uid="{00000000-0005-0000-0000-0000D31C0000}"/>
    <cellStyle name="Normal 4 5 7 2 2" xfId="7794" xr:uid="{00000000-0005-0000-0000-0000D41C0000}"/>
    <cellStyle name="Normal 4 5 7 2 2 2" xfId="7795" xr:uid="{00000000-0005-0000-0000-0000D51C0000}"/>
    <cellStyle name="Normal 4 5 7 2 2 3" xfId="7796" xr:uid="{00000000-0005-0000-0000-0000D61C0000}"/>
    <cellStyle name="Normal 4 5 7 2 3" xfId="7797" xr:uid="{00000000-0005-0000-0000-0000D71C0000}"/>
    <cellStyle name="Normal 4 5 7 2 4" xfId="7798" xr:uid="{00000000-0005-0000-0000-0000D81C0000}"/>
    <cellStyle name="Normal 4 5 7 2 5" xfId="7799" xr:uid="{00000000-0005-0000-0000-0000D91C0000}"/>
    <cellStyle name="Normal 4 5 7 3" xfId="7800" xr:uid="{00000000-0005-0000-0000-0000DA1C0000}"/>
    <cellStyle name="Normal 4 5 7 3 2" xfId="7801" xr:uid="{00000000-0005-0000-0000-0000DB1C0000}"/>
    <cellStyle name="Normal 4 5 7 3 2 2" xfId="7802" xr:uid="{00000000-0005-0000-0000-0000DC1C0000}"/>
    <cellStyle name="Normal 4 5 7 3 2 3" xfId="7803" xr:uid="{00000000-0005-0000-0000-0000DD1C0000}"/>
    <cellStyle name="Normal 4 5 7 3 3" xfId="7804" xr:uid="{00000000-0005-0000-0000-0000DE1C0000}"/>
    <cellStyle name="Normal 4 5 7 3 4" xfId="7805" xr:uid="{00000000-0005-0000-0000-0000DF1C0000}"/>
    <cellStyle name="Normal 4 5 7 3 5" xfId="7806" xr:uid="{00000000-0005-0000-0000-0000E01C0000}"/>
    <cellStyle name="Normal 4 5 7 4" xfId="7807" xr:uid="{00000000-0005-0000-0000-0000E11C0000}"/>
    <cellStyle name="Normal 4 5 7 4 2" xfId="7808" xr:uid="{00000000-0005-0000-0000-0000E21C0000}"/>
    <cellStyle name="Normal 4 5 7 4 3" xfId="7809" xr:uid="{00000000-0005-0000-0000-0000E31C0000}"/>
    <cellStyle name="Normal 4 5 7 5" xfId="7810" xr:uid="{00000000-0005-0000-0000-0000E41C0000}"/>
    <cellStyle name="Normal 4 5 7 6" xfId="7811" xr:uid="{00000000-0005-0000-0000-0000E51C0000}"/>
    <cellStyle name="Normal 4 5 7 7" xfId="7812" xr:uid="{00000000-0005-0000-0000-0000E61C0000}"/>
    <cellStyle name="Normal 4 5 8" xfId="7813" xr:uid="{00000000-0005-0000-0000-0000E71C0000}"/>
    <cellStyle name="Normal 4 5 8 2" xfId="7814" xr:uid="{00000000-0005-0000-0000-0000E81C0000}"/>
    <cellStyle name="Normal 4 5 8 2 2" xfId="7815" xr:uid="{00000000-0005-0000-0000-0000E91C0000}"/>
    <cellStyle name="Normal 4 5 8 2 2 2" xfId="7816" xr:uid="{00000000-0005-0000-0000-0000EA1C0000}"/>
    <cellStyle name="Normal 4 5 8 2 2 3" xfId="7817" xr:uid="{00000000-0005-0000-0000-0000EB1C0000}"/>
    <cellStyle name="Normal 4 5 8 2 3" xfId="7818" xr:uid="{00000000-0005-0000-0000-0000EC1C0000}"/>
    <cellStyle name="Normal 4 5 8 2 4" xfId="7819" xr:uid="{00000000-0005-0000-0000-0000ED1C0000}"/>
    <cellStyle name="Normal 4 5 8 2 5" xfId="7820" xr:uid="{00000000-0005-0000-0000-0000EE1C0000}"/>
    <cellStyle name="Normal 4 5 8 3" xfId="7821" xr:uid="{00000000-0005-0000-0000-0000EF1C0000}"/>
    <cellStyle name="Normal 4 5 8 3 2" xfId="7822" xr:uid="{00000000-0005-0000-0000-0000F01C0000}"/>
    <cellStyle name="Normal 4 5 8 3 2 2" xfId="7823" xr:uid="{00000000-0005-0000-0000-0000F11C0000}"/>
    <cellStyle name="Normal 4 5 8 3 2 3" xfId="7824" xr:uid="{00000000-0005-0000-0000-0000F21C0000}"/>
    <cellStyle name="Normal 4 5 8 3 3" xfId="7825" xr:uid="{00000000-0005-0000-0000-0000F31C0000}"/>
    <cellStyle name="Normal 4 5 8 3 4" xfId="7826" xr:uid="{00000000-0005-0000-0000-0000F41C0000}"/>
    <cellStyle name="Normal 4 5 8 3 5" xfId="7827" xr:uid="{00000000-0005-0000-0000-0000F51C0000}"/>
    <cellStyle name="Normal 4 5 8 4" xfId="7828" xr:uid="{00000000-0005-0000-0000-0000F61C0000}"/>
    <cellStyle name="Normal 4 5 8 4 2" xfId="7829" xr:uid="{00000000-0005-0000-0000-0000F71C0000}"/>
    <cellStyle name="Normal 4 5 8 4 3" xfId="7830" xr:uid="{00000000-0005-0000-0000-0000F81C0000}"/>
    <cellStyle name="Normal 4 5 8 5" xfId="7831" xr:uid="{00000000-0005-0000-0000-0000F91C0000}"/>
    <cellStyle name="Normal 4 5 8 6" xfId="7832" xr:uid="{00000000-0005-0000-0000-0000FA1C0000}"/>
    <cellStyle name="Normal 4 5 8 7" xfId="7833" xr:uid="{00000000-0005-0000-0000-0000FB1C0000}"/>
    <cellStyle name="Normal 4 5 9" xfId="7834" xr:uid="{00000000-0005-0000-0000-0000FC1C0000}"/>
    <cellStyle name="Normal 4 5 9 2" xfId="7835" xr:uid="{00000000-0005-0000-0000-0000FD1C0000}"/>
    <cellStyle name="Normal 4 5 9 2 2" xfId="7836" xr:uid="{00000000-0005-0000-0000-0000FE1C0000}"/>
    <cellStyle name="Normal 4 5 9 2 3" xfId="7837" xr:uid="{00000000-0005-0000-0000-0000FF1C0000}"/>
    <cellStyle name="Normal 4 5 9 3" xfId="7838" xr:uid="{00000000-0005-0000-0000-0000001D0000}"/>
    <cellStyle name="Normal 4 5 9 4" xfId="7839" xr:uid="{00000000-0005-0000-0000-0000011D0000}"/>
    <cellStyle name="Normal 4 5 9 5" xfId="7840" xr:uid="{00000000-0005-0000-0000-0000021D0000}"/>
    <cellStyle name="Normal 4 6" xfId="7841" xr:uid="{00000000-0005-0000-0000-0000031D0000}"/>
    <cellStyle name="Normal 4 6 10" xfId="7842" xr:uid="{00000000-0005-0000-0000-0000041D0000}"/>
    <cellStyle name="Normal 4 6 11" xfId="7843" xr:uid="{00000000-0005-0000-0000-0000051D0000}"/>
    <cellStyle name="Normal 4 6 12" xfId="7844" xr:uid="{00000000-0005-0000-0000-0000061D0000}"/>
    <cellStyle name="Normal 4 6 2" xfId="7845" xr:uid="{00000000-0005-0000-0000-0000071D0000}"/>
    <cellStyle name="Normal 4 6 2 2" xfId="7846" xr:uid="{00000000-0005-0000-0000-0000081D0000}"/>
    <cellStyle name="Normal 4 6 2 2 2" xfId="7847" xr:uid="{00000000-0005-0000-0000-0000091D0000}"/>
    <cellStyle name="Normal 4 6 2 2 2 2" xfId="7848" xr:uid="{00000000-0005-0000-0000-00000A1D0000}"/>
    <cellStyle name="Normal 4 6 2 2 2 2 2" xfId="7849" xr:uid="{00000000-0005-0000-0000-00000B1D0000}"/>
    <cellStyle name="Normal 4 6 2 2 2 2 2 2" xfId="7850" xr:uid="{00000000-0005-0000-0000-00000C1D0000}"/>
    <cellStyle name="Normal 4 6 2 2 2 2 2 3" xfId="7851" xr:uid="{00000000-0005-0000-0000-00000D1D0000}"/>
    <cellStyle name="Normal 4 6 2 2 2 2 3" xfId="7852" xr:uid="{00000000-0005-0000-0000-00000E1D0000}"/>
    <cellStyle name="Normal 4 6 2 2 2 2 4" xfId="7853" xr:uid="{00000000-0005-0000-0000-00000F1D0000}"/>
    <cellStyle name="Normal 4 6 2 2 2 2 5" xfId="7854" xr:uid="{00000000-0005-0000-0000-0000101D0000}"/>
    <cellStyle name="Normal 4 6 2 2 2 3" xfId="7855" xr:uid="{00000000-0005-0000-0000-0000111D0000}"/>
    <cellStyle name="Normal 4 6 2 2 2 3 2" xfId="7856" xr:uid="{00000000-0005-0000-0000-0000121D0000}"/>
    <cellStyle name="Normal 4 6 2 2 2 3 2 2" xfId="7857" xr:uid="{00000000-0005-0000-0000-0000131D0000}"/>
    <cellStyle name="Normal 4 6 2 2 2 3 2 3" xfId="7858" xr:uid="{00000000-0005-0000-0000-0000141D0000}"/>
    <cellStyle name="Normal 4 6 2 2 2 3 3" xfId="7859" xr:uid="{00000000-0005-0000-0000-0000151D0000}"/>
    <cellStyle name="Normal 4 6 2 2 2 3 4" xfId="7860" xr:uid="{00000000-0005-0000-0000-0000161D0000}"/>
    <cellStyle name="Normal 4 6 2 2 2 3 5" xfId="7861" xr:uid="{00000000-0005-0000-0000-0000171D0000}"/>
    <cellStyle name="Normal 4 6 2 2 2 4" xfId="7862" xr:uid="{00000000-0005-0000-0000-0000181D0000}"/>
    <cellStyle name="Normal 4 6 2 2 2 4 2" xfId="7863" xr:uid="{00000000-0005-0000-0000-0000191D0000}"/>
    <cellStyle name="Normal 4 6 2 2 2 4 3" xfId="7864" xr:uid="{00000000-0005-0000-0000-00001A1D0000}"/>
    <cellStyle name="Normal 4 6 2 2 2 5" xfId="7865" xr:uid="{00000000-0005-0000-0000-00001B1D0000}"/>
    <cellStyle name="Normal 4 6 2 2 2 6" xfId="7866" xr:uid="{00000000-0005-0000-0000-00001C1D0000}"/>
    <cellStyle name="Normal 4 6 2 2 2 7" xfId="7867" xr:uid="{00000000-0005-0000-0000-00001D1D0000}"/>
    <cellStyle name="Normal 4 6 2 2 3" xfId="7868" xr:uid="{00000000-0005-0000-0000-00001E1D0000}"/>
    <cellStyle name="Normal 4 6 2 2 3 2" xfId="7869" xr:uid="{00000000-0005-0000-0000-00001F1D0000}"/>
    <cellStyle name="Normal 4 6 2 2 3 2 2" xfId="7870" xr:uid="{00000000-0005-0000-0000-0000201D0000}"/>
    <cellStyle name="Normal 4 6 2 2 3 2 3" xfId="7871" xr:uid="{00000000-0005-0000-0000-0000211D0000}"/>
    <cellStyle name="Normal 4 6 2 2 3 3" xfId="7872" xr:uid="{00000000-0005-0000-0000-0000221D0000}"/>
    <cellStyle name="Normal 4 6 2 2 3 4" xfId="7873" xr:uid="{00000000-0005-0000-0000-0000231D0000}"/>
    <cellStyle name="Normal 4 6 2 2 3 5" xfId="7874" xr:uid="{00000000-0005-0000-0000-0000241D0000}"/>
    <cellStyle name="Normal 4 6 2 2 4" xfId="7875" xr:uid="{00000000-0005-0000-0000-0000251D0000}"/>
    <cellStyle name="Normal 4 6 2 2 4 2" xfId="7876" xr:uid="{00000000-0005-0000-0000-0000261D0000}"/>
    <cellStyle name="Normal 4 6 2 2 4 2 2" xfId="7877" xr:uid="{00000000-0005-0000-0000-0000271D0000}"/>
    <cellStyle name="Normal 4 6 2 2 4 2 3" xfId="7878" xr:uid="{00000000-0005-0000-0000-0000281D0000}"/>
    <cellStyle name="Normal 4 6 2 2 4 3" xfId="7879" xr:uid="{00000000-0005-0000-0000-0000291D0000}"/>
    <cellStyle name="Normal 4 6 2 2 4 4" xfId="7880" xr:uid="{00000000-0005-0000-0000-00002A1D0000}"/>
    <cellStyle name="Normal 4 6 2 2 4 5" xfId="7881" xr:uid="{00000000-0005-0000-0000-00002B1D0000}"/>
    <cellStyle name="Normal 4 6 2 2 5" xfId="7882" xr:uid="{00000000-0005-0000-0000-00002C1D0000}"/>
    <cellStyle name="Normal 4 6 2 2 5 2" xfId="7883" xr:uid="{00000000-0005-0000-0000-00002D1D0000}"/>
    <cellStyle name="Normal 4 6 2 2 5 3" xfId="7884" xr:uid="{00000000-0005-0000-0000-00002E1D0000}"/>
    <cellStyle name="Normal 4 6 2 2 6" xfId="7885" xr:uid="{00000000-0005-0000-0000-00002F1D0000}"/>
    <cellStyle name="Normal 4 6 2 2 7" xfId="7886" xr:uid="{00000000-0005-0000-0000-0000301D0000}"/>
    <cellStyle name="Normal 4 6 2 2 8" xfId="7887" xr:uid="{00000000-0005-0000-0000-0000311D0000}"/>
    <cellStyle name="Normal 4 6 2 3" xfId="7888" xr:uid="{00000000-0005-0000-0000-0000321D0000}"/>
    <cellStyle name="Normal 4 6 2 3 2" xfId="7889" xr:uid="{00000000-0005-0000-0000-0000331D0000}"/>
    <cellStyle name="Normal 4 6 2 3 2 2" xfId="7890" xr:uid="{00000000-0005-0000-0000-0000341D0000}"/>
    <cellStyle name="Normal 4 6 2 3 2 2 2" xfId="7891" xr:uid="{00000000-0005-0000-0000-0000351D0000}"/>
    <cellStyle name="Normal 4 6 2 3 2 2 3" xfId="7892" xr:uid="{00000000-0005-0000-0000-0000361D0000}"/>
    <cellStyle name="Normal 4 6 2 3 2 3" xfId="7893" xr:uid="{00000000-0005-0000-0000-0000371D0000}"/>
    <cellStyle name="Normal 4 6 2 3 2 4" xfId="7894" xr:uid="{00000000-0005-0000-0000-0000381D0000}"/>
    <cellStyle name="Normal 4 6 2 3 2 5" xfId="7895" xr:uid="{00000000-0005-0000-0000-0000391D0000}"/>
    <cellStyle name="Normal 4 6 2 3 3" xfId="7896" xr:uid="{00000000-0005-0000-0000-00003A1D0000}"/>
    <cellStyle name="Normal 4 6 2 3 3 2" xfId="7897" xr:uid="{00000000-0005-0000-0000-00003B1D0000}"/>
    <cellStyle name="Normal 4 6 2 3 3 2 2" xfId="7898" xr:uid="{00000000-0005-0000-0000-00003C1D0000}"/>
    <cellStyle name="Normal 4 6 2 3 3 2 3" xfId="7899" xr:uid="{00000000-0005-0000-0000-00003D1D0000}"/>
    <cellStyle name="Normal 4 6 2 3 3 3" xfId="7900" xr:uid="{00000000-0005-0000-0000-00003E1D0000}"/>
    <cellStyle name="Normal 4 6 2 3 3 4" xfId="7901" xr:uid="{00000000-0005-0000-0000-00003F1D0000}"/>
    <cellStyle name="Normal 4 6 2 3 3 5" xfId="7902" xr:uid="{00000000-0005-0000-0000-0000401D0000}"/>
    <cellStyle name="Normal 4 6 2 3 4" xfId="7903" xr:uid="{00000000-0005-0000-0000-0000411D0000}"/>
    <cellStyle name="Normal 4 6 2 3 4 2" xfId="7904" xr:uid="{00000000-0005-0000-0000-0000421D0000}"/>
    <cellStyle name="Normal 4 6 2 3 4 3" xfId="7905" xr:uid="{00000000-0005-0000-0000-0000431D0000}"/>
    <cellStyle name="Normal 4 6 2 3 5" xfId="7906" xr:uid="{00000000-0005-0000-0000-0000441D0000}"/>
    <cellStyle name="Normal 4 6 2 3 6" xfId="7907" xr:uid="{00000000-0005-0000-0000-0000451D0000}"/>
    <cellStyle name="Normal 4 6 2 3 7" xfId="7908" xr:uid="{00000000-0005-0000-0000-0000461D0000}"/>
    <cellStyle name="Normal 4 6 2 4" xfId="7909" xr:uid="{00000000-0005-0000-0000-0000471D0000}"/>
    <cellStyle name="Normal 4 6 2 4 2" xfId="7910" xr:uid="{00000000-0005-0000-0000-0000481D0000}"/>
    <cellStyle name="Normal 4 6 2 4 2 2" xfId="7911" xr:uid="{00000000-0005-0000-0000-0000491D0000}"/>
    <cellStyle name="Normal 4 6 2 4 2 3" xfId="7912" xr:uid="{00000000-0005-0000-0000-00004A1D0000}"/>
    <cellStyle name="Normal 4 6 2 4 3" xfId="7913" xr:uid="{00000000-0005-0000-0000-00004B1D0000}"/>
    <cellStyle name="Normal 4 6 2 4 4" xfId="7914" xr:uid="{00000000-0005-0000-0000-00004C1D0000}"/>
    <cellStyle name="Normal 4 6 2 4 5" xfId="7915" xr:uid="{00000000-0005-0000-0000-00004D1D0000}"/>
    <cellStyle name="Normal 4 6 2 5" xfId="7916" xr:uid="{00000000-0005-0000-0000-00004E1D0000}"/>
    <cellStyle name="Normal 4 6 2 5 2" xfId="7917" xr:uid="{00000000-0005-0000-0000-00004F1D0000}"/>
    <cellStyle name="Normal 4 6 2 5 2 2" xfId="7918" xr:uid="{00000000-0005-0000-0000-0000501D0000}"/>
    <cellStyle name="Normal 4 6 2 5 2 3" xfId="7919" xr:uid="{00000000-0005-0000-0000-0000511D0000}"/>
    <cellStyle name="Normal 4 6 2 5 3" xfId="7920" xr:uid="{00000000-0005-0000-0000-0000521D0000}"/>
    <cellStyle name="Normal 4 6 2 5 4" xfId="7921" xr:uid="{00000000-0005-0000-0000-0000531D0000}"/>
    <cellStyle name="Normal 4 6 2 5 5" xfId="7922" xr:uid="{00000000-0005-0000-0000-0000541D0000}"/>
    <cellStyle name="Normal 4 6 2 6" xfId="7923" xr:uid="{00000000-0005-0000-0000-0000551D0000}"/>
    <cellStyle name="Normal 4 6 2 6 2" xfId="7924" xr:uid="{00000000-0005-0000-0000-0000561D0000}"/>
    <cellStyle name="Normal 4 6 2 6 3" xfId="7925" xr:uid="{00000000-0005-0000-0000-0000571D0000}"/>
    <cellStyle name="Normal 4 6 2 7" xfId="7926" xr:uid="{00000000-0005-0000-0000-0000581D0000}"/>
    <cellStyle name="Normal 4 6 2 8" xfId="7927" xr:uid="{00000000-0005-0000-0000-0000591D0000}"/>
    <cellStyle name="Normal 4 6 2 9" xfId="7928" xr:uid="{00000000-0005-0000-0000-00005A1D0000}"/>
    <cellStyle name="Normal 4 6 3" xfId="7929" xr:uid="{00000000-0005-0000-0000-00005B1D0000}"/>
    <cellStyle name="Normal 4 6 3 2" xfId="7930" xr:uid="{00000000-0005-0000-0000-00005C1D0000}"/>
    <cellStyle name="Normal 4 6 3 2 2" xfId="7931" xr:uid="{00000000-0005-0000-0000-00005D1D0000}"/>
    <cellStyle name="Normal 4 6 3 2 2 2" xfId="7932" xr:uid="{00000000-0005-0000-0000-00005E1D0000}"/>
    <cellStyle name="Normal 4 6 3 2 2 2 2" xfId="7933" xr:uid="{00000000-0005-0000-0000-00005F1D0000}"/>
    <cellStyle name="Normal 4 6 3 2 2 2 2 2" xfId="7934" xr:uid="{00000000-0005-0000-0000-0000601D0000}"/>
    <cellStyle name="Normal 4 6 3 2 2 2 2 3" xfId="7935" xr:uid="{00000000-0005-0000-0000-0000611D0000}"/>
    <cellStyle name="Normal 4 6 3 2 2 2 3" xfId="7936" xr:uid="{00000000-0005-0000-0000-0000621D0000}"/>
    <cellStyle name="Normal 4 6 3 2 2 2 4" xfId="7937" xr:uid="{00000000-0005-0000-0000-0000631D0000}"/>
    <cellStyle name="Normal 4 6 3 2 2 2 5" xfId="7938" xr:uid="{00000000-0005-0000-0000-0000641D0000}"/>
    <cellStyle name="Normal 4 6 3 2 2 3" xfId="7939" xr:uid="{00000000-0005-0000-0000-0000651D0000}"/>
    <cellStyle name="Normal 4 6 3 2 2 3 2" xfId="7940" xr:uid="{00000000-0005-0000-0000-0000661D0000}"/>
    <cellStyle name="Normal 4 6 3 2 2 3 2 2" xfId="7941" xr:uid="{00000000-0005-0000-0000-0000671D0000}"/>
    <cellStyle name="Normal 4 6 3 2 2 3 2 3" xfId="7942" xr:uid="{00000000-0005-0000-0000-0000681D0000}"/>
    <cellStyle name="Normal 4 6 3 2 2 3 3" xfId="7943" xr:uid="{00000000-0005-0000-0000-0000691D0000}"/>
    <cellStyle name="Normal 4 6 3 2 2 3 4" xfId="7944" xr:uid="{00000000-0005-0000-0000-00006A1D0000}"/>
    <cellStyle name="Normal 4 6 3 2 2 3 5" xfId="7945" xr:uid="{00000000-0005-0000-0000-00006B1D0000}"/>
    <cellStyle name="Normal 4 6 3 2 2 4" xfId="7946" xr:uid="{00000000-0005-0000-0000-00006C1D0000}"/>
    <cellStyle name="Normal 4 6 3 2 2 4 2" xfId="7947" xr:uid="{00000000-0005-0000-0000-00006D1D0000}"/>
    <cellStyle name="Normal 4 6 3 2 2 4 3" xfId="7948" xr:uid="{00000000-0005-0000-0000-00006E1D0000}"/>
    <cellStyle name="Normal 4 6 3 2 2 5" xfId="7949" xr:uid="{00000000-0005-0000-0000-00006F1D0000}"/>
    <cellStyle name="Normal 4 6 3 2 2 6" xfId="7950" xr:uid="{00000000-0005-0000-0000-0000701D0000}"/>
    <cellStyle name="Normal 4 6 3 2 2 7" xfId="7951" xr:uid="{00000000-0005-0000-0000-0000711D0000}"/>
    <cellStyle name="Normal 4 6 3 2 3" xfId="7952" xr:uid="{00000000-0005-0000-0000-0000721D0000}"/>
    <cellStyle name="Normal 4 6 3 2 3 2" xfId="7953" xr:uid="{00000000-0005-0000-0000-0000731D0000}"/>
    <cellStyle name="Normal 4 6 3 2 3 2 2" xfId="7954" xr:uid="{00000000-0005-0000-0000-0000741D0000}"/>
    <cellStyle name="Normal 4 6 3 2 3 2 3" xfId="7955" xr:uid="{00000000-0005-0000-0000-0000751D0000}"/>
    <cellStyle name="Normal 4 6 3 2 3 3" xfId="7956" xr:uid="{00000000-0005-0000-0000-0000761D0000}"/>
    <cellStyle name="Normal 4 6 3 2 3 4" xfId="7957" xr:uid="{00000000-0005-0000-0000-0000771D0000}"/>
    <cellStyle name="Normal 4 6 3 2 3 5" xfId="7958" xr:uid="{00000000-0005-0000-0000-0000781D0000}"/>
    <cellStyle name="Normal 4 6 3 2 4" xfId="7959" xr:uid="{00000000-0005-0000-0000-0000791D0000}"/>
    <cellStyle name="Normal 4 6 3 2 4 2" xfId="7960" xr:uid="{00000000-0005-0000-0000-00007A1D0000}"/>
    <cellStyle name="Normal 4 6 3 2 4 2 2" xfId="7961" xr:uid="{00000000-0005-0000-0000-00007B1D0000}"/>
    <cellStyle name="Normal 4 6 3 2 4 2 3" xfId="7962" xr:uid="{00000000-0005-0000-0000-00007C1D0000}"/>
    <cellStyle name="Normal 4 6 3 2 4 3" xfId="7963" xr:uid="{00000000-0005-0000-0000-00007D1D0000}"/>
    <cellStyle name="Normal 4 6 3 2 4 4" xfId="7964" xr:uid="{00000000-0005-0000-0000-00007E1D0000}"/>
    <cellStyle name="Normal 4 6 3 2 4 5" xfId="7965" xr:uid="{00000000-0005-0000-0000-00007F1D0000}"/>
    <cellStyle name="Normal 4 6 3 2 5" xfId="7966" xr:uid="{00000000-0005-0000-0000-0000801D0000}"/>
    <cellStyle name="Normal 4 6 3 2 5 2" xfId="7967" xr:uid="{00000000-0005-0000-0000-0000811D0000}"/>
    <cellStyle name="Normal 4 6 3 2 5 3" xfId="7968" xr:uid="{00000000-0005-0000-0000-0000821D0000}"/>
    <cellStyle name="Normal 4 6 3 2 6" xfId="7969" xr:uid="{00000000-0005-0000-0000-0000831D0000}"/>
    <cellStyle name="Normal 4 6 3 2 7" xfId="7970" xr:uid="{00000000-0005-0000-0000-0000841D0000}"/>
    <cellStyle name="Normal 4 6 3 2 8" xfId="7971" xr:uid="{00000000-0005-0000-0000-0000851D0000}"/>
    <cellStyle name="Normal 4 6 3 3" xfId="7972" xr:uid="{00000000-0005-0000-0000-0000861D0000}"/>
    <cellStyle name="Normal 4 6 3 3 2" xfId="7973" xr:uid="{00000000-0005-0000-0000-0000871D0000}"/>
    <cellStyle name="Normal 4 6 3 3 2 2" xfId="7974" xr:uid="{00000000-0005-0000-0000-0000881D0000}"/>
    <cellStyle name="Normal 4 6 3 3 2 2 2" xfId="7975" xr:uid="{00000000-0005-0000-0000-0000891D0000}"/>
    <cellStyle name="Normal 4 6 3 3 2 2 3" xfId="7976" xr:uid="{00000000-0005-0000-0000-00008A1D0000}"/>
    <cellStyle name="Normal 4 6 3 3 2 3" xfId="7977" xr:uid="{00000000-0005-0000-0000-00008B1D0000}"/>
    <cellStyle name="Normal 4 6 3 3 2 4" xfId="7978" xr:uid="{00000000-0005-0000-0000-00008C1D0000}"/>
    <cellStyle name="Normal 4 6 3 3 2 5" xfId="7979" xr:uid="{00000000-0005-0000-0000-00008D1D0000}"/>
    <cellStyle name="Normal 4 6 3 3 3" xfId="7980" xr:uid="{00000000-0005-0000-0000-00008E1D0000}"/>
    <cellStyle name="Normal 4 6 3 3 3 2" xfId="7981" xr:uid="{00000000-0005-0000-0000-00008F1D0000}"/>
    <cellStyle name="Normal 4 6 3 3 3 2 2" xfId="7982" xr:uid="{00000000-0005-0000-0000-0000901D0000}"/>
    <cellStyle name="Normal 4 6 3 3 3 2 3" xfId="7983" xr:uid="{00000000-0005-0000-0000-0000911D0000}"/>
    <cellStyle name="Normal 4 6 3 3 3 3" xfId="7984" xr:uid="{00000000-0005-0000-0000-0000921D0000}"/>
    <cellStyle name="Normal 4 6 3 3 3 4" xfId="7985" xr:uid="{00000000-0005-0000-0000-0000931D0000}"/>
    <cellStyle name="Normal 4 6 3 3 3 5" xfId="7986" xr:uid="{00000000-0005-0000-0000-0000941D0000}"/>
    <cellStyle name="Normal 4 6 3 3 4" xfId="7987" xr:uid="{00000000-0005-0000-0000-0000951D0000}"/>
    <cellStyle name="Normal 4 6 3 3 4 2" xfId="7988" xr:uid="{00000000-0005-0000-0000-0000961D0000}"/>
    <cellStyle name="Normal 4 6 3 3 4 3" xfId="7989" xr:uid="{00000000-0005-0000-0000-0000971D0000}"/>
    <cellStyle name="Normal 4 6 3 3 5" xfId="7990" xr:uid="{00000000-0005-0000-0000-0000981D0000}"/>
    <cellStyle name="Normal 4 6 3 3 6" xfId="7991" xr:uid="{00000000-0005-0000-0000-0000991D0000}"/>
    <cellStyle name="Normal 4 6 3 3 7" xfId="7992" xr:uid="{00000000-0005-0000-0000-00009A1D0000}"/>
    <cellStyle name="Normal 4 6 3 4" xfId="7993" xr:uid="{00000000-0005-0000-0000-00009B1D0000}"/>
    <cellStyle name="Normal 4 6 3 4 2" xfId="7994" xr:uid="{00000000-0005-0000-0000-00009C1D0000}"/>
    <cellStyle name="Normal 4 6 3 4 2 2" xfId="7995" xr:uid="{00000000-0005-0000-0000-00009D1D0000}"/>
    <cellStyle name="Normal 4 6 3 4 2 3" xfId="7996" xr:uid="{00000000-0005-0000-0000-00009E1D0000}"/>
    <cellStyle name="Normal 4 6 3 4 3" xfId="7997" xr:uid="{00000000-0005-0000-0000-00009F1D0000}"/>
    <cellStyle name="Normal 4 6 3 4 4" xfId="7998" xr:uid="{00000000-0005-0000-0000-0000A01D0000}"/>
    <cellStyle name="Normal 4 6 3 4 5" xfId="7999" xr:uid="{00000000-0005-0000-0000-0000A11D0000}"/>
    <cellStyle name="Normal 4 6 3 5" xfId="8000" xr:uid="{00000000-0005-0000-0000-0000A21D0000}"/>
    <cellStyle name="Normal 4 6 3 5 2" xfId="8001" xr:uid="{00000000-0005-0000-0000-0000A31D0000}"/>
    <cellStyle name="Normal 4 6 3 5 2 2" xfId="8002" xr:uid="{00000000-0005-0000-0000-0000A41D0000}"/>
    <cellStyle name="Normal 4 6 3 5 2 3" xfId="8003" xr:uid="{00000000-0005-0000-0000-0000A51D0000}"/>
    <cellStyle name="Normal 4 6 3 5 3" xfId="8004" xr:uid="{00000000-0005-0000-0000-0000A61D0000}"/>
    <cellStyle name="Normal 4 6 3 5 4" xfId="8005" xr:uid="{00000000-0005-0000-0000-0000A71D0000}"/>
    <cellStyle name="Normal 4 6 3 5 5" xfId="8006" xr:uid="{00000000-0005-0000-0000-0000A81D0000}"/>
    <cellStyle name="Normal 4 6 3 6" xfId="8007" xr:uid="{00000000-0005-0000-0000-0000A91D0000}"/>
    <cellStyle name="Normal 4 6 3 6 2" xfId="8008" xr:uid="{00000000-0005-0000-0000-0000AA1D0000}"/>
    <cellStyle name="Normal 4 6 3 6 3" xfId="8009" xr:uid="{00000000-0005-0000-0000-0000AB1D0000}"/>
    <cellStyle name="Normal 4 6 3 7" xfId="8010" xr:uid="{00000000-0005-0000-0000-0000AC1D0000}"/>
    <cellStyle name="Normal 4 6 3 8" xfId="8011" xr:uid="{00000000-0005-0000-0000-0000AD1D0000}"/>
    <cellStyle name="Normal 4 6 3 9" xfId="8012" xr:uid="{00000000-0005-0000-0000-0000AE1D0000}"/>
    <cellStyle name="Normal 4 6 4" xfId="8013" xr:uid="{00000000-0005-0000-0000-0000AF1D0000}"/>
    <cellStyle name="Normal 4 6 4 2" xfId="8014" xr:uid="{00000000-0005-0000-0000-0000B01D0000}"/>
    <cellStyle name="Normal 4 6 4 2 2" xfId="8015" xr:uid="{00000000-0005-0000-0000-0000B11D0000}"/>
    <cellStyle name="Normal 4 6 4 2 2 2" xfId="8016" xr:uid="{00000000-0005-0000-0000-0000B21D0000}"/>
    <cellStyle name="Normal 4 6 4 2 2 2 2" xfId="8017" xr:uid="{00000000-0005-0000-0000-0000B31D0000}"/>
    <cellStyle name="Normal 4 6 4 2 2 2 2 2" xfId="8018" xr:uid="{00000000-0005-0000-0000-0000B41D0000}"/>
    <cellStyle name="Normal 4 6 4 2 2 2 2 3" xfId="8019" xr:uid="{00000000-0005-0000-0000-0000B51D0000}"/>
    <cellStyle name="Normal 4 6 4 2 2 2 3" xfId="8020" xr:uid="{00000000-0005-0000-0000-0000B61D0000}"/>
    <cellStyle name="Normal 4 6 4 2 2 2 4" xfId="8021" xr:uid="{00000000-0005-0000-0000-0000B71D0000}"/>
    <cellStyle name="Normal 4 6 4 2 2 2 5" xfId="8022" xr:uid="{00000000-0005-0000-0000-0000B81D0000}"/>
    <cellStyle name="Normal 4 6 4 2 2 3" xfId="8023" xr:uid="{00000000-0005-0000-0000-0000B91D0000}"/>
    <cellStyle name="Normal 4 6 4 2 2 3 2" xfId="8024" xr:uid="{00000000-0005-0000-0000-0000BA1D0000}"/>
    <cellStyle name="Normal 4 6 4 2 2 3 2 2" xfId="8025" xr:uid="{00000000-0005-0000-0000-0000BB1D0000}"/>
    <cellStyle name="Normal 4 6 4 2 2 3 2 3" xfId="8026" xr:uid="{00000000-0005-0000-0000-0000BC1D0000}"/>
    <cellStyle name="Normal 4 6 4 2 2 3 3" xfId="8027" xr:uid="{00000000-0005-0000-0000-0000BD1D0000}"/>
    <cellStyle name="Normal 4 6 4 2 2 3 4" xfId="8028" xr:uid="{00000000-0005-0000-0000-0000BE1D0000}"/>
    <cellStyle name="Normal 4 6 4 2 2 3 5" xfId="8029" xr:uid="{00000000-0005-0000-0000-0000BF1D0000}"/>
    <cellStyle name="Normal 4 6 4 2 2 4" xfId="8030" xr:uid="{00000000-0005-0000-0000-0000C01D0000}"/>
    <cellStyle name="Normal 4 6 4 2 2 4 2" xfId="8031" xr:uid="{00000000-0005-0000-0000-0000C11D0000}"/>
    <cellStyle name="Normal 4 6 4 2 2 4 3" xfId="8032" xr:uid="{00000000-0005-0000-0000-0000C21D0000}"/>
    <cellStyle name="Normal 4 6 4 2 2 5" xfId="8033" xr:uid="{00000000-0005-0000-0000-0000C31D0000}"/>
    <cellStyle name="Normal 4 6 4 2 2 6" xfId="8034" xr:uid="{00000000-0005-0000-0000-0000C41D0000}"/>
    <cellStyle name="Normal 4 6 4 2 2 7" xfId="8035" xr:uid="{00000000-0005-0000-0000-0000C51D0000}"/>
    <cellStyle name="Normal 4 6 4 2 3" xfId="8036" xr:uid="{00000000-0005-0000-0000-0000C61D0000}"/>
    <cellStyle name="Normal 4 6 4 2 3 2" xfId="8037" xr:uid="{00000000-0005-0000-0000-0000C71D0000}"/>
    <cellStyle name="Normal 4 6 4 2 3 2 2" xfId="8038" xr:uid="{00000000-0005-0000-0000-0000C81D0000}"/>
    <cellStyle name="Normal 4 6 4 2 3 2 3" xfId="8039" xr:uid="{00000000-0005-0000-0000-0000C91D0000}"/>
    <cellStyle name="Normal 4 6 4 2 3 3" xfId="8040" xr:uid="{00000000-0005-0000-0000-0000CA1D0000}"/>
    <cellStyle name="Normal 4 6 4 2 3 4" xfId="8041" xr:uid="{00000000-0005-0000-0000-0000CB1D0000}"/>
    <cellStyle name="Normal 4 6 4 2 3 5" xfId="8042" xr:uid="{00000000-0005-0000-0000-0000CC1D0000}"/>
    <cellStyle name="Normal 4 6 4 2 4" xfId="8043" xr:uid="{00000000-0005-0000-0000-0000CD1D0000}"/>
    <cellStyle name="Normal 4 6 4 2 4 2" xfId="8044" xr:uid="{00000000-0005-0000-0000-0000CE1D0000}"/>
    <cellStyle name="Normal 4 6 4 2 4 2 2" xfId="8045" xr:uid="{00000000-0005-0000-0000-0000CF1D0000}"/>
    <cellStyle name="Normal 4 6 4 2 4 2 3" xfId="8046" xr:uid="{00000000-0005-0000-0000-0000D01D0000}"/>
    <cellStyle name="Normal 4 6 4 2 4 3" xfId="8047" xr:uid="{00000000-0005-0000-0000-0000D11D0000}"/>
    <cellStyle name="Normal 4 6 4 2 4 4" xfId="8048" xr:uid="{00000000-0005-0000-0000-0000D21D0000}"/>
    <cellStyle name="Normal 4 6 4 2 4 5" xfId="8049" xr:uid="{00000000-0005-0000-0000-0000D31D0000}"/>
    <cellStyle name="Normal 4 6 4 2 5" xfId="8050" xr:uid="{00000000-0005-0000-0000-0000D41D0000}"/>
    <cellStyle name="Normal 4 6 4 2 5 2" xfId="8051" xr:uid="{00000000-0005-0000-0000-0000D51D0000}"/>
    <cellStyle name="Normal 4 6 4 2 5 3" xfId="8052" xr:uid="{00000000-0005-0000-0000-0000D61D0000}"/>
    <cellStyle name="Normal 4 6 4 2 6" xfId="8053" xr:uid="{00000000-0005-0000-0000-0000D71D0000}"/>
    <cellStyle name="Normal 4 6 4 2 7" xfId="8054" xr:uid="{00000000-0005-0000-0000-0000D81D0000}"/>
    <cellStyle name="Normal 4 6 4 2 8" xfId="8055" xr:uid="{00000000-0005-0000-0000-0000D91D0000}"/>
    <cellStyle name="Normal 4 6 4 3" xfId="8056" xr:uid="{00000000-0005-0000-0000-0000DA1D0000}"/>
    <cellStyle name="Normal 4 6 4 3 2" xfId="8057" xr:uid="{00000000-0005-0000-0000-0000DB1D0000}"/>
    <cellStyle name="Normal 4 6 4 3 2 2" xfId="8058" xr:uid="{00000000-0005-0000-0000-0000DC1D0000}"/>
    <cellStyle name="Normal 4 6 4 3 2 2 2" xfId="8059" xr:uid="{00000000-0005-0000-0000-0000DD1D0000}"/>
    <cellStyle name="Normal 4 6 4 3 2 2 3" xfId="8060" xr:uid="{00000000-0005-0000-0000-0000DE1D0000}"/>
    <cellStyle name="Normal 4 6 4 3 2 3" xfId="8061" xr:uid="{00000000-0005-0000-0000-0000DF1D0000}"/>
    <cellStyle name="Normal 4 6 4 3 2 4" xfId="8062" xr:uid="{00000000-0005-0000-0000-0000E01D0000}"/>
    <cellStyle name="Normal 4 6 4 3 2 5" xfId="8063" xr:uid="{00000000-0005-0000-0000-0000E11D0000}"/>
    <cellStyle name="Normal 4 6 4 3 3" xfId="8064" xr:uid="{00000000-0005-0000-0000-0000E21D0000}"/>
    <cellStyle name="Normal 4 6 4 3 3 2" xfId="8065" xr:uid="{00000000-0005-0000-0000-0000E31D0000}"/>
    <cellStyle name="Normal 4 6 4 3 3 2 2" xfId="8066" xr:uid="{00000000-0005-0000-0000-0000E41D0000}"/>
    <cellStyle name="Normal 4 6 4 3 3 2 3" xfId="8067" xr:uid="{00000000-0005-0000-0000-0000E51D0000}"/>
    <cellStyle name="Normal 4 6 4 3 3 3" xfId="8068" xr:uid="{00000000-0005-0000-0000-0000E61D0000}"/>
    <cellStyle name="Normal 4 6 4 3 3 4" xfId="8069" xr:uid="{00000000-0005-0000-0000-0000E71D0000}"/>
    <cellStyle name="Normal 4 6 4 3 3 5" xfId="8070" xr:uid="{00000000-0005-0000-0000-0000E81D0000}"/>
    <cellStyle name="Normal 4 6 4 3 4" xfId="8071" xr:uid="{00000000-0005-0000-0000-0000E91D0000}"/>
    <cellStyle name="Normal 4 6 4 3 4 2" xfId="8072" xr:uid="{00000000-0005-0000-0000-0000EA1D0000}"/>
    <cellStyle name="Normal 4 6 4 3 4 3" xfId="8073" xr:uid="{00000000-0005-0000-0000-0000EB1D0000}"/>
    <cellStyle name="Normal 4 6 4 3 5" xfId="8074" xr:uid="{00000000-0005-0000-0000-0000EC1D0000}"/>
    <cellStyle name="Normal 4 6 4 3 6" xfId="8075" xr:uid="{00000000-0005-0000-0000-0000ED1D0000}"/>
    <cellStyle name="Normal 4 6 4 3 7" xfId="8076" xr:uid="{00000000-0005-0000-0000-0000EE1D0000}"/>
    <cellStyle name="Normal 4 6 4 4" xfId="8077" xr:uid="{00000000-0005-0000-0000-0000EF1D0000}"/>
    <cellStyle name="Normal 4 6 4 4 2" xfId="8078" xr:uid="{00000000-0005-0000-0000-0000F01D0000}"/>
    <cellStyle name="Normal 4 6 4 4 2 2" xfId="8079" xr:uid="{00000000-0005-0000-0000-0000F11D0000}"/>
    <cellStyle name="Normal 4 6 4 4 2 3" xfId="8080" xr:uid="{00000000-0005-0000-0000-0000F21D0000}"/>
    <cellStyle name="Normal 4 6 4 4 3" xfId="8081" xr:uid="{00000000-0005-0000-0000-0000F31D0000}"/>
    <cellStyle name="Normal 4 6 4 4 4" xfId="8082" xr:uid="{00000000-0005-0000-0000-0000F41D0000}"/>
    <cellStyle name="Normal 4 6 4 4 5" xfId="8083" xr:uid="{00000000-0005-0000-0000-0000F51D0000}"/>
    <cellStyle name="Normal 4 6 4 5" xfId="8084" xr:uid="{00000000-0005-0000-0000-0000F61D0000}"/>
    <cellStyle name="Normal 4 6 4 5 2" xfId="8085" xr:uid="{00000000-0005-0000-0000-0000F71D0000}"/>
    <cellStyle name="Normal 4 6 4 5 2 2" xfId="8086" xr:uid="{00000000-0005-0000-0000-0000F81D0000}"/>
    <cellStyle name="Normal 4 6 4 5 2 3" xfId="8087" xr:uid="{00000000-0005-0000-0000-0000F91D0000}"/>
    <cellStyle name="Normal 4 6 4 5 3" xfId="8088" xr:uid="{00000000-0005-0000-0000-0000FA1D0000}"/>
    <cellStyle name="Normal 4 6 4 5 4" xfId="8089" xr:uid="{00000000-0005-0000-0000-0000FB1D0000}"/>
    <cellStyle name="Normal 4 6 4 5 5" xfId="8090" xr:uid="{00000000-0005-0000-0000-0000FC1D0000}"/>
    <cellStyle name="Normal 4 6 4 6" xfId="8091" xr:uid="{00000000-0005-0000-0000-0000FD1D0000}"/>
    <cellStyle name="Normal 4 6 4 6 2" xfId="8092" xr:uid="{00000000-0005-0000-0000-0000FE1D0000}"/>
    <cellStyle name="Normal 4 6 4 6 3" xfId="8093" xr:uid="{00000000-0005-0000-0000-0000FF1D0000}"/>
    <cellStyle name="Normal 4 6 4 7" xfId="8094" xr:uid="{00000000-0005-0000-0000-0000001E0000}"/>
    <cellStyle name="Normal 4 6 4 8" xfId="8095" xr:uid="{00000000-0005-0000-0000-0000011E0000}"/>
    <cellStyle name="Normal 4 6 4 9" xfId="8096" xr:uid="{00000000-0005-0000-0000-0000021E0000}"/>
    <cellStyle name="Normal 4 6 5" xfId="8097" xr:uid="{00000000-0005-0000-0000-0000031E0000}"/>
    <cellStyle name="Normal 4 6 5 2" xfId="8098" xr:uid="{00000000-0005-0000-0000-0000041E0000}"/>
    <cellStyle name="Normal 4 6 5 2 2" xfId="8099" xr:uid="{00000000-0005-0000-0000-0000051E0000}"/>
    <cellStyle name="Normal 4 6 5 2 2 2" xfId="8100" xr:uid="{00000000-0005-0000-0000-0000061E0000}"/>
    <cellStyle name="Normal 4 6 5 2 2 2 2" xfId="8101" xr:uid="{00000000-0005-0000-0000-0000071E0000}"/>
    <cellStyle name="Normal 4 6 5 2 2 2 3" xfId="8102" xr:uid="{00000000-0005-0000-0000-0000081E0000}"/>
    <cellStyle name="Normal 4 6 5 2 2 3" xfId="8103" xr:uid="{00000000-0005-0000-0000-0000091E0000}"/>
    <cellStyle name="Normal 4 6 5 2 2 4" xfId="8104" xr:uid="{00000000-0005-0000-0000-00000A1E0000}"/>
    <cellStyle name="Normal 4 6 5 2 2 5" xfId="8105" xr:uid="{00000000-0005-0000-0000-00000B1E0000}"/>
    <cellStyle name="Normal 4 6 5 2 3" xfId="8106" xr:uid="{00000000-0005-0000-0000-00000C1E0000}"/>
    <cellStyle name="Normal 4 6 5 2 3 2" xfId="8107" xr:uid="{00000000-0005-0000-0000-00000D1E0000}"/>
    <cellStyle name="Normal 4 6 5 2 3 2 2" xfId="8108" xr:uid="{00000000-0005-0000-0000-00000E1E0000}"/>
    <cellStyle name="Normal 4 6 5 2 3 2 3" xfId="8109" xr:uid="{00000000-0005-0000-0000-00000F1E0000}"/>
    <cellStyle name="Normal 4 6 5 2 3 3" xfId="8110" xr:uid="{00000000-0005-0000-0000-0000101E0000}"/>
    <cellStyle name="Normal 4 6 5 2 3 4" xfId="8111" xr:uid="{00000000-0005-0000-0000-0000111E0000}"/>
    <cellStyle name="Normal 4 6 5 2 3 5" xfId="8112" xr:uid="{00000000-0005-0000-0000-0000121E0000}"/>
    <cellStyle name="Normal 4 6 5 2 4" xfId="8113" xr:uid="{00000000-0005-0000-0000-0000131E0000}"/>
    <cellStyle name="Normal 4 6 5 2 4 2" xfId="8114" xr:uid="{00000000-0005-0000-0000-0000141E0000}"/>
    <cellStyle name="Normal 4 6 5 2 4 3" xfId="8115" xr:uid="{00000000-0005-0000-0000-0000151E0000}"/>
    <cellStyle name="Normal 4 6 5 2 5" xfId="8116" xr:uid="{00000000-0005-0000-0000-0000161E0000}"/>
    <cellStyle name="Normal 4 6 5 2 6" xfId="8117" xr:uid="{00000000-0005-0000-0000-0000171E0000}"/>
    <cellStyle name="Normal 4 6 5 2 7" xfId="8118" xr:uid="{00000000-0005-0000-0000-0000181E0000}"/>
    <cellStyle name="Normal 4 6 5 3" xfId="8119" xr:uid="{00000000-0005-0000-0000-0000191E0000}"/>
    <cellStyle name="Normal 4 6 5 3 2" xfId="8120" xr:uid="{00000000-0005-0000-0000-00001A1E0000}"/>
    <cellStyle name="Normal 4 6 5 3 2 2" xfId="8121" xr:uid="{00000000-0005-0000-0000-00001B1E0000}"/>
    <cellStyle name="Normal 4 6 5 3 2 3" xfId="8122" xr:uid="{00000000-0005-0000-0000-00001C1E0000}"/>
    <cellStyle name="Normal 4 6 5 3 3" xfId="8123" xr:uid="{00000000-0005-0000-0000-00001D1E0000}"/>
    <cellStyle name="Normal 4 6 5 3 4" xfId="8124" xr:uid="{00000000-0005-0000-0000-00001E1E0000}"/>
    <cellStyle name="Normal 4 6 5 3 5" xfId="8125" xr:uid="{00000000-0005-0000-0000-00001F1E0000}"/>
    <cellStyle name="Normal 4 6 5 4" xfId="8126" xr:uid="{00000000-0005-0000-0000-0000201E0000}"/>
    <cellStyle name="Normal 4 6 5 4 2" xfId="8127" xr:uid="{00000000-0005-0000-0000-0000211E0000}"/>
    <cellStyle name="Normal 4 6 5 4 2 2" xfId="8128" xr:uid="{00000000-0005-0000-0000-0000221E0000}"/>
    <cellStyle name="Normal 4 6 5 4 2 3" xfId="8129" xr:uid="{00000000-0005-0000-0000-0000231E0000}"/>
    <cellStyle name="Normal 4 6 5 4 3" xfId="8130" xr:uid="{00000000-0005-0000-0000-0000241E0000}"/>
    <cellStyle name="Normal 4 6 5 4 4" xfId="8131" xr:uid="{00000000-0005-0000-0000-0000251E0000}"/>
    <cellStyle name="Normal 4 6 5 4 5" xfId="8132" xr:uid="{00000000-0005-0000-0000-0000261E0000}"/>
    <cellStyle name="Normal 4 6 5 5" xfId="8133" xr:uid="{00000000-0005-0000-0000-0000271E0000}"/>
    <cellStyle name="Normal 4 6 5 5 2" xfId="8134" xr:uid="{00000000-0005-0000-0000-0000281E0000}"/>
    <cellStyle name="Normal 4 6 5 5 3" xfId="8135" xr:uid="{00000000-0005-0000-0000-0000291E0000}"/>
    <cellStyle name="Normal 4 6 5 6" xfId="8136" xr:uid="{00000000-0005-0000-0000-00002A1E0000}"/>
    <cellStyle name="Normal 4 6 5 7" xfId="8137" xr:uid="{00000000-0005-0000-0000-00002B1E0000}"/>
    <cellStyle name="Normal 4 6 5 8" xfId="8138" xr:uid="{00000000-0005-0000-0000-00002C1E0000}"/>
    <cellStyle name="Normal 4 6 6" xfId="8139" xr:uid="{00000000-0005-0000-0000-00002D1E0000}"/>
    <cellStyle name="Normal 4 6 6 2" xfId="8140" xr:uid="{00000000-0005-0000-0000-00002E1E0000}"/>
    <cellStyle name="Normal 4 6 6 2 2" xfId="8141" xr:uid="{00000000-0005-0000-0000-00002F1E0000}"/>
    <cellStyle name="Normal 4 6 6 2 2 2" xfId="8142" xr:uid="{00000000-0005-0000-0000-0000301E0000}"/>
    <cellStyle name="Normal 4 6 6 2 2 3" xfId="8143" xr:uid="{00000000-0005-0000-0000-0000311E0000}"/>
    <cellStyle name="Normal 4 6 6 2 3" xfId="8144" xr:uid="{00000000-0005-0000-0000-0000321E0000}"/>
    <cellStyle name="Normal 4 6 6 2 4" xfId="8145" xr:uid="{00000000-0005-0000-0000-0000331E0000}"/>
    <cellStyle name="Normal 4 6 6 2 5" xfId="8146" xr:uid="{00000000-0005-0000-0000-0000341E0000}"/>
    <cellStyle name="Normal 4 6 6 3" xfId="8147" xr:uid="{00000000-0005-0000-0000-0000351E0000}"/>
    <cellStyle name="Normal 4 6 6 3 2" xfId="8148" xr:uid="{00000000-0005-0000-0000-0000361E0000}"/>
    <cellStyle name="Normal 4 6 6 3 2 2" xfId="8149" xr:uid="{00000000-0005-0000-0000-0000371E0000}"/>
    <cellStyle name="Normal 4 6 6 3 2 3" xfId="8150" xr:uid="{00000000-0005-0000-0000-0000381E0000}"/>
    <cellStyle name="Normal 4 6 6 3 3" xfId="8151" xr:uid="{00000000-0005-0000-0000-0000391E0000}"/>
    <cellStyle name="Normal 4 6 6 3 4" xfId="8152" xr:uid="{00000000-0005-0000-0000-00003A1E0000}"/>
    <cellStyle name="Normal 4 6 6 3 5" xfId="8153" xr:uid="{00000000-0005-0000-0000-00003B1E0000}"/>
    <cellStyle name="Normal 4 6 6 4" xfId="8154" xr:uid="{00000000-0005-0000-0000-00003C1E0000}"/>
    <cellStyle name="Normal 4 6 6 4 2" xfId="8155" xr:uid="{00000000-0005-0000-0000-00003D1E0000}"/>
    <cellStyle name="Normal 4 6 6 4 3" xfId="8156" xr:uid="{00000000-0005-0000-0000-00003E1E0000}"/>
    <cellStyle name="Normal 4 6 6 5" xfId="8157" xr:uid="{00000000-0005-0000-0000-00003F1E0000}"/>
    <cellStyle name="Normal 4 6 6 6" xfId="8158" xr:uid="{00000000-0005-0000-0000-0000401E0000}"/>
    <cellStyle name="Normal 4 6 6 7" xfId="8159" xr:uid="{00000000-0005-0000-0000-0000411E0000}"/>
    <cellStyle name="Normal 4 6 7" xfId="8160" xr:uid="{00000000-0005-0000-0000-0000421E0000}"/>
    <cellStyle name="Normal 4 6 7 2" xfId="8161" xr:uid="{00000000-0005-0000-0000-0000431E0000}"/>
    <cellStyle name="Normal 4 6 7 2 2" xfId="8162" xr:uid="{00000000-0005-0000-0000-0000441E0000}"/>
    <cellStyle name="Normal 4 6 7 2 3" xfId="8163" xr:uid="{00000000-0005-0000-0000-0000451E0000}"/>
    <cellStyle name="Normal 4 6 7 3" xfId="8164" xr:uid="{00000000-0005-0000-0000-0000461E0000}"/>
    <cellStyle name="Normal 4 6 7 4" xfId="8165" xr:uid="{00000000-0005-0000-0000-0000471E0000}"/>
    <cellStyle name="Normal 4 6 7 5" xfId="8166" xr:uid="{00000000-0005-0000-0000-0000481E0000}"/>
    <cellStyle name="Normal 4 6 8" xfId="8167" xr:uid="{00000000-0005-0000-0000-0000491E0000}"/>
    <cellStyle name="Normal 4 6 8 2" xfId="8168" xr:uid="{00000000-0005-0000-0000-00004A1E0000}"/>
    <cellStyle name="Normal 4 6 8 2 2" xfId="8169" xr:uid="{00000000-0005-0000-0000-00004B1E0000}"/>
    <cellStyle name="Normal 4 6 8 2 3" xfId="8170" xr:uid="{00000000-0005-0000-0000-00004C1E0000}"/>
    <cellStyle name="Normal 4 6 8 3" xfId="8171" xr:uid="{00000000-0005-0000-0000-00004D1E0000}"/>
    <cellStyle name="Normal 4 6 8 4" xfId="8172" xr:uid="{00000000-0005-0000-0000-00004E1E0000}"/>
    <cellStyle name="Normal 4 6 8 5" xfId="8173" xr:uid="{00000000-0005-0000-0000-00004F1E0000}"/>
    <cellStyle name="Normal 4 6 9" xfId="8174" xr:uid="{00000000-0005-0000-0000-0000501E0000}"/>
    <cellStyle name="Normal 4 6 9 2" xfId="8175" xr:uid="{00000000-0005-0000-0000-0000511E0000}"/>
    <cellStyle name="Normal 4 6 9 3" xfId="8176" xr:uid="{00000000-0005-0000-0000-0000521E0000}"/>
    <cellStyle name="Normal 4 7" xfId="8177" xr:uid="{00000000-0005-0000-0000-0000531E0000}"/>
    <cellStyle name="Normal 4 7 2" xfId="8178" xr:uid="{00000000-0005-0000-0000-0000541E0000}"/>
    <cellStyle name="Normal 4 7 2 2" xfId="8179" xr:uid="{00000000-0005-0000-0000-0000551E0000}"/>
    <cellStyle name="Normal 4 7 2 2 2" xfId="8180" xr:uid="{00000000-0005-0000-0000-0000561E0000}"/>
    <cellStyle name="Normal 4 7 2 2 2 2" xfId="8181" xr:uid="{00000000-0005-0000-0000-0000571E0000}"/>
    <cellStyle name="Normal 4 7 2 2 2 2 2" xfId="8182" xr:uid="{00000000-0005-0000-0000-0000581E0000}"/>
    <cellStyle name="Normal 4 7 2 2 2 2 3" xfId="8183" xr:uid="{00000000-0005-0000-0000-0000591E0000}"/>
    <cellStyle name="Normal 4 7 2 2 2 3" xfId="8184" xr:uid="{00000000-0005-0000-0000-00005A1E0000}"/>
    <cellStyle name="Normal 4 7 2 2 2 4" xfId="8185" xr:uid="{00000000-0005-0000-0000-00005B1E0000}"/>
    <cellStyle name="Normal 4 7 2 2 2 5" xfId="8186" xr:uid="{00000000-0005-0000-0000-00005C1E0000}"/>
    <cellStyle name="Normal 4 7 2 2 3" xfId="8187" xr:uid="{00000000-0005-0000-0000-00005D1E0000}"/>
    <cellStyle name="Normal 4 7 2 2 3 2" xfId="8188" xr:uid="{00000000-0005-0000-0000-00005E1E0000}"/>
    <cellStyle name="Normal 4 7 2 2 3 2 2" xfId="8189" xr:uid="{00000000-0005-0000-0000-00005F1E0000}"/>
    <cellStyle name="Normal 4 7 2 2 3 2 3" xfId="8190" xr:uid="{00000000-0005-0000-0000-0000601E0000}"/>
    <cellStyle name="Normal 4 7 2 2 3 3" xfId="8191" xr:uid="{00000000-0005-0000-0000-0000611E0000}"/>
    <cellStyle name="Normal 4 7 2 2 3 4" xfId="8192" xr:uid="{00000000-0005-0000-0000-0000621E0000}"/>
    <cellStyle name="Normal 4 7 2 2 3 5" xfId="8193" xr:uid="{00000000-0005-0000-0000-0000631E0000}"/>
    <cellStyle name="Normal 4 7 2 2 4" xfId="8194" xr:uid="{00000000-0005-0000-0000-0000641E0000}"/>
    <cellStyle name="Normal 4 7 2 2 4 2" xfId="8195" xr:uid="{00000000-0005-0000-0000-0000651E0000}"/>
    <cellStyle name="Normal 4 7 2 2 4 3" xfId="8196" xr:uid="{00000000-0005-0000-0000-0000661E0000}"/>
    <cellStyle name="Normal 4 7 2 2 5" xfId="8197" xr:uid="{00000000-0005-0000-0000-0000671E0000}"/>
    <cellStyle name="Normal 4 7 2 2 6" xfId="8198" xr:uid="{00000000-0005-0000-0000-0000681E0000}"/>
    <cellStyle name="Normal 4 7 2 2 7" xfId="8199" xr:uid="{00000000-0005-0000-0000-0000691E0000}"/>
    <cellStyle name="Normal 4 7 2 3" xfId="8200" xr:uid="{00000000-0005-0000-0000-00006A1E0000}"/>
    <cellStyle name="Normal 4 7 2 3 2" xfId="8201" xr:uid="{00000000-0005-0000-0000-00006B1E0000}"/>
    <cellStyle name="Normal 4 7 2 3 2 2" xfId="8202" xr:uid="{00000000-0005-0000-0000-00006C1E0000}"/>
    <cellStyle name="Normal 4 7 2 3 2 3" xfId="8203" xr:uid="{00000000-0005-0000-0000-00006D1E0000}"/>
    <cellStyle name="Normal 4 7 2 3 3" xfId="8204" xr:uid="{00000000-0005-0000-0000-00006E1E0000}"/>
    <cellStyle name="Normal 4 7 2 3 4" xfId="8205" xr:uid="{00000000-0005-0000-0000-00006F1E0000}"/>
    <cellStyle name="Normal 4 7 2 3 5" xfId="8206" xr:uid="{00000000-0005-0000-0000-0000701E0000}"/>
    <cellStyle name="Normal 4 7 2 4" xfId="8207" xr:uid="{00000000-0005-0000-0000-0000711E0000}"/>
    <cellStyle name="Normal 4 7 2 4 2" xfId="8208" xr:uid="{00000000-0005-0000-0000-0000721E0000}"/>
    <cellStyle name="Normal 4 7 2 4 2 2" xfId="8209" xr:uid="{00000000-0005-0000-0000-0000731E0000}"/>
    <cellStyle name="Normal 4 7 2 4 2 3" xfId="8210" xr:uid="{00000000-0005-0000-0000-0000741E0000}"/>
    <cellStyle name="Normal 4 7 2 4 3" xfId="8211" xr:uid="{00000000-0005-0000-0000-0000751E0000}"/>
    <cellStyle name="Normal 4 7 2 4 4" xfId="8212" xr:uid="{00000000-0005-0000-0000-0000761E0000}"/>
    <cellStyle name="Normal 4 7 2 4 5" xfId="8213" xr:uid="{00000000-0005-0000-0000-0000771E0000}"/>
    <cellStyle name="Normal 4 7 2 5" xfId="8214" xr:uid="{00000000-0005-0000-0000-0000781E0000}"/>
    <cellStyle name="Normal 4 7 2 5 2" xfId="8215" xr:uid="{00000000-0005-0000-0000-0000791E0000}"/>
    <cellStyle name="Normal 4 7 2 5 3" xfId="8216" xr:uid="{00000000-0005-0000-0000-00007A1E0000}"/>
    <cellStyle name="Normal 4 7 2 6" xfId="8217" xr:uid="{00000000-0005-0000-0000-00007B1E0000}"/>
    <cellStyle name="Normal 4 7 2 7" xfId="8218" xr:uid="{00000000-0005-0000-0000-00007C1E0000}"/>
    <cellStyle name="Normal 4 7 2 8" xfId="8219" xr:uid="{00000000-0005-0000-0000-00007D1E0000}"/>
    <cellStyle name="Normal 4 7 3" xfId="8220" xr:uid="{00000000-0005-0000-0000-00007E1E0000}"/>
    <cellStyle name="Normal 4 7 3 2" xfId="8221" xr:uid="{00000000-0005-0000-0000-00007F1E0000}"/>
    <cellStyle name="Normal 4 7 3 2 2" xfId="8222" xr:uid="{00000000-0005-0000-0000-0000801E0000}"/>
    <cellStyle name="Normal 4 7 3 2 2 2" xfId="8223" xr:uid="{00000000-0005-0000-0000-0000811E0000}"/>
    <cellStyle name="Normal 4 7 3 2 2 3" xfId="8224" xr:uid="{00000000-0005-0000-0000-0000821E0000}"/>
    <cellStyle name="Normal 4 7 3 2 3" xfId="8225" xr:uid="{00000000-0005-0000-0000-0000831E0000}"/>
    <cellStyle name="Normal 4 7 3 2 4" xfId="8226" xr:uid="{00000000-0005-0000-0000-0000841E0000}"/>
    <cellStyle name="Normal 4 7 3 2 5" xfId="8227" xr:uid="{00000000-0005-0000-0000-0000851E0000}"/>
    <cellStyle name="Normal 4 7 3 3" xfId="8228" xr:uid="{00000000-0005-0000-0000-0000861E0000}"/>
    <cellStyle name="Normal 4 7 3 3 2" xfId="8229" xr:uid="{00000000-0005-0000-0000-0000871E0000}"/>
    <cellStyle name="Normal 4 7 3 3 2 2" xfId="8230" xr:uid="{00000000-0005-0000-0000-0000881E0000}"/>
    <cellStyle name="Normal 4 7 3 3 2 3" xfId="8231" xr:uid="{00000000-0005-0000-0000-0000891E0000}"/>
    <cellStyle name="Normal 4 7 3 3 3" xfId="8232" xr:uid="{00000000-0005-0000-0000-00008A1E0000}"/>
    <cellStyle name="Normal 4 7 3 3 4" xfId="8233" xr:uid="{00000000-0005-0000-0000-00008B1E0000}"/>
    <cellStyle name="Normal 4 7 3 3 5" xfId="8234" xr:uid="{00000000-0005-0000-0000-00008C1E0000}"/>
    <cellStyle name="Normal 4 7 3 4" xfId="8235" xr:uid="{00000000-0005-0000-0000-00008D1E0000}"/>
    <cellStyle name="Normal 4 7 3 4 2" xfId="8236" xr:uid="{00000000-0005-0000-0000-00008E1E0000}"/>
    <cellStyle name="Normal 4 7 3 4 3" xfId="8237" xr:uid="{00000000-0005-0000-0000-00008F1E0000}"/>
    <cellStyle name="Normal 4 7 3 5" xfId="8238" xr:uid="{00000000-0005-0000-0000-0000901E0000}"/>
    <cellStyle name="Normal 4 7 3 6" xfId="8239" xr:uid="{00000000-0005-0000-0000-0000911E0000}"/>
    <cellStyle name="Normal 4 7 3 7" xfId="8240" xr:uid="{00000000-0005-0000-0000-0000921E0000}"/>
    <cellStyle name="Normal 4 7 4" xfId="8241" xr:uid="{00000000-0005-0000-0000-0000931E0000}"/>
    <cellStyle name="Normal 4 7 4 2" xfId="8242" xr:uid="{00000000-0005-0000-0000-0000941E0000}"/>
    <cellStyle name="Normal 4 7 4 2 2" xfId="8243" xr:uid="{00000000-0005-0000-0000-0000951E0000}"/>
    <cellStyle name="Normal 4 7 4 2 3" xfId="8244" xr:uid="{00000000-0005-0000-0000-0000961E0000}"/>
    <cellStyle name="Normal 4 7 4 3" xfId="8245" xr:uid="{00000000-0005-0000-0000-0000971E0000}"/>
    <cellStyle name="Normal 4 7 4 4" xfId="8246" xr:uid="{00000000-0005-0000-0000-0000981E0000}"/>
    <cellStyle name="Normal 4 7 4 5" xfId="8247" xr:uid="{00000000-0005-0000-0000-0000991E0000}"/>
    <cellStyle name="Normal 4 7 5" xfId="8248" xr:uid="{00000000-0005-0000-0000-00009A1E0000}"/>
    <cellStyle name="Normal 4 7 5 2" xfId="8249" xr:uid="{00000000-0005-0000-0000-00009B1E0000}"/>
    <cellStyle name="Normal 4 7 5 2 2" xfId="8250" xr:uid="{00000000-0005-0000-0000-00009C1E0000}"/>
    <cellStyle name="Normal 4 7 5 2 3" xfId="8251" xr:uid="{00000000-0005-0000-0000-00009D1E0000}"/>
    <cellStyle name="Normal 4 7 5 3" xfId="8252" xr:uid="{00000000-0005-0000-0000-00009E1E0000}"/>
    <cellStyle name="Normal 4 7 5 4" xfId="8253" xr:uid="{00000000-0005-0000-0000-00009F1E0000}"/>
    <cellStyle name="Normal 4 7 5 5" xfId="8254" xr:uid="{00000000-0005-0000-0000-0000A01E0000}"/>
    <cellStyle name="Normal 4 7 6" xfId="8255" xr:uid="{00000000-0005-0000-0000-0000A11E0000}"/>
    <cellStyle name="Normal 4 7 6 2" xfId="8256" xr:uid="{00000000-0005-0000-0000-0000A21E0000}"/>
    <cellStyle name="Normal 4 7 6 3" xfId="8257" xr:uid="{00000000-0005-0000-0000-0000A31E0000}"/>
    <cellStyle name="Normal 4 7 7" xfId="8258" xr:uid="{00000000-0005-0000-0000-0000A41E0000}"/>
    <cellStyle name="Normal 4 7 8" xfId="8259" xr:uid="{00000000-0005-0000-0000-0000A51E0000}"/>
    <cellStyle name="Normal 4 7 9" xfId="8260" xr:uid="{00000000-0005-0000-0000-0000A61E0000}"/>
    <cellStyle name="Normal 4 8" xfId="8261" xr:uid="{00000000-0005-0000-0000-0000A71E0000}"/>
    <cellStyle name="Normal 4 8 2" xfId="8262" xr:uid="{00000000-0005-0000-0000-0000A81E0000}"/>
    <cellStyle name="Normal 4 8 2 2" xfId="8263" xr:uid="{00000000-0005-0000-0000-0000A91E0000}"/>
    <cellStyle name="Normal 4 8 2 2 2" xfId="8264" xr:uid="{00000000-0005-0000-0000-0000AA1E0000}"/>
    <cellStyle name="Normal 4 8 2 2 2 2" xfId="8265" xr:uid="{00000000-0005-0000-0000-0000AB1E0000}"/>
    <cellStyle name="Normal 4 8 2 2 2 2 2" xfId="8266" xr:uid="{00000000-0005-0000-0000-0000AC1E0000}"/>
    <cellStyle name="Normal 4 8 2 2 2 2 3" xfId="8267" xr:uid="{00000000-0005-0000-0000-0000AD1E0000}"/>
    <cellStyle name="Normal 4 8 2 2 2 3" xfId="8268" xr:uid="{00000000-0005-0000-0000-0000AE1E0000}"/>
    <cellStyle name="Normal 4 8 2 2 2 4" xfId="8269" xr:uid="{00000000-0005-0000-0000-0000AF1E0000}"/>
    <cellStyle name="Normal 4 8 2 2 2 5" xfId="8270" xr:uid="{00000000-0005-0000-0000-0000B01E0000}"/>
    <cellStyle name="Normal 4 8 2 2 3" xfId="8271" xr:uid="{00000000-0005-0000-0000-0000B11E0000}"/>
    <cellStyle name="Normal 4 8 2 2 3 2" xfId="8272" xr:uid="{00000000-0005-0000-0000-0000B21E0000}"/>
    <cellStyle name="Normal 4 8 2 2 3 2 2" xfId="8273" xr:uid="{00000000-0005-0000-0000-0000B31E0000}"/>
    <cellStyle name="Normal 4 8 2 2 3 2 3" xfId="8274" xr:uid="{00000000-0005-0000-0000-0000B41E0000}"/>
    <cellStyle name="Normal 4 8 2 2 3 3" xfId="8275" xr:uid="{00000000-0005-0000-0000-0000B51E0000}"/>
    <cellStyle name="Normal 4 8 2 2 3 4" xfId="8276" xr:uid="{00000000-0005-0000-0000-0000B61E0000}"/>
    <cellStyle name="Normal 4 8 2 2 3 5" xfId="8277" xr:uid="{00000000-0005-0000-0000-0000B71E0000}"/>
    <cellStyle name="Normal 4 8 2 2 4" xfId="8278" xr:uid="{00000000-0005-0000-0000-0000B81E0000}"/>
    <cellStyle name="Normal 4 8 2 2 4 2" xfId="8279" xr:uid="{00000000-0005-0000-0000-0000B91E0000}"/>
    <cellStyle name="Normal 4 8 2 2 4 3" xfId="8280" xr:uid="{00000000-0005-0000-0000-0000BA1E0000}"/>
    <cellStyle name="Normal 4 8 2 2 5" xfId="8281" xr:uid="{00000000-0005-0000-0000-0000BB1E0000}"/>
    <cellStyle name="Normal 4 8 2 2 6" xfId="8282" xr:uid="{00000000-0005-0000-0000-0000BC1E0000}"/>
    <cellStyle name="Normal 4 8 2 2 7" xfId="8283" xr:uid="{00000000-0005-0000-0000-0000BD1E0000}"/>
    <cellStyle name="Normal 4 8 2 3" xfId="8284" xr:uid="{00000000-0005-0000-0000-0000BE1E0000}"/>
    <cellStyle name="Normal 4 8 2 3 2" xfId="8285" xr:uid="{00000000-0005-0000-0000-0000BF1E0000}"/>
    <cellStyle name="Normal 4 8 2 3 2 2" xfId="8286" xr:uid="{00000000-0005-0000-0000-0000C01E0000}"/>
    <cellStyle name="Normal 4 8 2 3 2 3" xfId="8287" xr:uid="{00000000-0005-0000-0000-0000C11E0000}"/>
    <cellStyle name="Normal 4 8 2 3 3" xfId="8288" xr:uid="{00000000-0005-0000-0000-0000C21E0000}"/>
    <cellStyle name="Normal 4 8 2 3 4" xfId="8289" xr:uid="{00000000-0005-0000-0000-0000C31E0000}"/>
    <cellStyle name="Normal 4 8 2 3 5" xfId="8290" xr:uid="{00000000-0005-0000-0000-0000C41E0000}"/>
    <cellStyle name="Normal 4 8 2 4" xfId="8291" xr:uid="{00000000-0005-0000-0000-0000C51E0000}"/>
    <cellStyle name="Normal 4 8 2 4 2" xfId="8292" xr:uid="{00000000-0005-0000-0000-0000C61E0000}"/>
    <cellStyle name="Normal 4 8 2 4 2 2" xfId="8293" xr:uid="{00000000-0005-0000-0000-0000C71E0000}"/>
    <cellStyle name="Normal 4 8 2 4 2 3" xfId="8294" xr:uid="{00000000-0005-0000-0000-0000C81E0000}"/>
    <cellStyle name="Normal 4 8 2 4 3" xfId="8295" xr:uid="{00000000-0005-0000-0000-0000C91E0000}"/>
    <cellStyle name="Normal 4 8 2 4 4" xfId="8296" xr:uid="{00000000-0005-0000-0000-0000CA1E0000}"/>
    <cellStyle name="Normal 4 8 2 4 5" xfId="8297" xr:uid="{00000000-0005-0000-0000-0000CB1E0000}"/>
    <cellStyle name="Normal 4 8 2 5" xfId="8298" xr:uid="{00000000-0005-0000-0000-0000CC1E0000}"/>
    <cellStyle name="Normal 4 8 2 5 2" xfId="8299" xr:uid="{00000000-0005-0000-0000-0000CD1E0000}"/>
    <cellStyle name="Normal 4 8 2 5 3" xfId="8300" xr:uid="{00000000-0005-0000-0000-0000CE1E0000}"/>
    <cellStyle name="Normal 4 8 2 6" xfId="8301" xr:uid="{00000000-0005-0000-0000-0000CF1E0000}"/>
    <cellStyle name="Normal 4 8 2 7" xfId="8302" xr:uid="{00000000-0005-0000-0000-0000D01E0000}"/>
    <cellStyle name="Normal 4 8 2 8" xfId="8303" xr:uid="{00000000-0005-0000-0000-0000D11E0000}"/>
    <cellStyle name="Normal 4 8 3" xfId="8304" xr:uid="{00000000-0005-0000-0000-0000D21E0000}"/>
    <cellStyle name="Normal 4 8 3 2" xfId="8305" xr:uid="{00000000-0005-0000-0000-0000D31E0000}"/>
    <cellStyle name="Normal 4 8 3 2 2" xfId="8306" xr:uid="{00000000-0005-0000-0000-0000D41E0000}"/>
    <cellStyle name="Normal 4 8 3 2 2 2" xfId="8307" xr:uid="{00000000-0005-0000-0000-0000D51E0000}"/>
    <cellStyle name="Normal 4 8 3 2 2 3" xfId="8308" xr:uid="{00000000-0005-0000-0000-0000D61E0000}"/>
    <cellStyle name="Normal 4 8 3 2 3" xfId="8309" xr:uid="{00000000-0005-0000-0000-0000D71E0000}"/>
    <cellStyle name="Normal 4 8 3 2 4" xfId="8310" xr:uid="{00000000-0005-0000-0000-0000D81E0000}"/>
    <cellStyle name="Normal 4 8 3 2 5" xfId="8311" xr:uid="{00000000-0005-0000-0000-0000D91E0000}"/>
    <cellStyle name="Normal 4 8 3 3" xfId="8312" xr:uid="{00000000-0005-0000-0000-0000DA1E0000}"/>
    <cellStyle name="Normal 4 8 3 3 2" xfId="8313" xr:uid="{00000000-0005-0000-0000-0000DB1E0000}"/>
    <cellStyle name="Normal 4 8 3 3 2 2" xfId="8314" xr:uid="{00000000-0005-0000-0000-0000DC1E0000}"/>
    <cellStyle name="Normal 4 8 3 3 2 3" xfId="8315" xr:uid="{00000000-0005-0000-0000-0000DD1E0000}"/>
    <cellStyle name="Normal 4 8 3 3 3" xfId="8316" xr:uid="{00000000-0005-0000-0000-0000DE1E0000}"/>
    <cellStyle name="Normal 4 8 3 3 4" xfId="8317" xr:uid="{00000000-0005-0000-0000-0000DF1E0000}"/>
    <cellStyle name="Normal 4 8 3 3 5" xfId="8318" xr:uid="{00000000-0005-0000-0000-0000E01E0000}"/>
    <cellStyle name="Normal 4 8 3 4" xfId="8319" xr:uid="{00000000-0005-0000-0000-0000E11E0000}"/>
    <cellStyle name="Normal 4 8 3 4 2" xfId="8320" xr:uid="{00000000-0005-0000-0000-0000E21E0000}"/>
    <cellStyle name="Normal 4 8 3 4 3" xfId="8321" xr:uid="{00000000-0005-0000-0000-0000E31E0000}"/>
    <cellStyle name="Normal 4 8 3 5" xfId="8322" xr:uid="{00000000-0005-0000-0000-0000E41E0000}"/>
    <cellStyle name="Normal 4 8 3 6" xfId="8323" xr:uid="{00000000-0005-0000-0000-0000E51E0000}"/>
    <cellStyle name="Normal 4 8 3 7" xfId="8324" xr:uid="{00000000-0005-0000-0000-0000E61E0000}"/>
    <cellStyle name="Normal 4 8 4" xfId="8325" xr:uid="{00000000-0005-0000-0000-0000E71E0000}"/>
    <cellStyle name="Normal 4 8 4 2" xfId="8326" xr:uid="{00000000-0005-0000-0000-0000E81E0000}"/>
    <cellStyle name="Normal 4 8 4 2 2" xfId="8327" xr:uid="{00000000-0005-0000-0000-0000E91E0000}"/>
    <cellStyle name="Normal 4 8 4 2 3" xfId="8328" xr:uid="{00000000-0005-0000-0000-0000EA1E0000}"/>
    <cellStyle name="Normal 4 8 4 3" xfId="8329" xr:uid="{00000000-0005-0000-0000-0000EB1E0000}"/>
    <cellStyle name="Normal 4 8 4 4" xfId="8330" xr:uid="{00000000-0005-0000-0000-0000EC1E0000}"/>
    <cellStyle name="Normal 4 8 4 5" xfId="8331" xr:uid="{00000000-0005-0000-0000-0000ED1E0000}"/>
    <cellStyle name="Normal 4 8 5" xfId="8332" xr:uid="{00000000-0005-0000-0000-0000EE1E0000}"/>
    <cellStyle name="Normal 4 8 5 2" xfId="8333" xr:uid="{00000000-0005-0000-0000-0000EF1E0000}"/>
    <cellStyle name="Normal 4 8 5 2 2" xfId="8334" xr:uid="{00000000-0005-0000-0000-0000F01E0000}"/>
    <cellStyle name="Normal 4 8 5 2 3" xfId="8335" xr:uid="{00000000-0005-0000-0000-0000F11E0000}"/>
    <cellStyle name="Normal 4 8 5 3" xfId="8336" xr:uid="{00000000-0005-0000-0000-0000F21E0000}"/>
    <cellStyle name="Normal 4 8 5 4" xfId="8337" xr:uid="{00000000-0005-0000-0000-0000F31E0000}"/>
    <cellStyle name="Normal 4 8 5 5" xfId="8338" xr:uid="{00000000-0005-0000-0000-0000F41E0000}"/>
    <cellStyle name="Normal 4 8 6" xfId="8339" xr:uid="{00000000-0005-0000-0000-0000F51E0000}"/>
    <cellStyle name="Normal 4 8 6 2" xfId="8340" xr:uid="{00000000-0005-0000-0000-0000F61E0000}"/>
    <cellStyle name="Normal 4 8 6 3" xfId="8341" xr:uid="{00000000-0005-0000-0000-0000F71E0000}"/>
    <cellStyle name="Normal 4 8 7" xfId="8342" xr:uid="{00000000-0005-0000-0000-0000F81E0000}"/>
    <cellStyle name="Normal 4 8 8" xfId="8343" xr:uid="{00000000-0005-0000-0000-0000F91E0000}"/>
    <cellStyle name="Normal 4 8 9" xfId="8344" xr:uid="{00000000-0005-0000-0000-0000FA1E0000}"/>
    <cellStyle name="Normal 4 9" xfId="8345" xr:uid="{00000000-0005-0000-0000-0000FB1E0000}"/>
    <cellStyle name="Normal 4 9 2" xfId="8346" xr:uid="{00000000-0005-0000-0000-0000FC1E0000}"/>
    <cellStyle name="Normal 4 9 2 2" xfId="8347" xr:uid="{00000000-0005-0000-0000-0000FD1E0000}"/>
    <cellStyle name="Normal 4 9 2 2 2" xfId="8348" xr:uid="{00000000-0005-0000-0000-0000FE1E0000}"/>
    <cellStyle name="Normal 4 9 2 2 2 2" xfId="8349" xr:uid="{00000000-0005-0000-0000-0000FF1E0000}"/>
    <cellStyle name="Normal 4 9 2 2 2 2 2" xfId="8350" xr:uid="{00000000-0005-0000-0000-0000001F0000}"/>
    <cellStyle name="Normal 4 9 2 2 2 2 3" xfId="8351" xr:uid="{00000000-0005-0000-0000-0000011F0000}"/>
    <cellStyle name="Normal 4 9 2 2 2 3" xfId="8352" xr:uid="{00000000-0005-0000-0000-0000021F0000}"/>
    <cellStyle name="Normal 4 9 2 2 2 4" xfId="8353" xr:uid="{00000000-0005-0000-0000-0000031F0000}"/>
    <cellStyle name="Normal 4 9 2 2 2 5" xfId="8354" xr:uid="{00000000-0005-0000-0000-0000041F0000}"/>
    <cellStyle name="Normal 4 9 2 2 3" xfId="8355" xr:uid="{00000000-0005-0000-0000-0000051F0000}"/>
    <cellStyle name="Normal 4 9 2 2 3 2" xfId="8356" xr:uid="{00000000-0005-0000-0000-0000061F0000}"/>
    <cellStyle name="Normal 4 9 2 2 3 2 2" xfId="8357" xr:uid="{00000000-0005-0000-0000-0000071F0000}"/>
    <cellStyle name="Normal 4 9 2 2 3 2 3" xfId="8358" xr:uid="{00000000-0005-0000-0000-0000081F0000}"/>
    <cellStyle name="Normal 4 9 2 2 3 3" xfId="8359" xr:uid="{00000000-0005-0000-0000-0000091F0000}"/>
    <cellStyle name="Normal 4 9 2 2 3 4" xfId="8360" xr:uid="{00000000-0005-0000-0000-00000A1F0000}"/>
    <cellStyle name="Normal 4 9 2 2 3 5" xfId="8361" xr:uid="{00000000-0005-0000-0000-00000B1F0000}"/>
    <cellStyle name="Normal 4 9 2 2 4" xfId="8362" xr:uid="{00000000-0005-0000-0000-00000C1F0000}"/>
    <cellStyle name="Normal 4 9 2 2 4 2" xfId="8363" xr:uid="{00000000-0005-0000-0000-00000D1F0000}"/>
    <cellStyle name="Normal 4 9 2 2 4 3" xfId="8364" xr:uid="{00000000-0005-0000-0000-00000E1F0000}"/>
    <cellStyle name="Normal 4 9 2 2 5" xfId="8365" xr:uid="{00000000-0005-0000-0000-00000F1F0000}"/>
    <cellStyle name="Normal 4 9 2 2 6" xfId="8366" xr:uid="{00000000-0005-0000-0000-0000101F0000}"/>
    <cellStyle name="Normal 4 9 2 2 7" xfId="8367" xr:uid="{00000000-0005-0000-0000-0000111F0000}"/>
    <cellStyle name="Normal 4 9 2 3" xfId="8368" xr:uid="{00000000-0005-0000-0000-0000121F0000}"/>
    <cellStyle name="Normal 4 9 2 3 2" xfId="8369" xr:uid="{00000000-0005-0000-0000-0000131F0000}"/>
    <cellStyle name="Normal 4 9 2 3 2 2" xfId="8370" xr:uid="{00000000-0005-0000-0000-0000141F0000}"/>
    <cellStyle name="Normal 4 9 2 3 2 3" xfId="8371" xr:uid="{00000000-0005-0000-0000-0000151F0000}"/>
    <cellStyle name="Normal 4 9 2 3 3" xfId="8372" xr:uid="{00000000-0005-0000-0000-0000161F0000}"/>
    <cellStyle name="Normal 4 9 2 3 4" xfId="8373" xr:uid="{00000000-0005-0000-0000-0000171F0000}"/>
    <cellStyle name="Normal 4 9 2 3 5" xfId="8374" xr:uid="{00000000-0005-0000-0000-0000181F0000}"/>
    <cellStyle name="Normal 4 9 2 4" xfId="8375" xr:uid="{00000000-0005-0000-0000-0000191F0000}"/>
    <cellStyle name="Normal 4 9 2 4 2" xfId="8376" xr:uid="{00000000-0005-0000-0000-00001A1F0000}"/>
    <cellStyle name="Normal 4 9 2 4 2 2" xfId="8377" xr:uid="{00000000-0005-0000-0000-00001B1F0000}"/>
    <cellStyle name="Normal 4 9 2 4 2 3" xfId="8378" xr:uid="{00000000-0005-0000-0000-00001C1F0000}"/>
    <cellStyle name="Normal 4 9 2 4 3" xfId="8379" xr:uid="{00000000-0005-0000-0000-00001D1F0000}"/>
    <cellStyle name="Normal 4 9 2 4 4" xfId="8380" xr:uid="{00000000-0005-0000-0000-00001E1F0000}"/>
    <cellStyle name="Normal 4 9 2 4 5" xfId="8381" xr:uid="{00000000-0005-0000-0000-00001F1F0000}"/>
    <cellStyle name="Normal 4 9 2 5" xfId="8382" xr:uid="{00000000-0005-0000-0000-0000201F0000}"/>
    <cellStyle name="Normal 4 9 2 5 2" xfId="8383" xr:uid="{00000000-0005-0000-0000-0000211F0000}"/>
    <cellStyle name="Normal 4 9 2 5 3" xfId="8384" xr:uid="{00000000-0005-0000-0000-0000221F0000}"/>
    <cellStyle name="Normal 4 9 2 6" xfId="8385" xr:uid="{00000000-0005-0000-0000-0000231F0000}"/>
    <cellStyle name="Normal 4 9 2 7" xfId="8386" xr:uid="{00000000-0005-0000-0000-0000241F0000}"/>
    <cellStyle name="Normal 4 9 2 8" xfId="8387" xr:uid="{00000000-0005-0000-0000-0000251F0000}"/>
    <cellStyle name="Normal 4 9 3" xfId="8388" xr:uid="{00000000-0005-0000-0000-0000261F0000}"/>
    <cellStyle name="Normal 4 9 3 2" xfId="8389" xr:uid="{00000000-0005-0000-0000-0000271F0000}"/>
    <cellStyle name="Normal 4 9 3 2 2" xfId="8390" xr:uid="{00000000-0005-0000-0000-0000281F0000}"/>
    <cellStyle name="Normal 4 9 3 2 2 2" xfId="8391" xr:uid="{00000000-0005-0000-0000-0000291F0000}"/>
    <cellStyle name="Normal 4 9 3 2 2 3" xfId="8392" xr:uid="{00000000-0005-0000-0000-00002A1F0000}"/>
    <cellStyle name="Normal 4 9 3 2 3" xfId="8393" xr:uid="{00000000-0005-0000-0000-00002B1F0000}"/>
    <cellStyle name="Normal 4 9 3 2 4" xfId="8394" xr:uid="{00000000-0005-0000-0000-00002C1F0000}"/>
    <cellStyle name="Normal 4 9 3 2 5" xfId="8395" xr:uid="{00000000-0005-0000-0000-00002D1F0000}"/>
    <cellStyle name="Normal 4 9 3 3" xfId="8396" xr:uid="{00000000-0005-0000-0000-00002E1F0000}"/>
    <cellStyle name="Normal 4 9 3 3 2" xfId="8397" xr:uid="{00000000-0005-0000-0000-00002F1F0000}"/>
    <cellStyle name="Normal 4 9 3 3 2 2" xfId="8398" xr:uid="{00000000-0005-0000-0000-0000301F0000}"/>
    <cellStyle name="Normal 4 9 3 3 2 3" xfId="8399" xr:uid="{00000000-0005-0000-0000-0000311F0000}"/>
    <cellStyle name="Normal 4 9 3 3 3" xfId="8400" xr:uid="{00000000-0005-0000-0000-0000321F0000}"/>
    <cellStyle name="Normal 4 9 3 3 4" xfId="8401" xr:uid="{00000000-0005-0000-0000-0000331F0000}"/>
    <cellStyle name="Normal 4 9 3 3 5" xfId="8402" xr:uid="{00000000-0005-0000-0000-0000341F0000}"/>
    <cellStyle name="Normal 4 9 3 4" xfId="8403" xr:uid="{00000000-0005-0000-0000-0000351F0000}"/>
    <cellStyle name="Normal 4 9 3 4 2" xfId="8404" xr:uid="{00000000-0005-0000-0000-0000361F0000}"/>
    <cellStyle name="Normal 4 9 3 4 3" xfId="8405" xr:uid="{00000000-0005-0000-0000-0000371F0000}"/>
    <cellStyle name="Normal 4 9 3 5" xfId="8406" xr:uid="{00000000-0005-0000-0000-0000381F0000}"/>
    <cellStyle name="Normal 4 9 3 6" xfId="8407" xr:uid="{00000000-0005-0000-0000-0000391F0000}"/>
    <cellStyle name="Normal 4 9 3 7" xfId="8408" xr:uid="{00000000-0005-0000-0000-00003A1F0000}"/>
    <cellStyle name="Normal 4 9 4" xfId="8409" xr:uid="{00000000-0005-0000-0000-00003B1F0000}"/>
    <cellStyle name="Normal 4 9 4 2" xfId="8410" xr:uid="{00000000-0005-0000-0000-00003C1F0000}"/>
    <cellStyle name="Normal 4 9 4 2 2" xfId="8411" xr:uid="{00000000-0005-0000-0000-00003D1F0000}"/>
    <cellStyle name="Normal 4 9 4 2 3" xfId="8412" xr:uid="{00000000-0005-0000-0000-00003E1F0000}"/>
    <cellStyle name="Normal 4 9 4 3" xfId="8413" xr:uid="{00000000-0005-0000-0000-00003F1F0000}"/>
    <cellStyle name="Normal 4 9 4 4" xfId="8414" xr:uid="{00000000-0005-0000-0000-0000401F0000}"/>
    <cellStyle name="Normal 4 9 4 5" xfId="8415" xr:uid="{00000000-0005-0000-0000-0000411F0000}"/>
    <cellStyle name="Normal 4 9 5" xfId="8416" xr:uid="{00000000-0005-0000-0000-0000421F0000}"/>
    <cellStyle name="Normal 4 9 5 2" xfId="8417" xr:uid="{00000000-0005-0000-0000-0000431F0000}"/>
    <cellStyle name="Normal 4 9 5 2 2" xfId="8418" xr:uid="{00000000-0005-0000-0000-0000441F0000}"/>
    <cellStyle name="Normal 4 9 5 2 3" xfId="8419" xr:uid="{00000000-0005-0000-0000-0000451F0000}"/>
    <cellStyle name="Normal 4 9 5 3" xfId="8420" xr:uid="{00000000-0005-0000-0000-0000461F0000}"/>
    <cellStyle name="Normal 4 9 5 4" xfId="8421" xr:uid="{00000000-0005-0000-0000-0000471F0000}"/>
    <cellStyle name="Normal 4 9 5 5" xfId="8422" xr:uid="{00000000-0005-0000-0000-0000481F0000}"/>
    <cellStyle name="Normal 4 9 6" xfId="8423" xr:uid="{00000000-0005-0000-0000-0000491F0000}"/>
    <cellStyle name="Normal 4 9 6 2" xfId="8424" xr:uid="{00000000-0005-0000-0000-00004A1F0000}"/>
    <cellStyle name="Normal 4 9 6 3" xfId="8425" xr:uid="{00000000-0005-0000-0000-00004B1F0000}"/>
    <cellStyle name="Normal 4 9 7" xfId="8426" xr:uid="{00000000-0005-0000-0000-00004C1F0000}"/>
    <cellStyle name="Normal 4 9 8" xfId="8427" xr:uid="{00000000-0005-0000-0000-00004D1F0000}"/>
    <cellStyle name="Normal 4 9 9" xfId="8428" xr:uid="{00000000-0005-0000-0000-00004E1F0000}"/>
    <cellStyle name="Normal 4_Attach O, GG, Support -New Method 2-14-11" xfId="191" xr:uid="{00000000-0005-0000-0000-00004F1F0000}"/>
    <cellStyle name="Normal 5" xfId="192" xr:uid="{00000000-0005-0000-0000-0000501F0000}"/>
    <cellStyle name="Normal 5 10" xfId="8429" xr:uid="{00000000-0005-0000-0000-0000511F0000}"/>
    <cellStyle name="Normal 5 10 2" xfId="8430" xr:uid="{00000000-0005-0000-0000-0000521F0000}"/>
    <cellStyle name="Normal 5 10 2 2" xfId="8431" xr:uid="{00000000-0005-0000-0000-0000531F0000}"/>
    <cellStyle name="Normal 5 10 2 3" xfId="8432" xr:uid="{00000000-0005-0000-0000-0000541F0000}"/>
    <cellStyle name="Normal 5 10 3" xfId="8433" xr:uid="{00000000-0005-0000-0000-0000551F0000}"/>
    <cellStyle name="Normal 5 10 4" xfId="8434" xr:uid="{00000000-0005-0000-0000-0000561F0000}"/>
    <cellStyle name="Normal 5 10 5" xfId="8435" xr:uid="{00000000-0005-0000-0000-0000571F0000}"/>
    <cellStyle name="Normal 5 11" xfId="8436" xr:uid="{00000000-0005-0000-0000-0000581F0000}"/>
    <cellStyle name="Normal 5 2" xfId="602" xr:uid="{00000000-0005-0000-0000-0000591F0000}"/>
    <cellStyle name="Normal 5 2 2" xfId="8437" xr:uid="{00000000-0005-0000-0000-00005A1F0000}"/>
    <cellStyle name="Normal 5 2 2 2" xfId="8438" xr:uid="{00000000-0005-0000-0000-00005B1F0000}"/>
    <cellStyle name="Normal 5 2 2 2 2" xfId="8439" xr:uid="{00000000-0005-0000-0000-00005C1F0000}"/>
    <cellStyle name="Normal 5 2 2 2 2 2" xfId="8440" xr:uid="{00000000-0005-0000-0000-00005D1F0000}"/>
    <cellStyle name="Normal 5 2 2 2 2 2 2" xfId="8441" xr:uid="{00000000-0005-0000-0000-00005E1F0000}"/>
    <cellStyle name="Normal 5 2 2 2 2 2 2 2" xfId="8442" xr:uid="{00000000-0005-0000-0000-00005F1F0000}"/>
    <cellStyle name="Normal 5 2 2 2 2 2 2 3" xfId="8443" xr:uid="{00000000-0005-0000-0000-0000601F0000}"/>
    <cellStyle name="Normal 5 2 2 2 2 2 3" xfId="8444" xr:uid="{00000000-0005-0000-0000-0000611F0000}"/>
    <cellStyle name="Normal 5 2 2 2 2 2 4" xfId="8445" xr:uid="{00000000-0005-0000-0000-0000621F0000}"/>
    <cellStyle name="Normal 5 2 2 2 2 2 5" xfId="8446" xr:uid="{00000000-0005-0000-0000-0000631F0000}"/>
    <cellStyle name="Normal 5 2 2 2 2 3" xfId="8447" xr:uid="{00000000-0005-0000-0000-0000641F0000}"/>
    <cellStyle name="Normal 5 2 2 2 2 3 2" xfId="8448" xr:uid="{00000000-0005-0000-0000-0000651F0000}"/>
    <cellStyle name="Normal 5 2 2 2 2 3 2 2" xfId="8449" xr:uid="{00000000-0005-0000-0000-0000661F0000}"/>
    <cellStyle name="Normal 5 2 2 2 2 3 2 3" xfId="8450" xr:uid="{00000000-0005-0000-0000-0000671F0000}"/>
    <cellStyle name="Normal 5 2 2 2 2 3 3" xfId="8451" xr:uid="{00000000-0005-0000-0000-0000681F0000}"/>
    <cellStyle name="Normal 5 2 2 2 2 3 4" xfId="8452" xr:uid="{00000000-0005-0000-0000-0000691F0000}"/>
    <cellStyle name="Normal 5 2 2 2 2 3 5" xfId="8453" xr:uid="{00000000-0005-0000-0000-00006A1F0000}"/>
    <cellStyle name="Normal 5 2 2 2 2 4" xfId="8454" xr:uid="{00000000-0005-0000-0000-00006B1F0000}"/>
    <cellStyle name="Normal 5 2 2 2 2 4 2" xfId="8455" xr:uid="{00000000-0005-0000-0000-00006C1F0000}"/>
    <cellStyle name="Normal 5 2 2 2 2 4 3" xfId="8456" xr:uid="{00000000-0005-0000-0000-00006D1F0000}"/>
    <cellStyle name="Normal 5 2 2 2 2 5" xfId="8457" xr:uid="{00000000-0005-0000-0000-00006E1F0000}"/>
    <cellStyle name="Normal 5 2 2 2 2 6" xfId="8458" xr:uid="{00000000-0005-0000-0000-00006F1F0000}"/>
    <cellStyle name="Normal 5 2 2 2 2 7" xfId="8459" xr:uid="{00000000-0005-0000-0000-0000701F0000}"/>
    <cellStyle name="Normal 5 2 2 2 3" xfId="8460" xr:uid="{00000000-0005-0000-0000-0000711F0000}"/>
    <cellStyle name="Normal 5 2 2 2 3 2" xfId="8461" xr:uid="{00000000-0005-0000-0000-0000721F0000}"/>
    <cellStyle name="Normal 5 2 2 2 3 2 2" xfId="8462" xr:uid="{00000000-0005-0000-0000-0000731F0000}"/>
    <cellStyle name="Normal 5 2 2 2 3 2 3" xfId="8463" xr:uid="{00000000-0005-0000-0000-0000741F0000}"/>
    <cellStyle name="Normal 5 2 2 2 3 3" xfId="8464" xr:uid="{00000000-0005-0000-0000-0000751F0000}"/>
    <cellStyle name="Normal 5 2 2 2 3 4" xfId="8465" xr:uid="{00000000-0005-0000-0000-0000761F0000}"/>
    <cellStyle name="Normal 5 2 2 2 3 5" xfId="8466" xr:uid="{00000000-0005-0000-0000-0000771F0000}"/>
    <cellStyle name="Normal 5 2 2 2 4" xfId="8467" xr:uid="{00000000-0005-0000-0000-0000781F0000}"/>
    <cellStyle name="Normal 5 2 2 2 4 2" xfId="8468" xr:uid="{00000000-0005-0000-0000-0000791F0000}"/>
    <cellStyle name="Normal 5 2 2 2 4 2 2" xfId="8469" xr:uid="{00000000-0005-0000-0000-00007A1F0000}"/>
    <cellStyle name="Normal 5 2 2 2 4 2 3" xfId="8470" xr:uid="{00000000-0005-0000-0000-00007B1F0000}"/>
    <cellStyle name="Normal 5 2 2 2 4 3" xfId="8471" xr:uid="{00000000-0005-0000-0000-00007C1F0000}"/>
    <cellStyle name="Normal 5 2 2 2 4 4" xfId="8472" xr:uid="{00000000-0005-0000-0000-00007D1F0000}"/>
    <cellStyle name="Normal 5 2 2 2 4 5" xfId="8473" xr:uid="{00000000-0005-0000-0000-00007E1F0000}"/>
    <cellStyle name="Normal 5 2 2 2 5" xfId="8474" xr:uid="{00000000-0005-0000-0000-00007F1F0000}"/>
    <cellStyle name="Normal 5 2 2 2 5 2" xfId="8475" xr:uid="{00000000-0005-0000-0000-0000801F0000}"/>
    <cellStyle name="Normal 5 2 2 2 5 3" xfId="8476" xr:uid="{00000000-0005-0000-0000-0000811F0000}"/>
    <cellStyle name="Normal 5 2 2 2 6" xfId="8477" xr:uid="{00000000-0005-0000-0000-0000821F0000}"/>
    <cellStyle name="Normal 5 2 2 2 7" xfId="8478" xr:uid="{00000000-0005-0000-0000-0000831F0000}"/>
    <cellStyle name="Normal 5 2 2 2 8" xfId="8479" xr:uid="{00000000-0005-0000-0000-0000841F0000}"/>
    <cellStyle name="Normal 5 2 2 3" xfId="8480" xr:uid="{00000000-0005-0000-0000-0000851F0000}"/>
    <cellStyle name="Normal 5 2 2 3 2" xfId="8481" xr:uid="{00000000-0005-0000-0000-0000861F0000}"/>
    <cellStyle name="Normal 5 2 2 3 2 2" xfId="8482" xr:uid="{00000000-0005-0000-0000-0000871F0000}"/>
    <cellStyle name="Normal 5 2 2 3 2 2 2" xfId="8483" xr:uid="{00000000-0005-0000-0000-0000881F0000}"/>
    <cellStyle name="Normal 5 2 2 3 2 2 3" xfId="8484" xr:uid="{00000000-0005-0000-0000-0000891F0000}"/>
    <cellStyle name="Normal 5 2 2 3 2 3" xfId="8485" xr:uid="{00000000-0005-0000-0000-00008A1F0000}"/>
    <cellStyle name="Normal 5 2 2 3 2 4" xfId="8486" xr:uid="{00000000-0005-0000-0000-00008B1F0000}"/>
    <cellStyle name="Normal 5 2 2 3 2 5" xfId="8487" xr:uid="{00000000-0005-0000-0000-00008C1F0000}"/>
    <cellStyle name="Normal 5 2 2 3 3" xfId="8488" xr:uid="{00000000-0005-0000-0000-00008D1F0000}"/>
    <cellStyle name="Normal 5 2 2 3 3 2" xfId="8489" xr:uid="{00000000-0005-0000-0000-00008E1F0000}"/>
    <cellStyle name="Normal 5 2 2 3 3 2 2" xfId="8490" xr:uid="{00000000-0005-0000-0000-00008F1F0000}"/>
    <cellStyle name="Normal 5 2 2 3 3 2 3" xfId="8491" xr:uid="{00000000-0005-0000-0000-0000901F0000}"/>
    <cellStyle name="Normal 5 2 2 3 3 3" xfId="8492" xr:uid="{00000000-0005-0000-0000-0000911F0000}"/>
    <cellStyle name="Normal 5 2 2 3 3 4" xfId="8493" xr:uid="{00000000-0005-0000-0000-0000921F0000}"/>
    <cellStyle name="Normal 5 2 2 3 3 5" xfId="8494" xr:uid="{00000000-0005-0000-0000-0000931F0000}"/>
    <cellStyle name="Normal 5 2 2 3 4" xfId="8495" xr:uid="{00000000-0005-0000-0000-0000941F0000}"/>
    <cellStyle name="Normal 5 2 2 3 4 2" xfId="8496" xr:uid="{00000000-0005-0000-0000-0000951F0000}"/>
    <cellStyle name="Normal 5 2 2 3 4 3" xfId="8497" xr:uid="{00000000-0005-0000-0000-0000961F0000}"/>
    <cellStyle name="Normal 5 2 2 3 5" xfId="8498" xr:uid="{00000000-0005-0000-0000-0000971F0000}"/>
    <cellStyle name="Normal 5 2 2 3 6" xfId="8499" xr:uid="{00000000-0005-0000-0000-0000981F0000}"/>
    <cellStyle name="Normal 5 2 2 3 7" xfId="8500" xr:uid="{00000000-0005-0000-0000-0000991F0000}"/>
    <cellStyle name="Normal 5 2 2 4" xfId="8501" xr:uid="{00000000-0005-0000-0000-00009A1F0000}"/>
    <cellStyle name="Normal 5 2 2 4 2" xfId="8502" xr:uid="{00000000-0005-0000-0000-00009B1F0000}"/>
    <cellStyle name="Normal 5 2 2 4 2 2" xfId="8503" xr:uid="{00000000-0005-0000-0000-00009C1F0000}"/>
    <cellStyle name="Normal 5 2 2 4 2 3" xfId="8504" xr:uid="{00000000-0005-0000-0000-00009D1F0000}"/>
    <cellStyle name="Normal 5 2 2 4 3" xfId="8505" xr:uid="{00000000-0005-0000-0000-00009E1F0000}"/>
    <cellStyle name="Normal 5 2 2 4 4" xfId="8506" xr:uid="{00000000-0005-0000-0000-00009F1F0000}"/>
    <cellStyle name="Normal 5 2 2 4 5" xfId="8507" xr:uid="{00000000-0005-0000-0000-0000A01F0000}"/>
    <cellStyle name="Normal 5 2 2 5" xfId="8508" xr:uid="{00000000-0005-0000-0000-0000A11F0000}"/>
    <cellStyle name="Normal 5 2 2 5 2" xfId="8509" xr:uid="{00000000-0005-0000-0000-0000A21F0000}"/>
    <cellStyle name="Normal 5 2 2 5 2 2" xfId="8510" xr:uid="{00000000-0005-0000-0000-0000A31F0000}"/>
    <cellStyle name="Normal 5 2 2 5 2 3" xfId="8511" xr:uid="{00000000-0005-0000-0000-0000A41F0000}"/>
    <cellStyle name="Normal 5 2 2 5 3" xfId="8512" xr:uid="{00000000-0005-0000-0000-0000A51F0000}"/>
    <cellStyle name="Normal 5 2 2 5 4" xfId="8513" xr:uid="{00000000-0005-0000-0000-0000A61F0000}"/>
    <cellStyle name="Normal 5 2 2 5 5" xfId="8514" xr:uid="{00000000-0005-0000-0000-0000A71F0000}"/>
    <cellStyle name="Normal 5 2 2 6" xfId="8515" xr:uid="{00000000-0005-0000-0000-0000A81F0000}"/>
    <cellStyle name="Normal 5 2 2 6 2" xfId="8516" xr:uid="{00000000-0005-0000-0000-0000A91F0000}"/>
    <cellStyle name="Normal 5 2 2 6 3" xfId="8517" xr:uid="{00000000-0005-0000-0000-0000AA1F0000}"/>
    <cellStyle name="Normal 5 2 2 7" xfId="8518" xr:uid="{00000000-0005-0000-0000-0000AB1F0000}"/>
    <cellStyle name="Normal 5 2 2 8" xfId="8519" xr:uid="{00000000-0005-0000-0000-0000AC1F0000}"/>
    <cellStyle name="Normal 5 2 2 9" xfId="8520" xr:uid="{00000000-0005-0000-0000-0000AD1F0000}"/>
    <cellStyle name="Normal 5 2 3" xfId="8521" xr:uid="{00000000-0005-0000-0000-0000AE1F0000}"/>
    <cellStyle name="Normal 5 2 3 2" xfId="8522" xr:uid="{00000000-0005-0000-0000-0000AF1F0000}"/>
    <cellStyle name="Normal 5 2 3 2 2" xfId="8523" xr:uid="{00000000-0005-0000-0000-0000B01F0000}"/>
    <cellStyle name="Normal 5 2 3 2 2 2" xfId="8524" xr:uid="{00000000-0005-0000-0000-0000B11F0000}"/>
    <cellStyle name="Normal 5 2 3 2 2 2 2" xfId="8525" xr:uid="{00000000-0005-0000-0000-0000B21F0000}"/>
    <cellStyle name="Normal 5 2 3 2 2 2 2 2" xfId="8526" xr:uid="{00000000-0005-0000-0000-0000B31F0000}"/>
    <cellStyle name="Normal 5 2 3 2 2 2 2 3" xfId="8527" xr:uid="{00000000-0005-0000-0000-0000B41F0000}"/>
    <cellStyle name="Normal 5 2 3 2 2 2 3" xfId="8528" xr:uid="{00000000-0005-0000-0000-0000B51F0000}"/>
    <cellStyle name="Normal 5 2 3 2 2 2 4" xfId="8529" xr:uid="{00000000-0005-0000-0000-0000B61F0000}"/>
    <cellStyle name="Normal 5 2 3 2 2 2 5" xfId="8530" xr:uid="{00000000-0005-0000-0000-0000B71F0000}"/>
    <cellStyle name="Normal 5 2 3 2 2 3" xfId="8531" xr:uid="{00000000-0005-0000-0000-0000B81F0000}"/>
    <cellStyle name="Normal 5 2 3 2 2 3 2" xfId="8532" xr:uid="{00000000-0005-0000-0000-0000B91F0000}"/>
    <cellStyle name="Normal 5 2 3 2 2 3 2 2" xfId="8533" xr:uid="{00000000-0005-0000-0000-0000BA1F0000}"/>
    <cellStyle name="Normal 5 2 3 2 2 3 2 3" xfId="8534" xr:uid="{00000000-0005-0000-0000-0000BB1F0000}"/>
    <cellStyle name="Normal 5 2 3 2 2 3 3" xfId="8535" xr:uid="{00000000-0005-0000-0000-0000BC1F0000}"/>
    <cellStyle name="Normal 5 2 3 2 2 3 4" xfId="8536" xr:uid="{00000000-0005-0000-0000-0000BD1F0000}"/>
    <cellStyle name="Normal 5 2 3 2 2 3 5" xfId="8537" xr:uid="{00000000-0005-0000-0000-0000BE1F0000}"/>
    <cellStyle name="Normal 5 2 3 2 2 4" xfId="8538" xr:uid="{00000000-0005-0000-0000-0000BF1F0000}"/>
    <cellStyle name="Normal 5 2 3 2 2 4 2" xfId="8539" xr:uid="{00000000-0005-0000-0000-0000C01F0000}"/>
    <cellStyle name="Normal 5 2 3 2 2 4 3" xfId="8540" xr:uid="{00000000-0005-0000-0000-0000C11F0000}"/>
    <cellStyle name="Normal 5 2 3 2 2 5" xfId="8541" xr:uid="{00000000-0005-0000-0000-0000C21F0000}"/>
    <cellStyle name="Normal 5 2 3 2 2 6" xfId="8542" xr:uid="{00000000-0005-0000-0000-0000C31F0000}"/>
    <cellStyle name="Normal 5 2 3 2 2 7" xfId="8543" xr:uid="{00000000-0005-0000-0000-0000C41F0000}"/>
    <cellStyle name="Normal 5 2 3 2 3" xfId="8544" xr:uid="{00000000-0005-0000-0000-0000C51F0000}"/>
    <cellStyle name="Normal 5 2 3 2 3 2" xfId="8545" xr:uid="{00000000-0005-0000-0000-0000C61F0000}"/>
    <cellStyle name="Normal 5 2 3 2 3 2 2" xfId="8546" xr:uid="{00000000-0005-0000-0000-0000C71F0000}"/>
    <cellStyle name="Normal 5 2 3 2 3 2 3" xfId="8547" xr:uid="{00000000-0005-0000-0000-0000C81F0000}"/>
    <cellStyle name="Normal 5 2 3 2 3 3" xfId="8548" xr:uid="{00000000-0005-0000-0000-0000C91F0000}"/>
    <cellStyle name="Normal 5 2 3 2 3 4" xfId="8549" xr:uid="{00000000-0005-0000-0000-0000CA1F0000}"/>
    <cellStyle name="Normal 5 2 3 2 3 5" xfId="8550" xr:uid="{00000000-0005-0000-0000-0000CB1F0000}"/>
    <cellStyle name="Normal 5 2 3 2 4" xfId="8551" xr:uid="{00000000-0005-0000-0000-0000CC1F0000}"/>
    <cellStyle name="Normal 5 2 3 2 4 2" xfId="8552" xr:uid="{00000000-0005-0000-0000-0000CD1F0000}"/>
    <cellStyle name="Normal 5 2 3 2 4 2 2" xfId="8553" xr:uid="{00000000-0005-0000-0000-0000CE1F0000}"/>
    <cellStyle name="Normal 5 2 3 2 4 2 3" xfId="8554" xr:uid="{00000000-0005-0000-0000-0000CF1F0000}"/>
    <cellStyle name="Normal 5 2 3 2 4 3" xfId="8555" xr:uid="{00000000-0005-0000-0000-0000D01F0000}"/>
    <cellStyle name="Normal 5 2 3 2 4 4" xfId="8556" xr:uid="{00000000-0005-0000-0000-0000D11F0000}"/>
    <cellStyle name="Normal 5 2 3 2 4 5" xfId="8557" xr:uid="{00000000-0005-0000-0000-0000D21F0000}"/>
    <cellStyle name="Normal 5 2 3 2 5" xfId="8558" xr:uid="{00000000-0005-0000-0000-0000D31F0000}"/>
    <cellStyle name="Normal 5 2 3 2 5 2" xfId="8559" xr:uid="{00000000-0005-0000-0000-0000D41F0000}"/>
    <cellStyle name="Normal 5 2 3 2 5 3" xfId="8560" xr:uid="{00000000-0005-0000-0000-0000D51F0000}"/>
    <cellStyle name="Normal 5 2 3 2 6" xfId="8561" xr:uid="{00000000-0005-0000-0000-0000D61F0000}"/>
    <cellStyle name="Normal 5 2 3 2 7" xfId="8562" xr:uid="{00000000-0005-0000-0000-0000D71F0000}"/>
    <cellStyle name="Normal 5 2 3 2 8" xfId="8563" xr:uid="{00000000-0005-0000-0000-0000D81F0000}"/>
    <cellStyle name="Normal 5 2 3 3" xfId="8564" xr:uid="{00000000-0005-0000-0000-0000D91F0000}"/>
    <cellStyle name="Normal 5 2 3 3 2" xfId="8565" xr:uid="{00000000-0005-0000-0000-0000DA1F0000}"/>
    <cellStyle name="Normal 5 2 3 3 2 2" xfId="8566" xr:uid="{00000000-0005-0000-0000-0000DB1F0000}"/>
    <cellStyle name="Normal 5 2 3 3 2 2 2" xfId="8567" xr:uid="{00000000-0005-0000-0000-0000DC1F0000}"/>
    <cellStyle name="Normal 5 2 3 3 2 2 3" xfId="8568" xr:uid="{00000000-0005-0000-0000-0000DD1F0000}"/>
    <cellStyle name="Normal 5 2 3 3 2 3" xfId="8569" xr:uid="{00000000-0005-0000-0000-0000DE1F0000}"/>
    <cellStyle name="Normal 5 2 3 3 2 4" xfId="8570" xr:uid="{00000000-0005-0000-0000-0000DF1F0000}"/>
    <cellStyle name="Normal 5 2 3 3 2 5" xfId="8571" xr:uid="{00000000-0005-0000-0000-0000E01F0000}"/>
    <cellStyle name="Normal 5 2 3 3 3" xfId="8572" xr:uid="{00000000-0005-0000-0000-0000E11F0000}"/>
    <cellStyle name="Normal 5 2 3 3 3 2" xfId="8573" xr:uid="{00000000-0005-0000-0000-0000E21F0000}"/>
    <cellStyle name="Normal 5 2 3 3 3 2 2" xfId="8574" xr:uid="{00000000-0005-0000-0000-0000E31F0000}"/>
    <cellStyle name="Normal 5 2 3 3 3 2 3" xfId="8575" xr:uid="{00000000-0005-0000-0000-0000E41F0000}"/>
    <cellStyle name="Normal 5 2 3 3 3 3" xfId="8576" xr:uid="{00000000-0005-0000-0000-0000E51F0000}"/>
    <cellStyle name="Normal 5 2 3 3 3 4" xfId="8577" xr:uid="{00000000-0005-0000-0000-0000E61F0000}"/>
    <cellStyle name="Normal 5 2 3 3 3 5" xfId="8578" xr:uid="{00000000-0005-0000-0000-0000E71F0000}"/>
    <cellStyle name="Normal 5 2 3 3 4" xfId="8579" xr:uid="{00000000-0005-0000-0000-0000E81F0000}"/>
    <cellStyle name="Normal 5 2 3 3 4 2" xfId="8580" xr:uid="{00000000-0005-0000-0000-0000E91F0000}"/>
    <cellStyle name="Normal 5 2 3 3 4 3" xfId="8581" xr:uid="{00000000-0005-0000-0000-0000EA1F0000}"/>
    <cellStyle name="Normal 5 2 3 3 5" xfId="8582" xr:uid="{00000000-0005-0000-0000-0000EB1F0000}"/>
    <cellStyle name="Normal 5 2 3 3 6" xfId="8583" xr:uid="{00000000-0005-0000-0000-0000EC1F0000}"/>
    <cellStyle name="Normal 5 2 3 3 7" xfId="8584" xr:uid="{00000000-0005-0000-0000-0000ED1F0000}"/>
    <cellStyle name="Normal 5 2 3 4" xfId="8585" xr:uid="{00000000-0005-0000-0000-0000EE1F0000}"/>
    <cellStyle name="Normal 5 2 3 4 2" xfId="8586" xr:uid="{00000000-0005-0000-0000-0000EF1F0000}"/>
    <cellStyle name="Normal 5 2 3 4 2 2" xfId="8587" xr:uid="{00000000-0005-0000-0000-0000F01F0000}"/>
    <cellStyle name="Normal 5 2 3 4 2 3" xfId="8588" xr:uid="{00000000-0005-0000-0000-0000F11F0000}"/>
    <cellStyle name="Normal 5 2 3 4 3" xfId="8589" xr:uid="{00000000-0005-0000-0000-0000F21F0000}"/>
    <cellStyle name="Normal 5 2 3 4 4" xfId="8590" xr:uid="{00000000-0005-0000-0000-0000F31F0000}"/>
    <cellStyle name="Normal 5 2 3 4 5" xfId="8591" xr:uid="{00000000-0005-0000-0000-0000F41F0000}"/>
    <cellStyle name="Normal 5 2 3 5" xfId="8592" xr:uid="{00000000-0005-0000-0000-0000F51F0000}"/>
    <cellStyle name="Normal 5 2 3 5 2" xfId="8593" xr:uid="{00000000-0005-0000-0000-0000F61F0000}"/>
    <cellStyle name="Normal 5 2 3 5 2 2" xfId="8594" xr:uid="{00000000-0005-0000-0000-0000F71F0000}"/>
    <cellStyle name="Normal 5 2 3 5 2 3" xfId="8595" xr:uid="{00000000-0005-0000-0000-0000F81F0000}"/>
    <cellStyle name="Normal 5 2 3 5 3" xfId="8596" xr:uid="{00000000-0005-0000-0000-0000F91F0000}"/>
    <cellStyle name="Normal 5 2 3 5 4" xfId="8597" xr:uid="{00000000-0005-0000-0000-0000FA1F0000}"/>
    <cellStyle name="Normal 5 2 3 5 5" xfId="8598" xr:uid="{00000000-0005-0000-0000-0000FB1F0000}"/>
    <cellStyle name="Normal 5 2 3 6" xfId="8599" xr:uid="{00000000-0005-0000-0000-0000FC1F0000}"/>
    <cellStyle name="Normal 5 2 3 6 2" xfId="8600" xr:uid="{00000000-0005-0000-0000-0000FD1F0000}"/>
    <cellStyle name="Normal 5 2 3 6 3" xfId="8601" xr:uid="{00000000-0005-0000-0000-0000FE1F0000}"/>
    <cellStyle name="Normal 5 2 3 7" xfId="8602" xr:uid="{00000000-0005-0000-0000-0000FF1F0000}"/>
    <cellStyle name="Normal 5 2 3 8" xfId="8603" xr:uid="{00000000-0005-0000-0000-000000200000}"/>
    <cellStyle name="Normal 5 2 3 9" xfId="8604" xr:uid="{00000000-0005-0000-0000-000001200000}"/>
    <cellStyle name="Normal 5 2 4" xfId="8605" xr:uid="{00000000-0005-0000-0000-000002200000}"/>
    <cellStyle name="Normal 5 2 4 2" xfId="8606" xr:uid="{00000000-0005-0000-0000-000003200000}"/>
    <cellStyle name="Normal 5 2 4 2 2" xfId="8607" xr:uid="{00000000-0005-0000-0000-000004200000}"/>
    <cellStyle name="Normal 5 2 4 2 2 2" xfId="8608" xr:uid="{00000000-0005-0000-0000-000005200000}"/>
    <cellStyle name="Normal 5 2 4 2 2 2 2" xfId="8609" xr:uid="{00000000-0005-0000-0000-000006200000}"/>
    <cellStyle name="Normal 5 2 4 2 2 2 2 2" xfId="8610" xr:uid="{00000000-0005-0000-0000-000007200000}"/>
    <cellStyle name="Normal 5 2 4 2 2 2 2 3" xfId="8611" xr:uid="{00000000-0005-0000-0000-000008200000}"/>
    <cellStyle name="Normal 5 2 4 2 2 2 3" xfId="8612" xr:uid="{00000000-0005-0000-0000-000009200000}"/>
    <cellStyle name="Normal 5 2 4 2 2 2 4" xfId="8613" xr:uid="{00000000-0005-0000-0000-00000A200000}"/>
    <cellStyle name="Normal 5 2 4 2 2 2 5" xfId="8614" xr:uid="{00000000-0005-0000-0000-00000B200000}"/>
    <cellStyle name="Normal 5 2 4 2 2 3" xfId="8615" xr:uid="{00000000-0005-0000-0000-00000C200000}"/>
    <cellStyle name="Normal 5 2 4 2 2 3 2" xfId="8616" xr:uid="{00000000-0005-0000-0000-00000D200000}"/>
    <cellStyle name="Normal 5 2 4 2 2 3 2 2" xfId="8617" xr:uid="{00000000-0005-0000-0000-00000E200000}"/>
    <cellStyle name="Normal 5 2 4 2 2 3 2 3" xfId="8618" xr:uid="{00000000-0005-0000-0000-00000F200000}"/>
    <cellStyle name="Normal 5 2 4 2 2 3 3" xfId="8619" xr:uid="{00000000-0005-0000-0000-000010200000}"/>
    <cellStyle name="Normal 5 2 4 2 2 3 4" xfId="8620" xr:uid="{00000000-0005-0000-0000-000011200000}"/>
    <cellStyle name="Normal 5 2 4 2 2 3 5" xfId="8621" xr:uid="{00000000-0005-0000-0000-000012200000}"/>
    <cellStyle name="Normal 5 2 4 2 2 4" xfId="8622" xr:uid="{00000000-0005-0000-0000-000013200000}"/>
    <cellStyle name="Normal 5 2 4 2 2 4 2" xfId="8623" xr:uid="{00000000-0005-0000-0000-000014200000}"/>
    <cellStyle name="Normal 5 2 4 2 2 4 3" xfId="8624" xr:uid="{00000000-0005-0000-0000-000015200000}"/>
    <cellStyle name="Normal 5 2 4 2 2 5" xfId="8625" xr:uid="{00000000-0005-0000-0000-000016200000}"/>
    <cellStyle name="Normal 5 2 4 2 2 6" xfId="8626" xr:uid="{00000000-0005-0000-0000-000017200000}"/>
    <cellStyle name="Normal 5 2 4 2 2 7" xfId="8627" xr:uid="{00000000-0005-0000-0000-000018200000}"/>
    <cellStyle name="Normal 5 2 4 2 3" xfId="8628" xr:uid="{00000000-0005-0000-0000-000019200000}"/>
    <cellStyle name="Normal 5 2 4 2 3 2" xfId="8629" xr:uid="{00000000-0005-0000-0000-00001A200000}"/>
    <cellStyle name="Normal 5 2 4 2 3 2 2" xfId="8630" xr:uid="{00000000-0005-0000-0000-00001B200000}"/>
    <cellStyle name="Normal 5 2 4 2 3 2 3" xfId="8631" xr:uid="{00000000-0005-0000-0000-00001C200000}"/>
    <cellStyle name="Normal 5 2 4 2 3 3" xfId="8632" xr:uid="{00000000-0005-0000-0000-00001D200000}"/>
    <cellStyle name="Normal 5 2 4 2 3 4" xfId="8633" xr:uid="{00000000-0005-0000-0000-00001E200000}"/>
    <cellStyle name="Normal 5 2 4 2 3 5" xfId="8634" xr:uid="{00000000-0005-0000-0000-00001F200000}"/>
    <cellStyle name="Normal 5 2 4 2 4" xfId="8635" xr:uid="{00000000-0005-0000-0000-000020200000}"/>
    <cellStyle name="Normal 5 2 4 2 4 2" xfId="8636" xr:uid="{00000000-0005-0000-0000-000021200000}"/>
    <cellStyle name="Normal 5 2 4 2 4 2 2" xfId="8637" xr:uid="{00000000-0005-0000-0000-000022200000}"/>
    <cellStyle name="Normal 5 2 4 2 4 2 3" xfId="8638" xr:uid="{00000000-0005-0000-0000-000023200000}"/>
    <cellStyle name="Normal 5 2 4 2 4 3" xfId="8639" xr:uid="{00000000-0005-0000-0000-000024200000}"/>
    <cellStyle name="Normal 5 2 4 2 4 4" xfId="8640" xr:uid="{00000000-0005-0000-0000-000025200000}"/>
    <cellStyle name="Normal 5 2 4 2 4 5" xfId="8641" xr:uid="{00000000-0005-0000-0000-000026200000}"/>
    <cellStyle name="Normal 5 2 4 2 5" xfId="8642" xr:uid="{00000000-0005-0000-0000-000027200000}"/>
    <cellStyle name="Normal 5 2 4 2 5 2" xfId="8643" xr:uid="{00000000-0005-0000-0000-000028200000}"/>
    <cellStyle name="Normal 5 2 4 2 5 3" xfId="8644" xr:uid="{00000000-0005-0000-0000-000029200000}"/>
    <cellStyle name="Normal 5 2 4 2 6" xfId="8645" xr:uid="{00000000-0005-0000-0000-00002A200000}"/>
    <cellStyle name="Normal 5 2 4 2 7" xfId="8646" xr:uid="{00000000-0005-0000-0000-00002B200000}"/>
    <cellStyle name="Normal 5 2 4 2 8" xfId="8647" xr:uid="{00000000-0005-0000-0000-00002C200000}"/>
    <cellStyle name="Normal 5 2 4 3" xfId="8648" xr:uid="{00000000-0005-0000-0000-00002D200000}"/>
    <cellStyle name="Normal 5 2 4 3 2" xfId="8649" xr:uid="{00000000-0005-0000-0000-00002E200000}"/>
    <cellStyle name="Normal 5 2 4 3 2 2" xfId="8650" xr:uid="{00000000-0005-0000-0000-00002F200000}"/>
    <cellStyle name="Normal 5 2 4 3 2 2 2" xfId="8651" xr:uid="{00000000-0005-0000-0000-000030200000}"/>
    <cellStyle name="Normal 5 2 4 3 2 2 3" xfId="8652" xr:uid="{00000000-0005-0000-0000-000031200000}"/>
    <cellStyle name="Normal 5 2 4 3 2 3" xfId="8653" xr:uid="{00000000-0005-0000-0000-000032200000}"/>
    <cellStyle name="Normal 5 2 4 3 2 4" xfId="8654" xr:uid="{00000000-0005-0000-0000-000033200000}"/>
    <cellStyle name="Normal 5 2 4 3 2 5" xfId="8655" xr:uid="{00000000-0005-0000-0000-000034200000}"/>
    <cellStyle name="Normal 5 2 4 3 3" xfId="8656" xr:uid="{00000000-0005-0000-0000-000035200000}"/>
    <cellStyle name="Normal 5 2 4 3 3 2" xfId="8657" xr:uid="{00000000-0005-0000-0000-000036200000}"/>
    <cellStyle name="Normal 5 2 4 3 3 2 2" xfId="8658" xr:uid="{00000000-0005-0000-0000-000037200000}"/>
    <cellStyle name="Normal 5 2 4 3 3 2 3" xfId="8659" xr:uid="{00000000-0005-0000-0000-000038200000}"/>
    <cellStyle name="Normal 5 2 4 3 3 3" xfId="8660" xr:uid="{00000000-0005-0000-0000-000039200000}"/>
    <cellStyle name="Normal 5 2 4 3 3 4" xfId="8661" xr:uid="{00000000-0005-0000-0000-00003A200000}"/>
    <cellStyle name="Normal 5 2 4 3 3 5" xfId="8662" xr:uid="{00000000-0005-0000-0000-00003B200000}"/>
    <cellStyle name="Normal 5 2 4 3 4" xfId="8663" xr:uid="{00000000-0005-0000-0000-00003C200000}"/>
    <cellStyle name="Normal 5 2 4 3 4 2" xfId="8664" xr:uid="{00000000-0005-0000-0000-00003D200000}"/>
    <cellStyle name="Normal 5 2 4 3 4 3" xfId="8665" xr:uid="{00000000-0005-0000-0000-00003E200000}"/>
    <cellStyle name="Normal 5 2 4 3 5" xfId="8666" xr:uid="{00000000-0005-0000-0000-00003F200000}"/>
    <cellStyle name="Normal 5 2 4 3 6" xfId="8667" xr:uid="{00000000-0005-0000-0000-000040200000}"/>
    <cellStyle name="Normal 5 2 4 3 7" xfId="8668" xr:uid="{00000000-0005-0000-0000-000041200000}"/>
    <cellStyle name="Normal 5 2 4 4" xfId="8669" xr:uid="{00000000-0005-0000-0000-000042200000}"/>
    <cellStyle name="Normal 5 2 4 4 2" xfId="8670" xr:uid="{00000000-0005-0000-0000-000043200000}"/>
    <cellStyle name="Normal 5 2 4 4 2 2" xfId="8671" xr:uid="{00000000-0005-0000-0000-000044200000}"/>
    <cellStyle name="Normal 5 2 4 4 2 3" xfId="8672" xr:uid="{00000000-0005-0000-0000-000045200000}"/>
    <cellStyle name="Normal 5 2 4 4 3" xfId="8673" xr:uid="{00000000-0005-0000-0000-000046200000}"/>
    <cellStyle name="Normal 5 2 4 4 4" xfId="8674" xr:uid="{00000000-0005-0000-0000-000047200000}"/>
    <cellStyle name="Normal 5 2 4 4 5" xfId="8675" xr:uid="{00000000-0005-0000-0000-000048200000}"/>
    <cellStyle name="Normal 5 2 4 5" xfId="8676" xr:uid="{00000000-0005-0000-0000-000049200000}"/>
    <cellStyle name="Normal 5 2 4 5 2" xfId="8677" xr:uid="{00000000-0005-0000-0000-00004A200000}"/>
    <cellStyle name="Normal 5 2 4 5 2 2" xfId="8678" xr:uid="{00000000-0005-0000-0000-00004B200000}"/>
    <cellStyle name="Normal 5 2 4 5 2 3" xfId="8679" xr:uid="{00000000-0005-0000-0000-00004C200000}"/>
    <cellStyle name="Normal 5 2 4 5 3" xfId="8680" xr:uid="{00000000-0005-0000-0000-00004D200000}"/>
    <cellStyle name="Normal 5 2 4 5 4" xfId="8681" xr:uid="{00000000-0005-0000-0000-00004E200000}"/>
    <cellStyle name="Normal 5 2 4 5 5" xfId="8682" xr:uid="{00000000-0005-0000-0000-00004F200000}"/>
    <cellStyle name="Normal 5 2 4 6" xfId="8683" xr:uid="{00000000-0005-0000-0000-000050200000}"/>
    <cellStyle name="Normal 5 2 4 6 2" xfId="8684" xr:uid="{00000000-0005-0000-0000-000051200000}"/>
    <cellStyle name="Normal 5 2 4 6 3" xfId="8685" xr:uid="{00000000-0005-0000-0000-000052200000}"/>
    <cellStyle name="Normal 5 2 4 7" xfId="8686" xr:uid="{00000000-0005-0000-0000-000053200000}"/>
    <cellStyle name="Normal 5 2 4 8" xfId="8687" xr:uid="{00000000-0005-0000-0000-000054200000}"/>
    <cellStyle name="Normal 5 2 4 9" xfId="8688" xr:uid="{00000000-0005-0000-0000-000055200000}"/>
    <cellStyle name="Normal 5 2 5" xfId="8689" xr:uid="{00000000-0005-0000-0000-000056200000}"/>
    <cellStyle name="Normal 5 2 5 2" xfId="8690" xr:uid="{00000000-0005-0000-0000-000057200000}"/>
    <cellStyle name="Normal 5 2 5 2 2" xfId="8691" xr:uid="{00000000-0005-0000-0000-000058200000}"/>
    <cellStyle name="Normal 5 2 5 2 2 2" xfId="8692" xr:uid="{00000000-0005-0000-0000-000059200000}"/>
    <cellStyle name="Normal 5 2 5 2 2 2 2" xfId="8693" xr:uid="{00000000-0005-0000-0000-00005A200000}"/>
    <cellStyle name="Normal 5 2 5 2 2 2 3" xfId="8694" xr:uid="{00000000-0005-0000-0000-00005B200000}"/>
    <cellStyle name="Normal 5 2 5 2 2 3" xfId="8695" xr:uid="{00000000-0005-0000-0000-00005C200000}"/>
    <cellStyle name="Normal 5 2 5 2 2 4" xfId="8696" xr:uid="{00000000-0005-0000-0000-00005D200000}"/>
    <cellStyle name="Normal 5 2 5 2 2 5" xfId="8697" xr:uid="{00000000-0005-0000-0000-00005E200000}"/>
    <cellStyle name="Normal 5 2 5 2 3" xfId="8698" xr:uid="{00000000-0005-0000-0000-00005F200000}"/>
    <cellStyle name="Normal 5 2 5 2 3 2" xfId="8699" xr:uid="{00000000-0005-0000-0000-000060200000}"/>
    <cellStyle name="Normal 5 2 5 2 3 2 2" xfId="8700" xr:uid="{00000000-0005-0000-0000-000061200000}"/>
    <cellStyle name="Normal 5 2 5 2 3 2 3" xfId="8701" xr:uid="{00000000-0005-0000-0000-000062200000}"/>
    <cellStyle name="Normal 5 2 5 2 3 3" xfId="8702" xr:uid="{00000000-0005-0000-0000-000063200000}"/>
    <cellStyle name="Normal 5 2 5 2 3 4" xfId="8703" xr:uid="{00000000-0005-0000-0000-000064200000}"/>
    <cellStyle name="Normal 5 2 5 2 3 5" xfId="8704" xr:uid="{00000000-0005-0000-0000-000065200000}"/>
    <cellStyle name="Normal 5 2 5 2 4" xfId="8705" xr:uid="{00000000-0005-0000-0000-000066200000}"/>
    <cellStyle name="Normal 5 2 5 2 4 2" xfId="8706" xr:uid="{00000000-0005-0000-0000-000067200000}"/>
    <cellStyle name="Normal 5 2 5 2 4 3" xfId="8707" xr:uid="{00000000-0005-0000-0000-000068200000}"/>
    <cellStyle name="Normal 5 2 5 2 5" xfId="8708" xr:uid="{00000000-0005-0000-0000-000069200000}"/>
    <cellStyle name="Normal 5 2 5 2 6" xfId="8709" xr:uid="{00000000-0005-0000-0000-00006A200000}"/>
    <cellStyle name="Normal 5 2 5 2 7" xfId="8710" xr:uid="{00000000-0005-0000-0000-00006B200000}"/>
    <cellStyle name="Normal 5 2 5 3" xfId="8711" xr:uid="{00000000-0005-0000-0000-00006C200000}"/>
    <cellStyle name="Normal 5 2 5 3 2" xfId="8712" xr:uid="{00000000-0005-0000-0000-00006D200000}"/>
    <cellStyle name="Normal 5 2 5 3 2 2" xfId="8713" xr:uid="{00000000-0005-0000-0000-00006E200000}"/>
    <cellStyle name="Normal 5 2 5 3 2 3" xfId="8714" xr:uid="{00000000-0005-0000-0000-00006F200000}"/>
    <cellStyle name="Normal 5 2 5 3 3" xfId="8715" xr:uid="{00000000-0005-0000-0000-000070200000}"/>
    <cellStyle name="Normal 5 2 5 3 4" xfId="8716" xr:uid="{00000000-0005-0000-0000-000071200000}"/>
    <cellStyle name="Normal 5 2 5 3 5" xfId="8717" xr:uid="{00000000-0005-0000-0000-000072200000}"/>
    <cellStyle name="Normal 5 2 5 4" xfId="8718" xr:uid="{00000000-0005-0000-0000-000073200000}"/>
    <cellStyle name="Normal 5 2 5 4 2" xfId="8719" xr:uid="{00000000-0005-0000-0000-000074200000}"/>
    <cellStyle name="Normal 5 2 5 4 2 2" xfId="8720" xr:uid="{00000000-0005-0000-0000-000075200000}"/>
    <cellStyle name="Normal 5 2 5 4 2 3" xfId="8721" xr:uid="{00000000-0005-0000-0000-000076200000}"/>
    <cellStyle name="Normal 5 2 5 4 3" xfId="8722" xr:uid="{00000000-0005-0000-0000-000077200000}"/>
    <cellStyle name="Normal 5 2 5 4 4" xfId="8723" xr:uid="{00000000-0005-0000-0000-000078200000}"/>
    <cellStyle name="Normal 5 2 5 4 5" xfId="8724" xr:uid="{00000000-0005-0000-0000-000079200000}"/>
    <cellStyle name="Normal 5 2 5 5" xfId="8725" xr:uid="{00000000-0005-0000-0000-00007A200000}"/>
    <cellStyle name="Normal 5 2 5 5 2" xfId="8726" xr:uid="{00000000-0005-0000-0000-00007B200000}"/>
    <cellStyle name="Normal 5 2 5 5 3" xfId="8727" xr:uid="{00000000-0005-0000-0000-00007C200000}"/>
    <cellStyle name="Normal 5 2 5 6" xfId="8728" xr:uid="{00000000-0005-0000-0000-00007D200000}"/>
    <cellStyle name="Normal 5 2 5 7" xfId="8729" xr:uid="{00000000-0005-0000-0000-00007E200000}"/>
    <cellStyle name="Normal 5 2 5 8" xfId="8730" xr:uid="{00000000-0005-0000-0000-00007F200000}"/>
    <cellStyle name="Normal 5 2 6" xfId="8731" xr:uid="{00000000-0005-0000-0000-000080200000}"/>
    <cellStyle name="Normal 5 2 6 2" xfId="8732" xr:uid="{00000000-0005-0000-0000-000081200000}"/>
    <cellStyle name="Normal 5 2 6 2 2" xfId="8733" xr:uid="{00000000-0005-0000-0000-000082200000}"/>
    <cellStyle name="Normal 5 2 6 2 2 2" xfId="8734" xr:uid="{00000000-0005-0000-0000-000083200000}"/>
    <cellStyle name="Normal 5 2 6 2 2 3" xfId="8735" xr:uid="{00000000-0005-0000-0000-000084200000}"/>
    <cellStyle name="Normal 5 2 6 2 3" xfId="8736" xr:uid="{00000000-0005-0000-0000-000085200000}"/>
    <cellStyle name="Normal 5 2 6 2 4" xfId="8737" xr:uid="{00000000-0005-0000-0000-000086200000}"/>
    <cellStyle name="Normal 5 2 6 2 5" xfId="8738" xr:uid="{00000000-0005-0000-0000-000087200000}"/>
    <cellStyle name="Normal 5 2 6 3" xfId="8739" xr:uid="{00000000-0005-0000-0000-000088200000}"/>
    <cellStyle name="Normal 5 2 6 3 2" xfId="8740" xr:uid="{00000000-0005-0000-0000-000089200000}"/>
    <cellStyle name="Normal 5 2 6 3 2 2" xfId="8741" xr:uid="{00000000-0005-0000-0000-00008A200000}"/>
    <cellStyle name="Normal 5 2 6 3 2 3" xfId="8742" xr:uid="{00000000-0005-0000-0000-00008B200000}"/>
    <cellStyle name="Normal 5 2 6 3 3" xfId="8743" xr:uid="{00000000-0005-0000-0000-00008C200000}"/>
    <cellStyle name="Normal 5 2 6 3 4" xfId="8744" xr:uid="{00000000-0005-0000-0000-00008D200000}"/>
    <cellStyle name="Normal 5 2 6 3 5" xfId="8745" xr:uid="{00000000-0005-0000-0000-00008E200000}"/>
    <cellStyle name="Normal 5 2 6 4" xfId="8746" xr:uid="{00000000-0005-0000-0000-00008F200000}"/>
    <cellStyle name="Normal 5 2 6 4 2" xfId="8747" xr:uid="{00000000-0005-0000-0000-000090200000}"/>
    <cellStyle name="Normal 5 2 6 4 3" xfId="8748" xr:uid="{00000000-0005-0000-0000-000091200000}"/>
    <cellStyle name="Normal 5 2 6 5" xfId="8749" xr:uid="{00000000-0005-0000-0000-000092200000}"/>
    <cellStyle name="Normal 5 2 6 6" xfId="8750" xr:uid="{00000000-0005-0000-0000-000093200000}"/>
    <cellStyle name="Normal 5 2 6 7" xfId="8751" xr:uid="{00000000-0005-0000-0000-000094200000}"/>
    <cellStyle name="Normal 5 2 7" xfId="8752" xr:uid="{00000000-0005-0000-0000-000095200000}"/>
    <cellStyle name="Normal 5 2 7 2" xfId="8753" xr:uid="{00000000-0005-0000-0000-000096200000}"/>
    <cellStyle name="Normal 5 2 7 2 2" xfId="8754" xr:uid="{00000000-0005-0000-0000-000097200000}"/>
    <cellStyle name="Normal 5 2 7 2 2 2" xfId="8755" xr:uid="{00000000-0005-0000-0000-000098200000}"/>
    <cellStyle name="Normal 5 2 7 2 2 3" xfId="8756" xr:uid="{00000000-0005-0000-0000-000099200000}"/>
    <cellStyle name="Normal 5 2 7 2 3" xfId="8757" xr:uid="{00000000-0005-0000-0000-00009A200000}"/>
    <cellStyle name="Normal 5 2 7 2 4" xfId="8758" xr:uid="{00000000-0005-0000-0000-00009B200000}"/>
    <cellStyle name="Normal 5 2 7 2 5" xfId="8759" xr:uid="{00000000-0005-0000-0000-00009C200000}"/>
    <cellStyle name="Normal 5 2 7 3" xfId="8760" xr:uid="{00000000-0005-0000-0000-00009D200000}"/>
    <cellStyle name="Normal 5 2 7 3 2" xfId="8761" xr:uid="{00000000-0005-0000-0000-00009E200000}"/>
    <cellStyle name="Normal 5 2 7 3 2 2" xfId="8762" xr:uid="{00000000-0005-0000-0000-00009F200000}"/>
    <cellStyle name="Normal 5 2 7 3 2 3" xfId="8763" xr:uid="{00000000-0005-0000-0000-0000A0200000}"/>
    <cellStyle name="Normal 5 2 7 3 3" xfId="8764" xr:uid="{00000000-0005-0000-0000-0000A1200000}"/>
    <cellStyle name="Normal 5 2 7 3 4" xfId="8765" xr:uid="{00000000-0005-0000-0000-0000A2200000}"/>
    <cellStyle name="Normal 5 2 7 3 5" xfId="8766" xr:uid="{00000000-0005-0000-0000-0000A3200000}"/>
    <cellStyle name="Normal 5 2 7 4" xfId="8767" xr:uid="{00000000-0005-0000-0000-0000A4200000}"/>
    <cellStyle name="Normal 5 2 7 4 2" xfId="8768" xr:uid="{00000000-0005-0000-0000-0000A5200000}"/>
    <cellStyle name="Normal 5 2 7 4 3" xfId="8769" xr:uid="{00000000-0005-0000-0000-0000A6200000}"/>
    <cellStyle name="Normal 5 2 7 5" xfId="8770" xr:uid="{00000000-0005-0000-0000-0000A7200000}"/>
    <cellStyle name="Normal 5 2 7 6" xfId="8771" xr:uid="{00000000-0005-0000-0000-0000A8200000}"/>
    <cellStyle name="Normal 5 2 7 7" xfId="8772" xr:uid="{00000000-0005-0000-0000-0000A9200000}"/>
    <cellStyle name="Normal 5 2 8" xfId="8773" xr:uid="{00000000-0005-0000-0000-0000AA200000}"/>
    <cellStyle name="Normal 5 2 8 2" xfId="8774" xr:uid="{00000000-0005-0000-0000-0000AB200000}"/>
    <cellStyle name="Normal 5 2 8 2 2" xfId="8775" xr:uid="{00000000-0005-0000-0000-0000AC200000}"/>
    <cellStyle name="Normal 5 2 8 2 3" xfId="8776" xr:uid="{00000000-0005-0000-0000-0000AD200000}"/>
    <cellStyle name="Normal 5 2 8 3" xfId="8777" xr:uid="{00000000-0005-0000-0000-0000AE200000}"/>
    <cellStyle name="Normal 5 2 8 4" xfId="8778" xr:uid="{00000000-0005-0000-0000-0000AF200000}"/>
    <cellStyle name="Normal 5 2 8 5" xfId="8779" xr:uid="{00000000-0005-0000-0000-0000B0200000}"/>
    <cellStyle name="Normal 5 2 9" xfId="8780" xr:uid="{00000000-0005-0000-0000-0000B1200000}"/>
    <cellStyle name="Normal 5 2 9 2" xfId="8781" xr:uid="{00000000-0005-0000-0000-0000B2200000}"/>
    <cellStyle name="Normal 5 2 9 2 2" xfId="8782" xr:uid="{00000000-0005-0000-0000-0000B3200000}"/>
    <cellStyle name="Normal 5 2 9 2 3" xfId="8783" xr:uid="{00000000-0005-0000-0000-0000B4200000}"/>
    <cellStyle name="Normal 5 2 9 3" xfId="8784" xr:uid="{00000000-0005-0000-0000-0000B5200000}"/>
    <cellStyle name="Normal 5 2 9 4" xfId="8785" xr:uid="{00000000-0005-0000-0000-0000B6200000}"/>
    <cellStyle name="Normal 5 2 9 5" xfId="8786" xr:uid="{00000000-0005-0000-0000-0000B7200000}"/>
    <cellStyle name="Normal 5 28" xfId="8787" xr:uid="{00000000-0005-0000-0000-0000B8200000}"/>
    <cellStyle name="Normal 5 28 2" xfId="8788" xr:uid="{00000000-0005-0000-0000-0000B9200000}"/>
    <cellStyle name="Normal 5 3" xfId="8789" xr:uid="{00000000-0005-0000-0000-0000BA200000}"/>
    <cellStyle name="Normal 5 3 2" xfId="8790" xr:uid="{00000000-0005-0000-0000-0000BB200000}"/>
    <cellStyle name="Normal 5 3 2 2" xfId="8791" xr:uid="{00000000-0005-0000-0000-0000BC200000}"/>
    <cellStyle name="Normal 5 3 2 2 2" xfId="8792" xr:uid="{00000000-0005-0000-0000-0000BD200000}"/>
    <cellStyle name="Normal 5 3 2 2 2 2" xfId="8793" xr:uid="{00000000-0005-0000-0000-0000BE200000}"/>
    <cellStyle name="Normal 5 3 2 2 2 2 2" xfId="8794" xr:uid="{00000000-0005-0000-0000-0000BF200000}"/>
    <cellStyle name="Normal 5 3 2 2 2 2 3" xfId="8795" xr:uid="{00000000-0005-0000-0000-0000C0200000}"/>
    <cellStyle name="Normal 5 3 2 2 2 3" xfId="8796" xr:uid="{00000000-0005-0000-0000-0000C1200000}"/>
    <cellStyle name="Normal 5 3 2 2 2 4" xfId="8797" xr:uid="{00000000-0005-0000-0000-0000C2200000}"/>
    <cellStyle name="Normal 5 3 2 2 2 5" xfId="8798" xr:uid="{00000000-0005-0000-0000-0000C3200000}"/>
    <cellStyle name="Normal 5 3 2 2 3" xfId="8799" xr:uid="{00000000-0005-0000-0000-0000C4200000}"/>
    <cellStyle name="Normal 5 3 2 2 3 2" xfId="8800" xr:uid="{00000000-0005-0000-0000-0000C5200000}"/>
    <cellStyle name="Normal 5 3 2 2 3 2 2" xfId="8801" xr:uid="{00000000-0005-0000-0000-0000C6200000}"/>
    <cellStyle name="Normal 5 3 2 2 3 2 3" xfId="8802" xr:uid="{00000000-0005-0000-0000-0000C7200000}"/>
    <cellStyle name="Normal 5 3 2 2 3 3" xfId="8803" xr:uid="{00000000-0005-0000-0000-0000C8200000}"/>
    <cellStyle name="Normal 5 3 2 2 3 4" xfId="8804" xr:uid="{00000000-0005-0000-0000-0000C9200000}"/>
    <cellStyle name="Normal 5 3 2 2 3 5" xfId="8805" xr:uid="{00000000-0005-0000-0000-0000CA200000}"/>
    <cellStyle name="Normal 5 3 2 2 4" xfId="8806" xr:uid="{00000000-0005-0000-0000-0000CB200000}"/>
    <cellStyle name="Normal 5 3 2 2 4 2" xfId="8807" xr:uid="{00000000-0005-0000-0000-0000CC200000}"/>
    <cellStyle name="Normal 5 3 2 2 4 3" xfId="8808" xr:uid="{00000000-0005-0000-0000-0000CD200000}"/>
    <cellStyle name="Normal 5 3 2 2 5" xfId="8809" xr:uid="{00000000-0005-0000-0000-0000CE200000}"/>
    <cellStyle name="Normal 5 3 2 2 6" xfId="8810" xr:uid="{00000000-0005-0000-0000-0000CF200000}"/>
    <cellStyle name="Normal 5 3 2 2 7" xfId="8811" xr:uid="{00000000-0005-0000-0000-0000D0200000}"/>
    <cellStyle name="Normal 5 3 2 3" xfId="8812" xr:uid="{00000000-0005-0000-0000-0000D1200000}"/>
    <cellStyle name="Normal 5 3 2 3 2" xfId="8813" xr:uid="{00000000-0005-0000-0000-0000D2200000}"/>
    <cellStyle name="Normal 5 3 2 3 2 2" xfId="8814" xr:uid="{00000000-0005-0000-0000-0000D3200000}"/>
    <cellStyle name="Normal 5 3 2 3 2 3" xfId="8815" xr:uid="{00000000-0005-0000-0000-0000D4200000}"/>
    <cellStyle name="Normal 5 3 2 3 3" xfId="8816" xr:uid="{00000000-0005-0000-0000-0000D5200000}"/>
    <cellStyle name="Normal 5 3 2 3 4" xfId="8817" xr:uid="{00000000-0005-0000-0000-0000D6200000}"/>
    <cellStyle name="Normal 5 3 2 3 5" xfId="8818" xr:uid="{00000000-0005-0000-0000-0000D7200000}"/>
    <cellStyle name="Normal 5 3 2 4" xfId="8819" xr:uid="{00000000-0005-0000-0000-0000D8200000}"/>
    <cellStyle name="Normal 5 3 2 4 2" xfId="8820" xr:uid="{00000000-0005-0000-0000-0000D9200000}"/>
    <cellStyle name="Normal 5 3 2 4 2 2" xfId="8821" xr:uid="{00000000-0005-0000-0000-0000DA200000}"/>
    <cellStyle name="Normal 5 3 2 4 2 3" xfId="8822" xr:uid="{00000000-0005-0000-0000-0000DB200000}"/>
    <cellStyle name="Normal 5 3 2 4 3" xfId="8823" xr:uid="{00000000-0005-0000-0000-0000DC200000}"/>
    <cellStyle name="Normal 5 3 2 4 4" xfId="8824" xr:uid="{00000000-0005-0000-0000-0000DD200000}"/>
    <cellStyle name="Normal 5 3 2 4 5" xfId="8825" xr:uid="{00000000-0005-0000-0000-0000DE200000}"/>
    <cellStyle name="Normal 5 3 2 5" xfId="8826" xr:uid="{00000000-0005-0000-0000-0000DF200000}"/>
    <cellStyle name="Normal 5 3 2 5 2" xfId="8827" xr:uid="{00000000-0005-0000-0000-0000E0200000}"/>
    <cellStyle name="Normal 5 3 2 5 3" xfId="8828" xr:uid="{00000000-0005-0000-0000-0000E1200000}"/>
    <cellStyle name="Normal 5 3 2 6" xfId="8829" xr:uid="{00000000-0005-0000-0000-0000E2200000}"/>
    <cellStyle name="Normal 5 3 2 7" xfId="8830" xr:uid="{00000000-0005-0000-0000-0000E3200000}"/>
    <cellStyle name="Normal 5 3 2 8" xfId="8831" xr:uid="{00000000-0005-0000-0000-0000E4200000}"/>
    <cellStyle name="Normal 5 3 3" xfId="8832" xr:uid="{00000000-0005-0000-0000-0000E5200000}"/>
    <cellStyle name="Normal 5 3 3 2" xfId="8833" xr:uid="{00000000-0005-0000-0000-0000E6200000}"/>
    <cellStyle name="Normal 5 3 3 2 2" xfId="8834" xr:uid="{00000000-0005-0000-0000-0000E7200000}"/>
    <cellStyle name="Normal 5 3 3 2 2 2" xfId="8835" xr:uid="{00000000-0005-0000-0000-0000E8200000}"/>
    <cellStyle name="Normal 5 3 3 2 2 3" xfId="8836" xr:uid="{00000000-0005-0000-0000-0000E9200000}"/>
    <cellStyle name="Normal 5 3 3 2 3" xfId="8837" xr:uid="{00000000-0005-0000-0000-0000EA200000}"/>
    <cellStyle name="Normal 5 3 3 2 4" xfId="8838" xr:uid="{00000000-0005-0000-0000-0000EB200000}"/>
    <cellStyle name="Normal 5 3 3 2 5" xfId="8839" xr:uid="{00000000-0005-0000-0000-0000EC200000}"/>
    <cellStyle name="Normal 5 3 3 3" xfId="8840" xr:uid="{00000000-0005-0000-0000-0000ED200000}"/>
    <cellStyle name="Normal 5 3 3 3 2" xfId="8841" xr:uid="{00000000-0005-0000-0000-0000EE200000}"/>
    <cellStyle name="Normal 5 3 3 3 2 2" xfId="8842" xr:uid="{00000000-0005-0000-0000-0000EF200000}"/>
    <cellStyle name="Normal 5 3 3 3 2 3" xfId="8843" xr:uid="{00000000-0005-0000-0000-0000F0200000}"/>
    <cellStyle name="Normal 5 3 3 3 3" xfId="8844" xr:uid="{00000000-0005-0000-0000-0000F1200000}"/>
    <cellStyle name="Normal 5 3 3 3 4" xfId="8845" xr:uid="{00000000-0005-0000-0000-0000F2200000}"/>
    <cellStyle name="Normal 5 3 3 3 5" xfId="8846" xr:uid="{00000000-0005-0000-0000-0000F3200000}"/>
    <cellStyle name="Normal 5 3 3 4" xfId="8847" xr:uid="{00000000-0005-0000-0000-0000F4200000}"/>
    <cellStyle name="Normal 5 3 3 4 2" xfId="8848" xr:uid="{00000000-0005-0000-0000-0000F5200000}"/>
    <cellStyle name="Normal 5 3 3 4 3" xfId="8849" xr:uid="{00000000-0005-0000-0000-0000F6200000}"/>
    <cellStyle name="Normal 5 3 3 5" xfId="8850" xr:uid="{00000000-0005-0000-0000-0000F7200000}"/>
    <cellStyle name="Normal 5 3 3 6" xfId="8851" xr:uid="{00000000-0005-0000-0000-0000F8200000}"/>
    <cellStyle name="Normal 5 3 3 7" xfId="8852" xr:uid="{00000000-0005-0000-0000-0000F9200000}"/>
    <cellStyle name="Normal 5 3 4" xfId="8853" xr:uid="{00000000-0005-0000-0000-0000FA200000}"/>
    <cellStyle name="Normal 5 3 4 2" xfId="8854" xr:uid="{00000000-0005-0000-0000-0000FB200000}"/>
    <cellStyle name="Normal 5 3 4 2 2" xfId="8855" xr:uid="{00000000-0005-0000-0000-0000FC200000}"/>
    <cellStyle name="Normal 5 3 4 2 3" xfId="8856" xr:uid="{00000000-0005-0000-0000-0000FD200000}"/>
    <cellStyle name="Normal 5 3 4 3" xfId="8857" xr:uid="{00000000-0005-0000-0000-0000FE200000}"/>
    <cellStyle name="Normal 5 3 4 4" xfId="8858" xr:uid="{00000000-0005-0000-0000-0000FF200000}"/>
    <cellStyle name="Normal 5 3 4 5" xfId="8859" xr:uid="{00000000-0005-0000-0000-000000210000}"/>
    <cellStyle name="Normal 5 3 5" xfId="8860" xr:uid="{00000000-0005-0000-0000-000001210000}"/>
    <cellStyle name="Normal 5 3 5 2" xfId="8861" xr:uid="{00000000-0005-0000-0000-000002210000}"/>
    <cellStyle name="Normal 5 3 5 2 2" xfId="8862" xr:uid="{00000000-0005-0000-0000-000003210000}"/>
    <cellStyle name="Normal 5 3 5 2 3" xfId="8863" xr:uid="{00000000-0005-0000-0000-000004210000}"/>
    <cellStyle name="Normal 5 3 5 3" xfId="8864" xr:uid="{00000000-0005-0000-0000-000005210000}"/>
    <cellStyle name="Normal 5 3 5 4" xfId="8865" xr:uid="{00000000-0005-0000-0000-000006210000}"/>
    <cellStyle name="Normal 5 3 5 5" xfId="8866" xr:uid="{00000000-0005-0000-0000-000007210000}"/>
    <cellStyle name="Normal 5 3 6" xfId="8867" xr:uid="{00000000-0005-0000-0000-000008210000}"/>
    <cellStyle name="Normal 5 3 6 2" xfId="8868" xr:uid="{00000000-0005-0000-0000-000009210000}"/>
    <cellStyle name="Normal 5 3 6 3" xfId="8869" xr:uid="{00000000-0005-0000-0000-00000A210000}"/>
    <cellStyle name="Normal 5 3 7" xfId="8870" xr:uid="{00000000-0005-0000-0000-00000B210000}"/>
    <cellStyle name="Normal 5 3 8" xfId="8871" xr:uid="{00000000-0005-0000-0000-00000C210000}"/>
    <cellStyle name="Normal 5 3 9" xfId="8872" xr:uid="{00000000-0005-0000-0000-00000D210000}"/>
    <cellStyle name="Normal 5 4" xfId="8873" xr:uid="{00000000-0005-0000-0000-00000E210000}"/>
    <cellStyle name="Normal 5 4 2" xfId="8874" xr:uid="{00000000-0005-0000-0000-00000F210000}"/>
    <cellStyle name="Normal 5 4 2 2" xfId="8875" xr:uid="{00000000-0005-0000-0000-000010210000}"/>
    <cellStyle name="Normal 5 4 2 2 2" xfId="8876" xr:uid="{00000000-0005-0000-0000-000011210000}"/>
    <cellStyle name="Normal 5 4 2 2 2 2" xfId="8877" xr:uid="{00000000-0005-0000-0000-000012210000}"/>
    <cellStyle name="Normal 5 4 2 2 2 2 2" xfId="8878" xr:uid="{00000000-0005-0000-0000-000013210000}"/>
    <cellStyle name="Normal 5 4 2 2 2 2 3" xfId="8879" xr:uid="{00000000-0005-0000-0000-000014210000}"/>
    <cellStyle name="Normal 5 4 2 2 2 3" xfId="8880" xr:uid="{00000000-0005-0000-0000-000015210000}"/>
    <cellStyle name="Normal 5 4 2 2 2 4" xfId="8881" xr:uid="{00000000-0005-0000-0000-000016210000}"/>
    <cellStyle name="Normal 5 4 2 2 2 5" xfId="8882" xr:uid="{00000000-0005-0000-0000-000017210000}"/>
    <cellStyle name="Normal 5 4 2 2 3" xfId="8883" xr:uid="{00000000-0005-0000-0000-000018210000}"/>
    <cellStyle name="Normal 5 4 2 2 3 2" xfId="8884" xr:uid="{00000000-0005-0000-0000-000019210000}"/>
    <cellStyle name="Normal 5 4 2 2 3 2 2" xfId="8885" xr:uid="{00000000-0005-0000-0000-00001A210000}"/>
    <cellStyle name="Normal 5 4 2 2 3 2 3" xfId="8886" xr:uid="{00000000-0005-0000-0000-00001B210000}"/>
    <cellStyle name="Normal 5 4 2 2 3 3" xfId="8887" xr:uid="{00000000-0005-0000-0000-00001C210000}"/>
    <cellStyle name="Normal 5 4 2 2 3 4" xfId="8888" xr:uid="{00000000-0005-0000-0000-00001D210000}"/>
    <cellStyle name="Normal 5 4 2 2 3 5" xfId="8889" xr:uid="{00000000-0005-0000-0000-00001E210000}"/>
    <cellStyle name="Normal 5 4 2 2 4" xfId="8890" xr:uid="{00000000-0005-0000-0000-00001F210000}"/>
    <cellStyle name="Normal 5 4 2 2 4 2" xfId="8891" xr:uid="{00000000-0005-0000-0000-000020210000}"/>
    <cellStyle name="Normal 5 4 2 2 4 3" xfId="8892" xr:uid="{00000000-0005-0000-0000-000021210000}"/>
    <cellStyle name="Normal 5 4 2 2 5" xfId="8893" xr:uid="{00000000-0005-0000-0000-000022210000}"/>
    <cellStyle name="Normal 5 4 2 2 6" xfId="8894" xr:uid="{00000000-0005-0000-0000-000023210000}"/>
    <cellStyle name="Normal 5 4 2 2 7" xfId="8895" xr:uid="{00000000-0005-0000-0000-000024210000}"/>
    <cellStyle name="Normal 5 4 2 3" xfId="8896" xr:uid="{00000000-0005-0000-0000-000025210000}"/>
    <cellStyle name="Normal 5 4 2 3 2" xfId="8897" xr:uid="{00000000-0005-0000-0000-000026210000}"/>
    <cellStyle name="Normal 5 4 2 3 2 2" xfId="8898" xr:uid="{00000000-0005-0000-0000-000027210000}"/>
    <cellStyle name="Normal 5 4 2 3 2 3" xfId="8899" xr:uid="{00000000-0005-0000-0000-000028210000}"/>
    <cellStyle name="Normal 5 4 2 3 3" xfId="8900" xr:uid="{00000000-0005-0000-0000-000029210000}"/>
    <cellStyle name="Normal 5 4 2 3 4" xfId="8901" xr:uid="{00000000-0005-0000-0000-00002A210000}"/>
    <cellStyle name="Normal 5 4 2 3 5" xfId="8902" xr:uid="{00000000-0005-0000-0000-00002B210000}"/>
    <cellStyle name="Normal 5 4 2 4" xfId="8903" xr:uid="{00000000-0005-0000-0000-00002C210000}"/>
    <cellStyle name="Normal 5 4 2 4 2" xfId="8904" xr:uid="{00000000-0005-0000-0000-00002D210000}"/>
    <cellStyle name="Normal 5 4 2 4 2 2" xfId="8905" xr:uid="{00000000-0005-0000-0000-00002E210000}"/>
    <cellStyle name="Normal 5 4 2 4 2 3" xfId="8906" xr:uid="{00000000-0005-0000-0000-00002F210000}"/>
    <cellStyle name="Normal 5 4 2 4 3" xfId="8907" xr:uid="{00000000-0005-0000-0000-000030210000}"/>
    <cellStyle name="Normal 5 4 2 4 4" xfId="8908" xr:uid="{00000000-0005-0000-0000-000031210000}"/>
    <cellStyle name="Normal 5 4 2 4 5" xfId="8909" xr:uid="{00000000-0005-0000-0000-000032210000}"/>
    <cellStyle name="Normal 5 4 2 5" xfId="8910" xr:uid="{00000000-0005-0000-0000-000033210000}"/>
    <cellStyle name="Normal 5 4 2 5 2" xfId="8911" xr:uid="{00000000-0005-0000-0000-000034210000}"/>
    <cellStyle name="Normal 5 4 2 5 3" xfId="8912" xr:uid="{00000000-0005-0000-0000-000035210000}"/>
    <cellStyle name="Normal 5 4 2 6" xfId="8913" xr:uid="{00000000-0005-0000-0000-000036210000}"/>
    <cellStyle name="Normal 5 4 2 7" xfId="8914" xr:uid="{00000000-0005-0000-0000-000037210000}"/>
    <cellStyle name="Normal 5 4 2 8" xfId="8915" xr:uid="{00000000-0005-0000-0000-000038210000}"/>
    <cellStyle name="Normal 5 4 3" xfId="8916" xr:uid="{00000000-0005-0000-0000-000039210000}"/>
    <cellStyle name="Normal 5 4 3 2" xfId="8917" xr:uid="{00000000-0005-0000-0000-00003A210000}"/>
    <cellStyle name="Normal 5 4 3 2 2" xfId="8918" xr:uid="{00000000-0005-0000-0000-00003B210000}"/>
    <cellStyle name="Normal 5 4 3 2 2 2" xfId="8919" xr:uid="{00000000-0005-0000-0000-00003C210000}"/>
    <cellStyle name="Normal 5 4 3 2 2 3" xfId="8920" xr:uid="{00000000-0005-0000-0000-00003D210000}"/>
    <cellStyle name="Normal 5 4 3 2 3" xfId="8921" xr:uid="{00000000-0005-0000-0000-00003E210000}"/>
    <cellStyle name="Normal 5 4 3 2 4" xfId="8922" xr:uid="{00000000-0005-0000-0000-00003F210000}"/>
    <cellStyle name="Normal 5 4 3 2 5" xfId="8923" xr:uid="{00000000-0005-0000-0000-000040210000}"/>
    <cellStyle name="Normal 5 4 3 3" xfId="8924" xr:uid="{00000000-0005-0000-0000-000041210000}"/>
    <cellStyle name="Normal 5 4 3 3 2" xfId="8925" xr:uid="{00000000-0005-0000-0000-000042210000}"/>
    <cellStyle name="Normal 5 4 3 3 2 2" xfId="8926" xr:uid="{00000000-0005-0000-0000-000043210000}"/>
    <cellStyle name="Normal 5 4 3 3 2 3" xfId="8927" xr:uid="{00000000-0005-0000-0000-000044210000}"/>
    <cellStyle name="Normal 5 4 3 3 3" xfId="8928" xr:uid="{00000000-0005-0000-0000-000045210000}"/>
    <cellStyle name="Normal 5 4 3 3 4" xfId="8929" xr:uid="{00000000-0005-0000-0000-000046210000}"/>
    <cellStyle name="Normal 5 4 3 3 5" xfId="8930" xr:uid="{00000000-0005-0000-0000-000047210000}"/>
    <cellStyle name="Normal 5 4 3 4" xfId="8931" xr:uid="{00000000-0005-0000-0000-000048210000}"/>
    <cellStyle name="Normal 5 4 3 4 2" xfId="8932" xr:uid="{00000000-0005-0000-0000-000049210000}"/>
    <cellStyle name="Normal 5 4 3 4 3" xfId="8933" xr:uid="{00000000-0005-0000-0000-00004A210000}"/>
    <cellStyle name="Normal 5 4 3 5" xfId="8934" xr:uid="{00000000-0005-0000-0000-00004B210000}"/>
    <cellStyle name="Normal 5 4 3 6" xfId="8935" xr:uid="{00000000-0005-0000-0000-00004C210000}"/>
    <cellStyle name="Normal 5 4 3 7" xfId="8936" xr:uid="{00000000-0005-0000-0000-00004D210000}"/>
    <cellStyle name="Normal 5 4 4" xfId="8937" xr:uid="{00000000-0005-0000-0000-00004E210000}"/>
    <cellStyle name="Normal 5 4 4 2" xfId="8938" xr:uid="{00000000-0005-0000-0000-00004F210000}"/>
    <cellStyle name="Normal 5 4 4 2 2" xfId="8939" xr:uid="{00000000-0005-0000-0000-000050210000}"/>
    <cellStyle name="Normal 5 4 4 2 3" xfId="8940" xr:uid="{00000000-0005-0000-0000-000051210000}"/>
    <cellStyle name="Normal 5 4 4 3" xfId="8941" xr:uid="{00000000-0005-0000-0000-000052210000}"/>
    <cellStyle name="Normal 5 4 4 4" xfId="8942" xr:uid="{00000000-0005-0000-0000-000053210000}"/>
    <cellStyle name="Normal 5 4 4 5" xfId="8943" xr:uid="{00000000-0005-0000-0000-000054210000}"/>
    <cellStyle name="Normal 5 4 5" xfId="8944" xr:uid="{00000000-0005-0000-0000-000055210000}"/>
    <cellStyle name="Normal 5 4 5 2" xfId="8945" xr:uid="{00000000-0005-0000-0000-000056210000}"/>
    <cellStyle name="Normal 5 4 5 2 2" xfId="8946" xr:uid="{00000000-0005-0000-0000-000057210000}"/>
    <cellStyle name="Normal 5 4 5 2 3" xfId="8947" xr:uid="{00000000-0005-0000-0000-000058210000}"/>
    <cellStyle name="Normal 5 4 5 3" xfId="8948" xr:uid="{00000000-0005-0000-0000-000059210000}"/>
    <cellStyle name="Normal 5 4 5 4" xfId="8949" xr:uid="{00000000-0005-0000-0000-00005A210000}"/>
    <cellStyle name="Normal 5 4 5 5" xfId="8950" xr:uid="{00000000-0005-0000-0000-00005B210000}"/>
    <cellStyle name="Normal 5 4 6" xfId="8951" xr:uid="{00000000-0005-0000-0000-00005C210000}"/>
    <cellStyle name="Normal 5 4 6 2" xfId="8952" xr:uid="{00000000-0005-0000-0000-00005D210000}"/>
    <cellStyle name="Normal 5 4 6 3" xfId="8953" xr:uid="{00000000-0005-0000-0000-00005E210000}"/>
    <cellStyle name="Normal 5 4 7" xfId="8954" xr:uid="{00000000-0005-0000-0000-00005F210000}"/>
    <cellStyle name="Normal 5 4 8" xfId="8955" xr:uid="{00000000-0005-0000-0000-000060210000}"/>
    <cellStyle name="Normal 5 4 9" xfId="8956" xr:uid="{00000000-0005-0000-0000-000061210000}"/>
    <cellStyle name="Normal 5 5" xfId="8957" xr:uid="{00000000-0005-0000-0000-000062210000}"/>
    <cellStyle name="Normal 5 5 2" xfId="8958" xr:uid="{00000000-0005-0000-0000-000063210000}"/>
    <cellStyle name="Normal 5 5 2 2" xfId="8959" xr:uid="{00000000-0005-0000-0000-000064210000}"/>
    <cellStyle name="Normal 5 5 2 2 2" xfId="8960" xr:uid="{00000000-0005-0000-0000-000065210000}"/>
    <cellStyle name="Normal 5 5 2 2 2 2" xfId="8961" xr:uid="{00000000-0005-0000-0000-000066210000}"/>
    <cellStyle name="Normal 5 5 2 2 2 2 2" xfId="8962" xr:uid="{00000000-0005-0000-0000-000067210000}"/>
    <cellStyle name="Normal 5 5 2 2 2 2 3" xfId="8963" xr:uid="{00000000-0005-0000-0000-000068210000}"/>
    <cellStyle name="Normal 5 5 2 2 2 3" xfId="8964" xr:uid="{00000000-0005-0000-0000-000069210000}"/>
    <cellStyle name="Normal 5 5 2 2 2 4" xfId="8965" xr:uid="{00000000-0005-0000-0000-00006A210000}"/>
    <cellStyle name="Normal 5 5 2 2 2 5" xfId="8966" xr:uid="{00000000-0005-0000-0000-00006B210000}"/>
    <cellStyle name="Normal 5 5 2 2 3" xfId="8967" xr:uid="{00000000-0005-0000-0000-00006C210000}"/>
    <cellStyle name="Normal 5 5 2 2 3 2" xfId="8968" xr:uid="{00000000-0005-0000-0000-00006D210000}"/>
    <cellStyle name="Normal 5 5 2 2 3 2 2" xfId="8969" xr:uid="{00000000-0005-0000-0000-00006E210000}"/>
    <cellStyle name="Normal 5 5 2 2 3 2 3" xfId="8970" xr:uid="{00000000-0005-0000-0000-00006F210000}"/>
    <cellStyle name="Normal 5 5 2 2 3 3" xfId="8971" xr:uid="{00000000-0005-0000-0000-000070210000}"/>
    <cellStyle name="Normal 5 5 2 2 3 4" xfId="8972" xr:uid="{00000000-0005-0000-0000-000071210000}"/>
    <cellStyle name="Normal 5 5 2 2 3 5" xfId="8973" xr:uid="{00000000-0005-0000-0000-000072210000}"/>
    <cellStyle name="Normal 5 5 2 2 4" xfId="8974" xr:uid="{00000000-0005-0000-0000-000073210000}"/>
    <cellStyle name="Normal 5 5 2 2 4 2" xfId="8975" xr:uid="{00000000-0005-0000-0000-000074210000}"/>
    <cellStyle name="Normal 5 5 2 2 4 3" xfId="8976" xr:uid="{00000000-0005-0000-0000-000075210000}"/>
    <cellStyle name="Normal 5 5 2 2 5" xfId="8977" xr:uid="{00000000-0005-0000-0000-000076210000}"/>
    <cellStyle name="Normal 5 5 2 2 6" xfId="8978" xr:uid="{00000000-0005-0000-0000-000077210000}"/>
    <cellStyle name="Normal 5 5 2 2 7" xfId="8979" xr:uid="{00000000-0005-0000-0000-000078210000}"/>
    <cellStyle name="Normal 5 5 2 3" xfId="8980" xr:uid="{00000000-0005-0000-0000-000079210000}"/>
    <cellStyle name="Normal 5 5 2 3 2" xfId="8981" xr:uid="{00000000-0005-0000-0000-00007A210000}"/>
    <cellStyle name="Normal 5 5 2 3 2 2" xfId="8982" xr:uid="{00000000-0005-0000-0000-00007B210000}"/>
    <cellStyle name="Normal 5 5 2 3 2 3" xfId="8983" xr:uid="{00000000-0005-0000-0000-00007C210000}"/>
    <cellStyle name="Normal 5 5 2 3 3" xfId="8984" xr:uid="{00000000-0005-0000-0000-00007D210000}"/>
    <cellStyle name="Normal 5 5 2 3 4" xfId="8985" xr:uid="{00000000-0005-0000-0000-00007E210000}"/>
    <cellStyle name="Normal 5 5 2 3 5" xfId="8986" xr:uid="{00000000-0005-0000-0000-00007F210000}"/>
    <cellStyle name="Normal 5 5 2 4" xfId="8987" xr:uid="{00000000-0005-0000-0000-000080210000}"/>
    <cellStyle name="Normal 5 5 2 4 2" xfId="8988" xr:uid="{00000000-0005-0000-0000-000081210000}"/>
    <cellStyle name="Normal 5 5 2 4 2 2" xfId="8989" xr:uid="{00000000-0005-0000-0000-000082210000}"/>
    <cellStyle name="Normal 5 5 2 4 2 3" xfId="8990" xr:uid="{00000000-0005-0000-0000-000083210000}"/>
    <cellStyle name="Normal 5 5 2 4 3" xfId="8991" xr:uid="{00000000-0005-0000-0000-000084210000}"/>
    <cellStyle name="Normal 5 5 2 4 4" xfId="8992" xr:uid="{00000000-0005-0000-0000-000085210000}"/>
    <cellStyle name="Normal 5 5 2 4 5" xfId="8993" xr:uid="{00000000-0005-0000-0000-000086210000}"/>
    <cellStyle name="Normal 5 5 2 5" xfId="8994" xr:uid="{00000000-0005-0000-0000-000087210000}"/>
    <cellStyle name="Normal 5 5 2 5 2" xfId="8995" xr:uid="{00000000-0005-0000-0000-000088210000}"/>
    <cellStyle name="Normal 5 5 2 5 3" xfId="8996" xr:uid="{00000000-0005-0000-0000-000089210000}"/>
    <cellStyle name="Normal 5 5 2 6" xfId="8997" xr:uid="{00000000-0005-0000-0000-00008A210000}"/>
    <cellStyle name="Normal 5 5 2 7" xfId="8998" xr:uid="{00000000-0005-0000-0000-00008B210000}"/>
    <cellStyle name="Normal 5 5 2 8" xfId="8999" xr:uid="{00000000-0005-0000-0000-00008C210000}"/>
    <cellStyle name="Normal 5 5 3" xfId="9000" xr:uid="{00000000-0005-0000-0000-00008D210000}"/>
    <cellStyle name="Normal 5 5 3 2" xfId="9001" xr:uid="{00000000-0005-0000-0000-00008E210000}"/>
    <cellStyle name="Normal 5 5 3 2 2" xfId="9002" xr:uid="{00000000-0005-0000-0000-00008F210000}"/>
    <cellStyle name="Normal 5 5 3 2 2 2" xfId="9003" xr:uid="{00000000-0005-0000-0000-000090210000}"/>
    <cellStyle name="Normal 5 5 3 2 2 3" xfId="9004" xr:uid="{00000000-0005-0000-0000-000091210000}"/>
    <cellStyle name="Normal 5 5 3 2 3" xfId="9005" xr:uid="{00000000-0005-0000-0000-000092210000}"/>
    <cellStyle name="Normal 5 5 3 2 4" xfId="9006" xr:uid="{00000000-0005-0000-0000-000093210000}"/>
    <cellStyle name="Normal 5 5 3 2 5" xfId="9007" xr:uid="{00000000-0005-0000-0000-000094210000}"/>
    <cellStyle name="Normal 5 5 3 3" xfId="9008" xr:uid="{00000000-0005-0000-0000-000095210000}"/>
    <cellStyle name="Normal 5 5 3 3 2" xfId="9009" xr:uid="{00000000-0005-0000-0000-000096210000}"/>
    <cellStyle name="Normal 5 5 3 3 2 2" xfId="9010" xr:uid="{00000000-0005-0000-0000-000097210000}"/>
    <cellStyle name="Normal 5 5 3 3 2 3" xfId="9011" xr:uid="{00000000-0005-0000-0000-000098210000}"/>
    <cellStyle name="Normal 5 5 3 3 3" xfId="9012" xr:uid="{00000000-0005-0000-0000-000099210000}"/>
    <cellStyle name="Normal 5 5 3 3 4" xfId="9013" xr:uid="{00000000-0005-0000-0000-00009A210000}"/>
    <cellStyle name="Normal 5 5 3 3 5" xfId="9014" xr:uid="{00000000-0005-0000-0000-00009B210000}"/>
    <cellStyle name="Normal 5 5 3 4" xfId="9015" xr:uid="{00000000-0005-0000-0000-00009C210000}"/>
    <cellStyle name="Normal 5 5 3 4 2" xfId="9016" xr:uid="{00000000-0005-0000-0000-00009D210000}"/>
    <cellStyle name="Normal 5 5 3 4 3" xfId="9017" xr:uid="{00000000-0005-0000-0000-00009E210000}"/>
    <cellStyle name="Normal 5 5 3 5" xfId="9018" xr:uid="{00000000-0005-0000-0000-00009F210000}"/>
    <cellStyle name="Normal 5 5 3 6" xfId="9019" xr:uid="{00000000-0005-0000-0000-0000A0210000}"/>
    <cellStyle name="Normal 5 5 3 7" xfId="9020" xr:uid="{00000000-0005-0000-0000-0000A1210000}"/>
    <cellStyle name="Normal 5 5 4" xfId="9021" xr:uid="{00000000-0005-0000-0000-0000A2210000}"/>
    <cellStyle name="Normal 5 5 4 2" xfId="9022" xr:uid="{00000000-0005-0000-0000-0000A3210000}"/>
    <cellStyle name="Normal 5 5 4 2 2" xfId="9023" xr:uid="{00000000-0005-0000-0000-0000A4210000}"/>
    <cellStyle name="Normal 5 5 4 2 3" xfId="9024" xr:uid="{00000000-0005-0000-0000-0000A5210000}"/>
    <cellStyle name="Normal 5 5 4 3" xfId="9025" xr:uid="{00000000-0005-0000-0000-0000A6210000}"/>
    <cellStyle name="Normal 5 5 4 4" xfId="9026" xr:uid="{00000000-0005-0000-0000-0000A7210000}"/>
    <cellStyle name="Normal 5 5 4 5" xfId="9027" xr:uid="{00000000-0005-0000-0000-0000A8210000}"/>
    <cellStyle name="Normal 5 5 5" xfId="9028" xr:uid="{00000000-0005-0000-0000-0000A9210000}"/>
    <cellStyle name="Normal 5 5 5 2" xfId="9029" xr:uid="{00000000-0005-0000-0000-0000AA210000}"/>
    <cellStyle name="Normal 5 5 5 2 2" xfId="9030" xr:uid="{00000000-0005-0000-0000-0000AB210000}"/>
    <cellStyle name="Normal 5 5 5 2 3" xfId="9031" xr:uid="{00000000-0005-0000-0000-0000AC210000}"/>
    <cellStyle name="Normal 5 5 5 3" xfId="9032" xr:uid="{00000000-0005-0000-0000-0000AD210000}"/>
    <cellStyle name="Normal 5 5 5 4" xfId="9033" xr:uid="{00000000-0005-0000-0000-0000AE210000}"/>
    <cellStyle name="Normal 5 5 5 5" xfId="9034" xr:uid="{00000000-0005-0000-0000-0000AF210000}"/>
    <cellStyle name="Normal 5 5 6" xfId="9035" xr:uid="{00000000-0005-0000-0000-0000B0210000}"/>
    <cellStyle name="Normal 5 5 6 2" xfId="9036" xr:uid="{00000000-0005-0000-0000-0000B1210000}"/>
    <cellStyle name="Normal 5 5 6 3" xfId="9037" xr:uid="{00000000-0005-0000-0000-0000B2210000}"/>
    <cellStyle name="Normal 5 5 7" xfId="9038" xr:uid="{00000000-0005-0000-0000-0000B3210000}"/>
    <cellStyle name="Normal 5 5 8" xfId="9039" xr:uid="{00000000-0005-0000-0000-0000B4210000}"/>
    <cellStyle name="Normal 5 5 9" xfId="9040" xr:uid="{00000000-0005-0000-0000-0000B5210000}"/>
    <cellStyle name="Normal 5 6" xfId="9041" xr:uid="{00000000-0005-0000-0000-0000B6210000}"/>
    <cellStyle name="Normal 5 6 2" xfId="9042" xr:uid="{00000000-0005-0000-0000-0000B7210000}"/>
    <cellStyle name="Normal 5 6 2 2" xfId="9043" xr:uid="{00000000-0005-0000-0000-0000B8210000}"/>
    <cellStyle name="Normal 5 6 2 2 2" xfId="9044" xr:uid="{00000000-0005-0000-0000-0000B9210000}"/>
    <cellStyle name="Normal 5 6 2 2 2 2" xfId="9045" xr:uid="{00000000-0005-0000-0000-0000BA210000}"/>
    <cellStyle name="Normal 5 6 2 2 2 3" xfId="9046" xr:uid="{00000000-0005-0000-0000-0000BB210000}"/>
    <cellStyle name="Normal 5 6 2 2 3" xfId="9047" xr:uid="{00000000-0005-0000-0000-0000BC210000}"/>
    <cellStyle name="Normal 5 6 2 2 4" xfId="9048" xr:uid="{00000000-0005-0000-0000-0000BD210000}"/>
    <cellStyle name="Normal 5 6 2 2 5" xfId="9049" xr:uid="{00000000-0005-0000-0000-0000BE210000}"/>
    <cellStyle name="Normal 5 6 2 3" xfId="9050" xr:uid="{00000000-0005-0000-0000-0000BF210000}"/>
    <cellStyle name="Normal 5 6 2 3 2" xfId="9051" xr:uid="{00000000-0005-0000-0000-0000C0210000}"/>
    <cellStyle name="Normal 5 6 2 3 2 2" xfId="9052" xr:uid="{00000000-0005-0000-0000-0000C1210000}"/>
    <cellStyle name="Normal 5 6 2 3 2 3" xfId="9053" xr:uid="{00000000-0005-0000-0000-0000C2210000}"/>
    <cellStyle name="Normal 5 6 2 3 3" xfId="9054" xr:uid="{00000000-0005-0000-0000-0000C3210000}"/>
    <cellStyle name="Normal 5 6 2 3 4" xfId="9055" xr:uid="{00000000-0005-0000-0000-0000C4210000}"/>
    <cellStyle name="Normal 5 6 2 3 5" xfId="9056" xr:uid="{00000000-0005-0000-0000-0000C5210000}"/>
    <cellStyle name="Normal 5 6 2 4" xfId="9057" xr:uid="{00000000-0005-0000-0000-0000C6210000}"/>
    <cellStyle name="Normal 5 6 2 4 2" xfId="9058" xr:uid="{00000000-0005-0000-0000-0000C7210000}"/>
    <cellStyle name="Normal 5 6 2 4 3" xfId="9059" xr:uid="{00000000-0005-0000-0000-0000C8210000}"/>
    <cellStyle name="Normal 5 6 2 5" xfId="9060" xr:uid="{00000000-0005-0000-0000-0000C9210000}"/>
    <cellStyle name="Normal 5 6 2 6" xfId="9061" xr:uid="{00000000-0005-0000-0000-0000CA210000}"/>
    <cellStyle name="Normal 5 6 2 7" xfId="9062" xr:uid="{00000000-0005-0000-0000-0000CB210000}"/>
    <cellStyle name="Normal 5 6 3" xfId="9063" xr:uid="{00000000-0005-0000-0000-0000CC210000}"/>
    <cellStyle name="Normal 5 6 3 2" xfId="9064" xr:uid="{00000000-0005-0000-0000-0000CD210000}"/>
    <cellStyle name="Normal 5 6 3 2 2" xfId="9065" xr:uid="{00000000-0005-0000-0000-0000CE210000}"/>
    <cellStyle name="Normal 5 6 3 2 3" xfId="9066" xr:uid="{00000000-0005-0000-0000-0000CF210000}"/>
    <cellStyle name="Normal 5 6 3 3" xfId="9067" xr:uid="{00000000-0005-0000-0000-0000D0210000}"/>
    <cellStyle name="Normal 5 6 3 4" xfId="9068" xr:uid="{00000000-0005-0000-0000-0000D1210000}"/>
    <cellStyle name="Normal 5 6 3 5" xfId="9069" xr:uid="{00000000-0005-0000-0000-0000D2210000}"/>
    <cellStyle name="Normal 5 6 4" xfId="9070" xr:uid="{00000000-0005-0000-0000-0000D3210000}"/>
    <cellStyle name="Normal 5 6 4 2" xfId="9071" xr:uid="{00000000-0005-0000-0000-0000D4210000}"/>
    <cellStyle name="Normal 5 6 4 2 2" xfId="9072" xr:uid="{00000000-0005-0000-0000-0000D5210000}"/>
    <cellStyle name="Normal 5 6 4 2 3" xfId="9073" xr:uid="{00000000-0005-0000-0000-0000D6210000}"/>
    <cellStyle name="Normal 5 6 4 3" xfId="9074" xr:uid="{00000000-0005-0000-0000-0000D7210000}"/>
    <cellStyle name="Normal 5 6 4 4" xfId="9075" xr:uid="{00000000-0005-0000-0000-0000D8210000}"/>
    <cellStyle name="Normal 5 6 4 5" xfId="9076" xr:uid="{00000000-0005-0000-0000-0000D9210000}"/>
    <cellStyle name="Normal 5 6 5" xfId="9077" xr:uid="{00000000-0005-0000-0000-0000DA210000}"/>
    <cellStyle name="Normal 5 6 5 2" xfId="9078" xr:uid="{00000000-0005-0000-0000-0000DB210000}"/>
    <cellStyle name="Normal 5 6 5 3" xfId="9079" xr:uid="{00000000-0005-0000-0000-0000DC210000}"/>
    <cellStyle name="Normal 5 6 6" xfId="9080" xr:uid="{00000000-0005-0000-0000-0000DD210000}"/>
    <cellStyle name="Normal 5 6 7" xfId="9081" xr:uid="{00000000-0005-0000-0000-0000DE210000}"/>
    <cellStyle name="Normal 5 6 8" xfId="9082" xr:uid="{00000000-0005-0000-0000-0000DF210000}"/>
    <cellStyle name="Normal 5 7" xfId="9083" xr:uid="{00000000-0005-0000-0000-0000E0210000}"/>
    <cellStyle name="Normal 5 7 2" xfId="9084" xr:uid="{00000000-0005-0000-0000-0000E1210000}"/>
    <cellStyle name="Normal 5 7 2 2" xfId="9085" xr:uid="{00000000-0005-0000-0000-0000E2210000}"/>
    <cellStyle name="Normal 5 7 2 2 2" xfId="9086" xr:uid="{00000000-0005-0000-0000-0000E3210000}"/>
    <cellStyle name="Normal 5 7 2 2 3" xfId="9087" xr:uid="{00000000-0005-0000-0000-0000E4210000}"/>
    <cellStyle name="Normal 5 7 2 3" xfId="9088" xr:uid="{00000000-0005-0000-0000-0000E5210000}"/>
    <cellStyle name="Normal 5 7 2 4" xfId="9089" xr:uid="{00000000-0005-0000-0000-0000E6210000}"/>
    <cellStyle name="Normal 5 7 2 5" xfId="9090" xr:uid="{00000000-0005-0000-0000-0000E7210000}"/>
    <cellStyle name="Normal 5 7 3" xfId="9091" xr:uid="{00000000-0005-0000-0000-0000E8210000}"/>
    <cellStyle name="Normal 5 7 3 2" xfId="9092" xr:uid="{00000000-0005-0000-0000-0000E9210000}"/>
    <cellStyle name="Normal 5 7 3 2 2" xfId="9093" xr:uid="{00000000-0005-0000-0000-0000EA210000}"/>
    <cellStyle name="Normal 5 7 3 2 3" xfId="9094" xr:uid="{00000000-0005-0000-0000-0000EB210000}"/>
    <cellStyle name="Normal 5 7 3 3" xfId="9095" xr:uid="{00000000-0005-0000-0000-0000EC210000}"/>
    <cellStyle name="Normal 5 7 3 4" xfId="9096" xr:uid="{00000000-0005-0000-0000-0000ED210000}"/>
    <cellStyle name="Normal 5 7 3 5" xfId="9097" xr:uid="{00000000-0005-0000-0000-0000EE210000}"/>
    <cellStyle name="Normal 5 8" xfId="9098" xr:uid="{00000000-0005-0000-0000-0000EF210000}"/>
    <cellStyle name="Normal 5 8 2" xfId="9099" xr:uid="{00000000-0005-0000-0000-0000F0210000}"/>
    <cellStyle name="Normal 5 8 2 2" xfId="9100" xr:uid="{00000000-0005-0000-0000-0000F1210000}"/>
    <cellStyle name="Normal 5 8 2 2 2" xfId="9101" xr:uid="{00000000-0005-0000-0000-0000F2210000}"/>
    <cellStyle name="Normal 5 8 2 2 3" xfId="9102" xr:uid="{00000000-0005-0000-0000-0000F3210000}"/>
    <cellStyle name="Normal 5 8 2 3" xfId="9103" xr:uid="{00000000-0005-0000-0000-0000F4210000}"/>
    <cellStyle name="Normal 5 8 2 4" xfId="9104" xr:uid="{00000000-0005-0000-0000-0000F5210000}"/>
    <cellStyle name="Normal 5 8 2 5" xfId="9105" xr:uid="{00000000-0005-0000-0000-0000F6210000}"/>
    <cellStyle name="Normal 5 8 3" xfId="9106" xr:uid="{00000000-0005-0000-0000-0000F7210000}"/>
    <cellStyle name="Normal 5 8 3 2" xfId="9107" xr:uid="{00000000-0005-0000-0000-0000F8210000}"/>
    <cellStyle name="Normal 5 8 3 2 2" xfId="9108" xr:uid="{00000000-0005-0000-0000-0000F9210000}"/>
    <cellStyle name="Normal 5 8 3 2 3" xfId="9109" xr:uid="{00000000-0005-0000-0000-0000FA210000}"/>
    <cellStyle name="Normal 5 8 3 3" xfId="9110" xr:uid="{00000000-0005-0000-0000-0000FB210000}"/>
    <cellStyle name="Normal 5 8 3 4" xfId="9111" xr:uid="{00000000-0005-0000-0000-0000FC210000}"/>
    <cellStyle name="Normal 5 8 3 5" xfId="9112" xr:uid="{00000000-0005-0000-0000-0000FD210000}"/>
    <cellStyle name="Normal 5 8 4" xfId="9113" xr:uid="{00000000-0005-0000-0000-0000FE210000}"/>
    <cellStyle name="Normal 5 8 4 2" xfId="9114" xr:uid="{00000000-0005-0000-0000-0000FF210000}"/>
    <cellStyle name="Normal 5 8 4 3" xfId="9115" xr:uid="{00000000-0005-0000-0000-000000220000}"/>
    <cellStyle name="Normal 5 8 5" xfId="9116" xr:uid="{00000000-0005-0000-0000-000001220000}"/>
    <cellStyle name="Normal 5 8 6" xfId="9117" xr:uid="{00000000-0005-0000-0000-000002220000}"/>
    <cellStyle name="Normal 5 8 7" xfId="9118" xr:uid="{00000000-0005-0000-0000-000003220000}"/>
    <cellStyle name="Normal 5 9" xfId="9119" xr:uid="{00000000-0005-0000-0000-000004220000}"/>
    <cellStyle name="Normal 5 9 2" xfId="9120" xr:uid="{00000000-0005-0000-0000-000005220000}"/>
    <cellStyle name="Normal 5 9 2 2" xfId="9121" xr:uid="{00000000-0005-0000-0000-000006220000}"/>
    <cellStyle name="Normal 5 9 2 3" xfId="9122" xr:uid="{00000000-0005-0000-0000-000007220000}"/>
    <cellStyle name="Normal 5 9 3" xfId="9123" xr:uid="{00000000-0005-0000-0000-000008220000}"/>
    <cellStyle name="Normal 5 9 4" xfId="9124" xr:uid="{00000000-0005-0000-0000-000009220000}"/>
    <cellStyle name="Normal 5 9 5" xfId="9125" xr:uid="{00000000-0005-0000-0000-00000A220000}"/>
    <cellStyle name="Normal 53" xfId="9126" xr:uid="{00000000-0005-0000-0000-00000B220000}"/>
    <cellStyle name="Normal 53 2" xfId="9127" xr:uid="{00000000-0005-0000-0000-00000C220000}"/>
    <cellStyle name="Normal 6" xfId="193" xr:uid="{00000000-0005-0000-0000-00000D220000}"/>
    <cellStyle name="Normal 6 10" xfId="773" xr:uid="{00000000-0005-0000-0000-00000E220000}"/>
    <cellStyle name="Normal 6 10 2" xfId="989" xr:uid="{00000000-0005-0000-0000-00000F220000}"/>
    <cellStyle name="Normal 6 10 2 2" xfId="9746" xr:uid="{00000000-0005-0000-0000-000010220000}"/>
    <cellStyle name="Normal 6 10 3" xfId="9530" xr:uid="{00000000-0005-0000-0000-000011220000}"/>
    <cellStyle name="Normal 6 11" xfId="845" xr:uid="{00000000-0005-0000-0000-000012220000}"/>
    <cellStyle name="Normal 6 11 2" xfId="9602" xr:uid="{00000000-0005-0000-0000-000013220000}"/>
    <cellStyle name="Normal 6 12" xfId="9384" xr:uid="{00000000-0005-0000-0000-000014220000}"/>
    <cellStyle name="Normal 6 2" xfId="194" xr:uid="{00000000-0005-0000-0000-000015220000}"/>
    <cellStyle name="Normal 6 2 10" xfId="9385" xr:uid="{00000000-0005-0000-0000-000016220000}"/>
    <cellStyle name="Normal 6 2 2" xfId="195" xr:uid="{00000000-0005-0000-0000-000017220000}"/>
    <cellStyle name="Normal 6 2 2 2" xfId="196" xr:uid="{00000000-0005-0000-0000-000018220000}"/>
    <cellStyle name="Normal 6 2 2 2 2" xfId="371" xr:uid="{00000000-0005-0000-0000-000019220000}"/>
    <cellStyle name="Normal 6 2 2 2 2 2" xfId="705" xr:uid="{00000000-0005-0000-0000-00001A220000}"/>
    <cellStyle name="Normal 6 2 2 2 2 2 2" xfId="933" xr:uid="{00000000-0005-0000-0000-00001B220000}"/>
    <cellStyle name="Normal 6 2 2 2 2 2 2 2" xfId="9690" xr:uid="{00000000-0005-0000-0000-00001C220000}"/>
    <cellStyle name="Normal 6 2 2 2 2 2 3" xfId="9474" xr:uid="{00000000-0005-0000-0000-00001D220000}"/>
    <cellStyle name="Normal 6 2 2 2 2 3" xfId="789" xr:uid="{00000000-0005-0000-0000-00001E220000}"/>
    <cellStyle name="Normal 6 2 2 2 2 3 2" xfId="1005" xr:uid="{00000000-0005-0000-0000-00001F220000}"/>
    <cellStyle name="Normal 6 2 2 2 2 3 2 2" xfId="9762" xr:uid="{00000000-0005-0000-0000-000020220000}"/>
    <cellStyle name="Normal 6 2 2 2 2 3 3" xfId="9546" xr:uid="{00000000-0005-0000-0000-000021220000}"/>
    <cellStyle name="Normal 6 2 2 2 2 4" xfId="861" xr:uid="{00000000-0005-0000-0000-000022220000}"/>
    <cellStyle name="Normal 6 2 2 2 2 4 2" xfId="9618" xr:uid="{00000000-0005-0000-0000-000023220000}"/>
    <cellStyle name="Normal 6 2 2 2 2 5" xfId="9402" xr:uid="{00000000-0005-0000-0000-000024220000}"/>
    <cellStyle name="Normal 6 2 2 2 3" xfId="413" xr:uid="{00000000-0005-0000-0000-000025220000}"/>
    <cellStyle name="Normal 6 2 2 2 3 2" xfId="718" xr:uid="{00000000-0005-0000-0000-000026220000}"/>
    <cellStyle name="Normal 6 2 2 2 3 2 2" xfId="946" xr:uid="{00000000-0005-0000-0000-000027220000}"/>
    <cellStyle name="Normal 6 2 2 2 3 2 2 2" xfId="9703" xr:uid="{00000000-0005-0000-0000-000028220000}"/>
    <cellStyle name="Normal 6 2 2 2 3 2 3" xfId="9487" xr:uid="{00000000-0005-0000-0000-000029220000}"/>
    <cellStyle name="Normal 6 2 2 2 3 3" xfId="802" xr:uid="{00000000-0005-0000-0000-00002A220000}"/>
    <cellStyle name="Normal 6 2 2 2 3 3 2" xfId="1018" xr:uid="{00000000-0005-0000-0000-00002B220000}"/>
    <cellStyle name="Normal 6 2 2 2 3 3 2 2" xfId="9775" xr:uid="{00000000-0005-0000-0000-00002C220000}"/>
    <cellStyle name="Normal 6 2 2 2 3 3 3" xfId="9559" xr:uid="{00000000-0005-0000-0000-00002D220000}"/>
    <cellStyle name="Normal 6 2 2 2 3 4" xfId="874" xr:uid="{00000000-0005-0000-0000-00002E220000}"/>
    <cellStyle name="Normal 6 2 2 2 3 4 2" xfId="9631" xr:uid="{00000000-0005-0000-0000-00002F220000}"/>
    <cellStyle name="Normal 6 2 2 2 3 5" xfId="9415" xr:uid="{00000000-0005-0000-0000-000030220000}"/>
    <cellStyle name="Normal 6 2 2 2 4" xfId="652" xr:uid="{00000000-0005-0000-0000-000031220000}"/>
    <cellStyle name="Normal 6 2 2 2 4 2" xfId="757" xr:uid="{00000000-0005-0000-0000-000032220000}"/>
    <cellStyle name="Normal 6 2 2 2 4 2 2" xfId="973" xr:uid="{00000000-0005-0000-0000-000033220000}"/>
    <cellStyle name="Normal 6 2 2 2 4 2 2 2" xfId="9730" xr:uid="{00000000-0005-0000-0000-000034220000}"/>
    <cellStyle name="Normal 6 2 2 2 4 2 3" xfId="9514" xr:uid="{00000000-0005-0000-0000-000035220000}"/>
    <cellStyle name="Normal 6 2 2 2 4 3" xfId="829" xr:uid="{00000000-0005-0000-0000-000036220000}"/>
    <cellStyle name="Normal 6 2 2 2 4 3 2" xfId="1045" xr:uid="{00000000-0005-0000-0000-000037220000}"/>
    <cellStyle name="Normal 6 2 2 2 4 3 2 2" xfId="9802" xr:uid="{00000000-0005-0000-0000-000038220000}"/>
    <cellStyle name="Normal 6 2 2 2 4 3 3" xfId="9586" xr:uid="{00000000-0005-0000-0000-000039220000}"/>
    <cellStyle name="Normal 6 2 2 2 4 4" xfId="901" xr:uid="{00000000-0005-0000-0000-00003A220000}"/>
    <cellStyle name="Normal 6 2 2 2 4 4 2" xfId="9658" xr:uid="{00000000-0005-0000-0000-00003B220000}"/>
    <cellStyle name="Normal 6 2 2 2 4 5" xfId="9442" xr:uid="{00000000-0005-0000-0000-00003C220000}"/>
    <cellStyle name="Normal 6 2 2 2 5" xfId="691" xr:uid="{00000000-0005-0000-0000-00003D220000}"/>
    <cellStyle name="Normal 6 2 2 2 5 2" xfId="920" xr:uid="{00000000-0005-0000-0000-00003E220000}"/>
    <cellStyle name="Normal 6 2 2 2 5 2 2" xfId="9677" xr:uid="{00000000-0005-0000-0000-00003F220000}"/>
    <cellStyle name="Normal 6 2 2 2 5 3" xfId="9461" xr:uid="{00000000-0005-0000-0000-000040220000}"/>
    <cellStyle name="Normal 6 2 2 2 6" xfId="776" xr:uid="{00000000-0005-0000-0000-000041220000}"/>
    <cellStyle name="Normal 6 2 2 2 6 2" xfId="992" xr:uid="{00000000-0005-0000-0000-000042220000}"/>
    <cellStyle name="Normal 6 2 2 2 6 2 2" xfId="9749" xr:uid="{00000000-0005-0000-0000-000043220000}"/>
    <cellStyle name="Normal 6 2 2 2 6 3" xfId="9533" xr:uid="{00000000-0005-0000-0000-000044220000}"/>
    <cellStyle name="Normal 6 2 2 2 7" xfId="848" xr:uid="{00000000-0005-0000-0000-000045220000}"/>
    <cellStyle name="Normal 6 2 2 2 7 2" xfId="9605" xr:uid="{00000000-0005-0000-0000-000046220000}"/>
    <cellStyle name="Normal 6 2 2 2 8" xfId="9387" xr:uid="{00000000-0005-0000-0000-000047220000}"/>
    <cellStyle name="Normal 6 2 2 3" xfId="370" xr:uid="{00000000-0005-0000-0000-000048220000}"/>
    <cellStyle name="Normal 6 2 2 3 2" xfId="704" xr:uid="{00000000-0005-0000-0000-000049220000}"/>
    <cellStyle name="Normal 6 2 2 3 2 2" xfId="932" xr:uid="{00000000-0005-0000-0000-00004A220000}"/>
    <cellStyle name="Normal 6 2 2 3 2 2 2" xfId="9689" xr:uid="{00000000-0005-0000-0000-00004B220000}"/>
    <cellStyle name="Normal 6 2 2 3 2 3" xfId="9473" xr:uid="{00000000-0005-0000-0000-00004C220000}"/>
    <cellStyle name="Normal 6 2 2 3 3" xfId="788" xr:uid="{00000000-0005-0000-0000-00004D220000}"/>
    <cellStyle name="Normal 6 2 2 3 3 2" xfId="1004" xr:uid="{00000000-0005-0000-0000-00004E220000}"/>
    <cellStyle name="Normal 6 2 2 3 3 2 2" xfId="9761" xr:uid="{00000000-0005-0000-0000-00004F220000}"/>
    <cellStyle name="Normal 6 2 2 3 3 3" xfId="9545" xr:uid="{00000000-0005-0000-0000-000050220000}"/>
    <cellStyle name="Normal 6 2 2 3 4" xfId="860" xr:uid="{00000000-0005-0000-0000-000051220000}"/>
    <cellStyle name="Normal 6 2 2 3 4 2" xfId="9617" xr:uid="{00000000-0005-0000-0000-000052220000}"/>
    <cellStyle name="Normal 6 2 2 3 5" xfId="9401" xr:uid="{00000000-0005-0000-0000-000053220000}"/>
    <cellStyle name="Normal 6 2 2 4" xfId="412" xr:uid="{00000000-0005-0000-0000-000054220000}"/>
    <cellStyle name="Normal 6 2 2 4 2" xfId="717" xr:uid="{00000000-0005-0000-0000-000055220000}"/>
    <cellStyle name="Normal 6 2 2 4 2 2" xfId="945" xr:uid="{00000000-0005-0000-0000-000056220000}"/>
    <cellStyle name="Normal 6 2 2 4 2 2 2" xfId="9702" xr:uid="{00000000-0005-0000-0000-000057220000}"/>
    <cellStyle name="Normal 6 2 2 4 2 3" xfId="9486" xr:uid="{00000000-0005-0000-0000-000058220000}"/>
    <cellStyle name="Normal 6 2 2 4 3" xfId="801" xr:uid="{00000000-0005-0000-0000-000059220000}"/>
    <cellStyle name="Normal 6 2 2 4 3 2" xfId="1017" xr:uid="{00000000-0005-0000-0000-00005A220000}"/>
    <cellStyle name="Normal 6 2 2 4 3 2 2" xfId="9774" xr:uid="{00000000-0005-0000-0000-00005B220000}"/>
    <cellStyle name="Normal 6 2 2 4 3 3" xfId="9558" xr:uid="{00000000-0005-0000-0000-00005C220000}"/>
    <cellStyle name="Normal 6 2 2 4 4" xfId="873" xr:uid="{00000000-0005-0000-0000-00005D220000}"/>
    <cellStyle name="Normal 6 2 2 4 4 2" xfId="9630" xr:uid="{00000000-0005-0000-0000-00005E220000}"/>
    <cellStyle name="Normal 6 2 2 4 5" xfId="9414" xr:uid="{00000000-0005-0000-0000-00005F220000}"/>
    <cellStyle name="Normal 6 2 2 5" xfId="651" xr:uid="{00000000-0005-0000-0000-000060220000}"/>
    <cellStyle name="Normal 6 2 2 5 2" xfId="756" xr:uid="{00000000-0005-0000-0000-000061220000}"/>
    <cellStyle name="Normal 6 2 2 5 2 2" xfId="972" xr:uid="{00000000-0005-0000-0000-000062220000}"/>
    <cellStyle name="Normal 6 2 2 5 2 2 2" xfId="9729" xr:uid="{00000000-0005-0000-0000-000063220000}"/>
    <cellStyle name="Normal 6 2 2 5 2 3" xfId="9513" xr:uid="{00000000-0005-0000-0000-000064220000}"/>
    <cellStyle name="Normal 6 2 2 5 3" xfId="828" xr:uid="{00000000-0005-0000-0000-000065220000}"/>
    <cellStyle name="Normal 6 2 2 5 3 2" xfId="1044" xr:uid="{00000000-0005-0000-0000-000066220000}"/>
    <cellStyle name="Normal 6 2 2 5 3 2 2" xfId="9801" xr:uid="{00000000-0005-0000-0000-000067220000}"/>
    <cellStyle name="Normal 6 2 2 5 3 3" xfId="9585" xr:uid="{00000000-0005-0000-0000-000068220000}"/>
    <cellStyle name="Normal 6 2 2 5 4" xfId="900" xr:uid="{00000000-0005-0000-0000-000069220000}"/>
    <cellStyle name="Normal 6 2 2 5 4 2" xfId="9657" xr:uid="{00000000-0005-0000-0000-00006A220000}"/>
    <cellStyle name="Normal 6 2 2 5 5" xfId="9441" xr:uid="{00000000-0005-0000-0000-00006B220000}"/>
    <cellStyle name="Normal 6 2 2 6" xfId="690" xr:uid="{00000000-0005-0000-0000-00006C220000}"/>
    <cellStyle name="Normal 6 2 2 6 2" xfId="919" xr:uid="{00000000-0005-0000-0000-00006D220000}"/>
    <cellStyle name="Normal 6 2 2 6 2 2" xfId="9676" xr:uid="{00000000-0005-0000-0000-00006E220000}"/>
    <cellStyle name="Normal 6 2 2 6 3" xfId="9460" xr:uid="{00000000-0005-0000-0000-00006F220000}"/>
    <cellStyle name="Normal 6 2 2 7" xfId="775" xr:uid="{00000000-0005-0000-0000-000070220000}"/>
    <cellStyle name="Normal 6 2 2 7 2" xfId="991" xr:uid="{00000000-0005-0000-0000-000071220000}"/>
    <cellStyle name="Normal 6 2 2 7 2 2" xfId="9748" xr:uid="{00000000-0005-0000-0000-000072220000}"/>
    <cellStyle name="Normal 6 2 2 7 3" xfId="9532" xr:uid="{00000000-0005-0000-0000-000073220000}"/>
    <cellStyle name="Normal 6 2 2 8" xfId="847" xr:uid="{00000000-0005-0000-0000-000074220000}"/>
    <cellStyle name="Normal 6 2 2 8 2" xfId="9604" xr:uid="{00000000-0005-0000-0000-000075220000}"/>
    <cellStyle name="Normal 6 2 2 9" xfId="9386" xr:uid="{00000000-0005-0000-0000-000076220000}"/>
    <cellStyle name="Normal 6 2 3" xfId="197" xr:uid="{00000000-0005-0000-0000-000077220000}"/>
    <cellStyle name="Normal 6 2 3 2" xfId="372" xr:uid="{00000000-0005-0000-0000-000078220000}"/>
    <cellStyle name="Normal 6 2 3 2 2" xfId="706" xr:uid="{00000000-0005-0000-0000-000079220000}"/>
    <cellStyle name="Normal 6 2 3 2 2 2" xfId="934" xr:uid="{00000000-0005-0000-0000-00007A220000}"/>
    <cellStyle name="Normal 6 2 3 2 2 2 2" xfId="9691" xr:uid="{00000000-0005-0000-0000-00007B220000}"/>
    <cellStyle name="Normal 6 2 3 2 2 3" xfId="9475" xr:uid="{00000000-0005-0000-0000-00007C220000}"/>
    <cellStyle name="Normal 6 2 3 2 3" xfId="790" xr:uid="{00000000-0005-0000-0000-00007D220000}"/>
    <cellStyle name="Normal 6 2 3 2 3 2" xfId="1006" xr:uid="{00000000-0005-0000-0000-00007E220000}"/>
    <cellStyle name="Normal 6 2 3 2 3 2 2" xfId="9763" xr:uid="{00000000-0005-0000-0000-00007F220000}"/>
    <cellStyle name="Normal 6 2 3 2 3 3" xfId="9547" xr:uid="{00000000-0005-0000-0000-000080220000}"/>
    <cellStyle name="Normal 6 2 3 2 4" xfId="862" xr:uid="{00000000-0005-0000-0000-000081220000}"/>
    <cellStyle name="Normal 6 2 3 2 4 2" xfId="9619" xr:uid="{00000000-0005-0000-0000-000082220000}"/>
    <cellStyle name="Normal 6 2 3 2 5" xfId="9403" xr:uid="{00000000-0005-0000-0000-000083220000}"/>
    <cellStyle name="Normal 6 2 3 3" xfId="414" xr:uid="{00000000-0005-0000-0000-000084220000}"/>
    <cellStyle name="Normal 6 2 3 3 2" xfId="719" xr:uid="{00000000-0005-0000-0000-000085220000}"/>
    <cellStyle name="Normal 6 2 3 3 2 2" xfId="947" xr:uid="{00000000-0005-0000-0000-000086220000}"/>
    <cellStyle name="Normal 6 2 3 3 2 2 2" xfId="9704" xr:uid="{00000000-0005-0000-0000-000087220000}"/>
    <cellStyle name="Normal 6 2 3 3 2 3" xfId="9488" xr:uid="{00000000-0005-0000-0000-000088220000}"/>
    <cellStyle name="Normal 6 2 3 3 3" xfId="803" xr:uid="{00000000-0005-0000-0000-000089220000}"/>
    <cellStyle name="Normal 6 2 3 3 3 2" xfId="1019" xr:uid="{00000000-0005-0000-0000-00008A220000}"/>
    <cellStyle name="Normal 6 2 3 3 3 2 2" xfId="9776" xr:uid="{00000000-0005-0000-0000-00008B220000}"/>
    <cellStyle name="Normal 6 2 3 3 3 3" xfId="9560" xr:uid="{00000000-0005-0000-0000-00008C220000}"/>
    <cellStyle name="Normal 6 2 3 3 4" xfId="875" xr:uid="{00000000-0005-0000-0000-00008D220000}"/>
    <cellStyle name="Normal 6 2 3 3 4 2" xfId="9632" xr:uid="{00000000-0005-0000-0000-00008E220000}"/>
    <cellStyle name="Normal 6 2 3 3 5" xfId="9416" xr:uid="{00000000-0005-0000-0000-00008F220000}"/>
    <cellStyle name="Normal 6 2 3 4" xfId="653" xr:uid="{00000000-0005-0000-0000-000090220000}"/>
    <cellStyle name="Normal 6 2 3 4 2" xfId="758" xr:uid="{00000000-0005-0000-0000-000091220000}"/>
    <cellStyle name="Normal 6 2 3 4 2 2" xfId="974" xr:uid="{00000000-0005-0000-0000-000092220000}"/>
    <cellStyle name="Normal 6 2 3 4 2 2 2" xfId="9731" xr:uid="{00000000-0005-0000-0000-000093220000}"/>
    <cellStyle name="Normal 6 2 3 4 2 3" xfId="9515" xr:uid="{00000000-0005-0000-0000-000094220000}"/>
    <cellStyle name="Normal 6 2 3 4 3" xfId="830" xr:uid="{00000000-0005-0000-0000-000095220000}"/>
    <cellStyle name="Normal 6 2 3 4 3 2" xfId="1046" xr:uid="{00000000-0005-0000-0000-000096220000}"/>
    <cellStyle name="Normal 6 2 3 4 3 2 2" xfId="9803" xr:uid="{00000000-0005-0000-0000-000097220000}"/>
    <cellStyle name="Normal 6 2 3 4 3 3" xfId="9587" xr:uid="{00000000-0005-0000-0000-000098220000}"/>
    <cellStyle name="Normal 6 2 3 4 4" xfId="902" xr:uid="{00000000-0005-0000-0000-000099220000}"/>
    <cellStyle name="Normal 6 2 3 4 4 2" xfId="9659" xr:uid="{00000000-0005-0000-0000-00009A220000}"/>
    <cellStyle name="Normal 6 2 3 4 5" xfId="9443" xr:uid="{00000000-0005-0000-0000-00009B220000}"/>
    <cellStyle name="Normal 6 2 3 5" xfId="692" xr:uid="{00000000-0005-0000-0000-00009C220000}"/>
    <cellStyle name="Normal 6 2 3 5 2" xfId="921" xr:uid="{00000000-0005-0000-0000-00009D220000}"/>
    <cellStyle name="Normal 6 2 3 5 2 2" xfId="9678" xr:uid="{00000000-0005-0000-0000-00009E220000}"/>
    <cellStyle name="Normal 6 2 3 5 3" xfId="9462" xr:uid="{00000000-0005-0000-0000-00009F220000}"/>
    <cellStyle name="Normal 6 2 3 6" xfId="777" xr:uid="{00000000-0005-0000-0000-0000A0220000}"/>
    <cellStyle name="Normal 6 2 3 6 2" xfId="993" xr:uid="{00000000-0005-0000-0000-0000A1220000}"/>
    <cellStyle name="Normal 6 2 3 6 2 2" xfId="9750" xr:uid="{00000000-0005-0000-0000-0000A2220000}"/>
    <cellStyle name="Normal 6 2 3 6 3" xfId="9534" xr:uid="{00000000-0005-0000-0000-0000A3220000}"/>
    <cellStyle name="Normal 6 2 3 7" xfId="849" xr:uid="{00000000-0005-0000-0000-0000A4220000}"/>
    <cellStyle name="Normal 6 2 3 7 2" xfId="9606" xr:uid="{00000000-0005-0000-0000-0000A5220000}"/>
    <cellStyle name="Normal 6 2 3 8" xfId="9388" xr:uid="{00000000-0005-0000-0000-0000A6220000}"/>
    <cellStyle name="Normal 6 2 4" xfId="369" xr:uid="{00000000-0005-0000-0000-0000A7220000}"/>
    <cellStyle name="Normal 6 2 4 2" xfId="703" xr:uid="{00000000-0005-0000-0000-0000A8220000}"/>
    <cellStyle name="Normal 6 2 4 2 2" xfId="931" xr:uid="{00000000-0005-0000-0000-0000A9220000}"/>
    <cellStyle name="Normal 6 2 4 2 2 2" xfId="9688" xr:uid="{00000000-0005-0000-0000-0000AA220000}"/>
    <cellStyle name="Normal 6 2 4 2 3" xfId="9472" xr:uid="{00000000-0005-0000-0000-0000AB220000}"/>
    <cellStyle name="Normal 6 2 4 3" xfId="787" xr:uid="{00000000-0005-0000-0000-0000AC220000}"/>
    <cellStyle name="Normal 6 2 4 3 2" xfId="1003" xr:uid="{00000000-0005-0000-0000-0000AD220000}"/>
    <cellStyle name="Normal 6 2 4 3 2 2" xfId="9760" xr:uid="{00000000-0005-0000-0000-0000AE220000}"/>
    <cellStyle name="Normal 6 2 4 3 3" xfId="9544" xr:uid="{00000000-0005-0000-0000-0000AF220000}"/>
    <cellStyle name="Normal 6 2 4 4" xfId="859" xr:uid="{00000000-0005-0000-0000-0000B0220000}"/>
    <cellStyle name="Normal 6 2 4 4 2" xfId="9616" xr:uid="{00000000-0005-0000-0000-0000B1220000}"/>
    <cellStyle name="Normal 6 2 4 5" xfId="9400" xr:uid="{00000000-0005-0000-0000-0000B2220000}"/>
    <cellStyle name="Normal 6 2 5" xfId="411" xr:uid="{00000000-0005-0000-0000-0000B3220000}"/>
    <cellStyle name="Normal 6 2 5 2" xfId="716" xr:uid="{00000000-0005-0000-0000-0000B4220000}"/>
    <cellStyle name="Normal 6 2 5 2 2" xfId="944" xr:uid="{00000000-0005-0000-0000-0000B5220000}"/>
    <cellStyle name="Normal 6 2 5 2 2 2" xfId="9701" xr:uid="{00000000-0005-0000-0000-0000B6220000}"/>
    <cellStyle name="Normal 6 2 5 2 3" xfId="9485" xr:uid="{00000000-0005-0000-0000-0000B7220000}"/>
    <cellStyle name="Normal 6 2 5 3" xfId="800" xr:uid="{00000000-0005-0000-0000-0000B8220000}"/>
    <cellStyle name="Normal 6 2 5 3 2" xfId="1016" xr:uid="{00000000-0005-0000-0000-0000B9220000}"/>
    <cellStyle name="Normal 6 2 5 3 2 2" xfId="9773" xr:uid="{00000000-0005-0000-0000-0000BA220000}"/>
    <cellStyle name="Normal 6 2 5 3 3" xfId="9557" xr:uid="{00000000-0005-0000-0000-0000BB220000}"/>
    <cellStyle name="Normal 6 2 5 4" xfId="872" xr:uid="{00000000-0005-0000-0000-0000BC220000}"/>
    <cellStyle name="Normal 6 2 5 4 2" xfId="9629" xr:uid="{00000000-0005-0000-0000-0000BD220000}"/>
    <cellStyle name="Normal 6 2 5 5" xfId="9413" xr:uid="{00000000-0005-0000-0000-0000BE220000}"/>
    <cellStyle name="Normal 6 2 6" xfId="650" xr:uid="{00000000-0005-0000-0000-0000BF220000}"/>
    <cellStyle name="Normal 6 2 6 2" xfId="755" xr:uid="{00000000-0005-0000-0000-0000C0220000}"/>
    <cellStyle name="Normal 6 2 6 2 2" xfId="971" xr:uid="{00000000-0005-0000-0000-0000C1220000}"/>
    <cellStyle name="Normal 6 2 6 2 2 2" xfId="9728" xr:uid="{00000000-0005-0000-0000-0000C2220000}"/>
    <cellStyle name="Normal 6 2 6 2 3" xfId="9512" xr:uid="{00000000-0005-0000-0000-0000C3220000}"/>
    <cellStyle name="Normal 6 2 6 3" xfId="827" xr:uid="{00000000-0005-0000-0000-0000C4220000}"/>
    <cellStyle name="Normal 6 2 6 3 2" xfId="1043" xr:uid="{00000000-0005-0000-0000-0000C5220000}"/>
    <cellStyle name="Normal 6 2 6 3 2 2" xfId="9800" xr:uid="{00000000-0005-0000-0000-0000C6220000}"/>
    <cellStyle name="Normal 6 2 6 3 3" xfId="9584" xr:uid="{00000000-0005-0000-0000-0000C7220000}"/>
    <cellStyle name="Normal 6 2 6 4" xfId="899" xr:uid="{00000000-0005-0000-0000-0000C8220000}"/>
    <cellStyle name="Normal 6 2 6 4 2" xfId="9656" xr:uid="{00000000-0005-0000-0000-0000C9220000}"/>
    <cellStyle name="Normal 6 2 6 5" xfId="9440" xr:uid="{00000000-0005-0000-0000-0000CA220000}"/>
    <cellStyle name="Normal 6 2 7" xfId="689" xr:uid="{00000000-0005-0000-0000-0000CB220000}"/>
    <cellStyle name="Normal 6 2 7 2" xfId="918" xr:uid="{00000000-0005-0000-0000-0000CC220000}"/>
    <cellStyle name="Normal 6 2 7 2 2" xfId="9675" xr:uid="{00000000-0005-0000-0000-0000CD220000}"/>
    <cellStyle name="Normal 6 2 7 3" xfId="9459" xr:uid="{00000000-0005-0000-0000-0000CE220000}"/>
    <cellStyle name="Normal 6 2 8" xfId="774" xr:uid="{00000000-0005-0000-0000-0000CF220000}"/>
    <cellStyle name="Normal 6 2 8 2" xfId="990" xr:uid="{00000000-0005-0000-0000-0000D0220000}"/>
    <cellStyle name="Normal 6 2 8 2 2" xfId="9747" xr:uid="{00000000-0005-0000-0000-0000D1220000}"/>
    <cellStyle name="Normal 6 2 8 3" xfId="9531" xr:uid="{00000000-0005-0000-0000-0000D2220000}"/>
    <cellStyle name="Normal 6 2 9" xfId="846" xr:uid="{00000000-0005-0000-0000-0000D3220000}"/>
    <cellStyle name="Normal 6 2 9 2" xfId="9603" xr:uid="{00000000-0005-0000-0000-0000D4220000}"/>
    <cellStyle name="Normal 6 3" xfId="198" xr:uid="{00000000-0005-0000-0000-0000D5220000}"/>
    <cellStyle name="Normal 6 3 2" xfId="199" xr:uid="{00000000-0005-0000-0000-0000D6220000}"/>
    <cellStyle name="Normal 6 3 2 2" xfId="374" xr:uid="{00000000-0005-0000-0000-0000D7220000}"/>
    <cellStyle name="Normal 6 3 2 2 2" xfId="708" xr:uid="{00000000-0005-0000-0000-0000D8220000}"/>
    <cellStyle name="Normal 6 3 2 2 2 2" xfId="936" xr:uid="{00000000-0005-0000-0000-0000D9220000}"/>
    <cellStyle name="Normal 6 3 2 2 2 2 2" xfId="9693" xr:uid="{00000000-0005-0000-0000-0000DA220000}"/>
    <cellStyle name="Normal 6 3 2 2 2 3" xfId="9477" xr:uid="{00000000-0005-0000-0000-0000DB220000}"/>
    <cellStyle name="Normal 6 3 2 2 3" xfId="792" xr:uid="{00000000-0005-0000-0000-0000DC220000}"/>
    <cellStyle name="Normal 6 3 2 2 3 2" xfId="1008" xr:uid="{00000000-0005-0000-0000-0000DD220000}"/>
    <cellStyle name="Normal 6 3 2 2 3 2 2" xfId="9765" xr:uid="{00000000-0005-0000-0000-0000DE220000}"/>
    <cellStyle name="Normal 6 3 2 2 3 3" xfId="9549" xr:uid="{00000000-0005-0000-0000-0000DF220000}"/>
    <cellStyle name="Normal 6 3 2 2 4" xfId="864" xr:uid="{00000000-0005-0000-0000-0000E0220000}"/>
    <cellStyle name="Normal 6 3 2 2 4 2" xfId="9621" xr:uid="{00000000-0005-0000-0000-0000E1220000}"/>
    <cellStyle name="Normal 6 3 2 2 5" xfId="9405" xr:uid="{00000000-0005-0000-0000-0000E2220000}"/>
    <cellStyle name="Normal 6 3 2 3" xfId="416" xr:uid="{00000000-0005-0000-0000-0000E3220000}"/>
    <cellStyle name="Normal 6 3 2 3 2" xfId="721" xr:uid="{00000000-0005-0000-0000-0000E4220000}"/>
    <cellStyle name="Normal 6 3 2 3 2 2" xfId="949" xr:uid="{00000000-0005-0000-0000-0000E5220000}"/>
    <cellStyle name="Normal 6 3 2 3 2 2 2" xfId="9706" xr:uid="{00000000-0005-0000-0000-0000E6220000}"/>
    <cellStyle name="Normal 6 3 2 3 2 3" xfId="9490" xr:uid="{00000000-0005-0000-0000-0000E7220000}"/>
    <cellStyle name="Normal 6 3 2 3 3" xfId="805" xr:uid="{00000000-0005-0000-0000-0000E8220000}"/>
    <cellStyle name="Normal 6 3 2 3 3 2" xfId="1021" xr:uid="{00000000-0005-0000-0000-0000E9220000}"/>
    <cellStyle name="Normal 6 3 2 3 3 2 2" xfId="9778" xr:uid="{00000000-0005-0000-0000-0000EA220000}"/>
    <cellStyle name="Normal 6 3 2 3 3 3" xfId="9562" xr:uid="{00000000-0005-0000-0000-0000EB220000}"/>
    <cellStyle name="Normal 6 3 2 3 4" xfId="877" xr:uid="{00000000-0005-0000-0000-0000EC220000}"/>
    <cellStyle name="Normal 6 3 2 3 4 2" xfId="9634" xr:uid="{00000000-0005-0000-0000-0000ED220000}"/>
    <cellStyle name="Normal 6 3 2 3 5" xfId="9418" xr:uid="{00000000-0005-0000-0000-0000EE220000}"/>
    <cellStyle name="Normal 6 3 2 4" xfId="655" xr:uid="{00000000-0005-0000-0000-0000EF220000}"/>
    <cellStyle name="Normal 6 3 2 4 2" xfId="760" xr:uid="{00000000-0005-0000-0000-0000F0220000}"/>
    <cellStyle name="Normal 6 3 2 4 2 2" xfId="976" xr:uid="{00000000-0005-0000-0000-0000F1220000}"/>
    <cellStyle name="Normal 6 3 2 4 2 2 2" xfId="9733" xr:uid="{00000000-0005-0000-0000-0000F2220000}"/>
    <cellStyle name="Normal 6 3 2 4 2 3" xfId="9517" xr:uid="{00000000-0005-0000-0000-0000F3220000}"/>
    <cellStyle name="Normal 6 3 2 4 3" xfId="832" xr:uid="{00000000-0005-0000-0000-0000F4220000}"/>
    <cellStyle name="Normal 6 3 2 4 3 2" xfId="1048" xr:uid="{00000000-0005-0000-0000-0000F5220000}"/>
    <cellStyle name="Normal 6 3 2 4 3 2 2" xfId="9805" xr:uid="{00000000-0005-0000-0000-0000F6220000}"/>
    <cellStyle name="Normal 6 3 2 4 3 3" xfId="9589" xr:uid="{00000000-0005-0000-0000-0000F7220000}"/>
    <cellStyle name="Normal 6 3 2 4 4" xfId="904" xr:uid="{00000000-0005-0000-0000-0000F8220000}"/>
    <cellStyle name="Normal 6 3 2 4 4 2" xfId="9661" xr:uid="{00000000-0005-0000-0000-0000F9220000}"/>
    <cellStyle name="Normal 6 3 2 4 5" xfId="9445" xr:uid="{00000000-0005-0000-0000-0000FA220000}"/>
    <cellStyle name="Normal 6 3 2 5" xfId="694" xr:uid="{00000000-0005-0000-0000-0000FB220000}"/>
    <cellStyle name="Normal 6 3 2 5 2" xfId="923" xr:uid="{00000000-0005-0000-0000-0000FC220000}"/>
    <cellStyle name="Normal 6 3 2 5 2 2" xfId="9680" xr:uid="{00000000-0005-0000-0000-0000FD220000}"/>
    <cellStyle name="Normal 6 3 2 5 3" xfId="9464" xr:uid="{00000000-0005-0000-0000-0000FE220000}"/>
    <cellStyle name="Normal 6 3 2 6" xfId="779" xr:uid="{00000000-0005-0000-0000-0000FF220000}"/>
    <cellStyle name="Normal 6 3 2 6 2" xfId="995" xr:uid="{00000000-0005-0000-0000-000000230000}"/>
    <cellStyle name="Normal 6 3 2 6 2 2" xfId="9752" xr:uid="{00000000-0005-0000-0000-000001230000}"/>
    <cellStyle name="Normal 6 3 2 6 3" xfId="9536" xr:uid="{00000000-0005-0000-0000-000002230000}"/>
    <cellStyle name="Normal 6 3 2 7" xfId="851" xr:uid="{00000000-0005-0000-0000-000003230000}"/>
    <cellStyle name="Normal 6 3 2 7 2" xfId="9608" xr:uid="{00000000-0005-0000-0000-000004230000}"/>
    <cellStyle name="Normal 6 3 2 8" xfId="9390" xr:uid="{00000000-0005-0000-0000-000005230000}"/>
    <cellStyle name="Normal 6 3 3" xfId="373" xr:uid="{00000000-0005-0000-0000-000006230000}"/>
    <cellStyle name="Normal 6 3 3 2" xfId="707" xr:uid="{00000000-0005-0000-0000-000007230000}"/>
    <cellStyle name="Normal 6 3 3 2 2" xfId="935" xr:uid="{00000000-0005-0000-0000-000008230000}"/>
    <cellStyle name="Normal 6 3 3 2 2 2" xfId="9692" xr:uid="{00000000-0005-0000-0000-000009230000}"/>
    <cellStyle name="Normal 6 3 3 2 3" xfId="9476" xr:uid="{00000000-0005-0000-0000-00000A230000}"/>
    <cellStyle name="Normal 6 3 3 3" xfId="791" xr:uid="{00000000-0005-0000-0000-00000B230000}"/>
    <cellStyle name="Normal 6 3 3 3 2" xfId="1007" xr:uid="{00000000-0005-0000-0000-00000C230000}"/>
    <cellStyle name="Normal 6 3 3 3 2 2" xfId="9764" xr:uid="{00000000-0005-0000-0000-00000D230000}"/>
    <cellStyle name="Normal 6 3 3 3 3" xfId="9548" xr:uid="{00000000-0005-0000-0000-00000E230000}"/>
    <cellStyle name="Normal 6 3 3 4" xfId="863" xr:uid="{00000000-0005-0000-0000-00000F230000}"/>
    <cellStyle name="Normal 6 3 3 4 2" xfId="9620" xr:uid="{00000000-0005-0000-0000-000010230000}"/>
    <cellStyle name="Normal 6 3 3 5" xfId="9404" xr:uid="{00000000-0005-0000-0000-000011230000}"/>
    <cellStyle name="Normal 6 3 4" xfId="415" xr:uid="{00000000-0005-0000-0000-000012230000}"/>
    <cellStyle name="Normal 6 3 4 2" xfId="720" xr:uid="{00000000-0005-0000-0000-000013230000}"/>
    <cellStyle name="Normal 6 3 4 2 2" xfId="948" xr:uid="{00000000-0005-0000-0000-000014230000}"/>
    <cellStyle name="Normal 6 3 4 2 2 2" xfId="9705" xr:uid="{00000000-0005-0000-0000-000015230000}"/>
    <cellStyle name="Normal 6 3 4 2 3" xfId="9489" xr:uid="{00000000-0005-0000-0000-000016230000}"/>
    <cellStyle name="Normal 6 3 4 3" xfId="804" xr:uid="{00000000-0005-0000-0000-000017230000}"/>
    <cellStyle name="Normal 6 3 4 3 2" xfId="1020" xr:uid="{00000000-0005-0000-0000-000018230000}"/>
    <cellStyle name="Normal 6 3 4 3 2 2" xfId="9777" xr:uid="{00000000-0005-0000-0000-000019230000}"/>
    <cellStyle name="Normal 6 3 4 3 3" xfId="9561" xr:uid="{00000000-0005-0000-0000-00001A230000}"/>
    <cellStyle name="Normal 6 3 4 4" xfId="876" xr:uid="{00000000-0005-0000-0000-00001B230000}"/>
    <cellStyle name="Normal 6 3 4 4 2" xfId="9633" xr:uid="{00000000-0005-0000-0000-00001C230000}"/>
    <cellStyle name="Normal 6 3 4 5" xfId="9417" xr:uid="{00000000-0005-0000-0000-00001D230000}"/>
    <cellStyle name="Normal 6 3 5" xfId="654" xr:uid="{00000000-0005-0000-0000-00001E230000}"/>
    <cellStyle name="Normal 6 3 5 2" xfId="759" xr:uid="{00000000-0005-0000-0000-00001F230000}"/>
    <cellStyle name="Normal 6 3 5 2 2" xfId="975" xr:uid="{00000000-0005-0000-0000-000020230000}"/>
    <cellStyle name="Normal 6 3 5 2 2 2" xfId="9732" xr:uid="{00000000-0005-0000-0000-000021230000}"/>
    <cellStyle name="Normal 6 3 5 2 3" xfId="9516" xr:uid="{00000000-0005-0000-0000-000022230000}"/>
    <cellStyle name="Normal 6 3 5 3" xfId="831" xr:uid="{00000000-0005-0000-0000-000023230000}"/>
    <cellStyle name="Normal 6 3 5 3 2" xfId="1047" xr:uid="{00000000-0005-0000-0000-000024230000}"/>
    <cellStyle name="Normal 6 3 5 3 2 2" xfId="9804" xr:uid="{00000000-0005-0000-0000-000025230000}"/>
    <cellStyle name="Normal 6 3 5 3 3" xfId="9588" xr:uid="{00000000-0005-0000-0000-000026230000}"/>
    <cellStyle name="Normal 6 3 5 4" xfId="903" xr:uid="{00000000-0005-0000-0000-000027230000}"/>
    <cellStyle name="Normal 6 3 5 4 2" xfId="9660" xr:uid="{00000000-0005-0000-0000-000028230000}"/>
    <cellStyle name="Normal 6 3 5 5" xfId="9444" xr:uid="{00000000-0005-0000-0000-000029230000}"/>
    <cellStyle name="Normal 6 3 6" xfId="693" xr:uid="{00000000-0005-0000-0000-00002A230000}"/>
    <cellStyle name="Normal 6 3 6 2" xfId="922" xr:uid="{00000000-0005-0000-0000-00002B230000}"/>
    <cellStyle name="Normal 6 3 6 2 2" xfId="9679" xr:uid="{00000000-0005-0000-0000-00002C230000}"/>
    <cellStyle name="Normal 6 3 6 3" xfId="9463" xr:uid="{00000000-0005-0000-0000-00002D230000}"/>
    <cellStyle name="Normal 6 3 7" xfId="778" xr:uid="{00000000-0005-0000-0000-00002E230000}"/>
    <cellStyle name="Normal 6 3 7 2" xfId="994" xr:uid="{00000000-0005-0000-0000-00002F230000}"/>
    <cellStyle name="Normal 6 3 7 2 2" xfId="9751" xr:uid="{00000000-0005-0000-0000-000030230000}"/>
    <cellStyle name="Normal 6 3 7 3" xfId="9535" xr:uid="{00000000-0005-0000-0000-000031230000}"/>
    <cellStyle name="Normal 6 3 8" xfId="850" xr:uid="{00000000-0005-0000-0000-000032230000}"/>
    <cellStyle name="Normal 6 3 8 2" xfId="9607" xr:uid="{00000000-0005-0000-0000-000033230000}"/>
    <cellStyle name="Normal 6 3 9" xfId="9389" xr:uid="{00000000-0005-0000-0000-000034230000}"/>
    <cellStyle name="Normal 6 4" xfId="200" xr:uid="{00000000-0005-0000-0000-000035230000}"/>
    <cellStyle name="Normal 6 4 2" xfId="375" xr:uid="{00000000-0005-0000-0000-000036230000}"/>
    <cellStyle name="Normal 6 4 2 2" xfId="709" xr:uid="{00000000-0005-0000-0000-000037230000}"/>
    <cellStyle name="Normal 6 4 2 2 2" xfId="937" xr:uid="{00000000-0005-0000-0000-000038230000}"/>
    <cellStyle name="Normal 6 4 2 2 2 2" xfId="9694" xr:uid="{00000000-0005-0000-0000-000039230000}"/>
    <cellStyle name="Normal 6 4 2 2 3" xfId="9478" xr:uid="{00000000-0005-0000-0000-00003A230000}"/>
    <cellStyle name="Normal 6 4 2 3" xfId="793" xr:uid="{00000000-0005-0000-0000-00003B230000}"/>
    <cellStyle name="Normal 6 4 2 3 2" xfId="1009" xr:uid="{00000000-0005-0000-0000-00003C230000}"/>
    <cellStyle name="Normal 6 4 2 3 2 2" xfId="9766" xr:uid="{00000000-0005-0000-0000-00003D230000}"/>
    <cellStyle name="Normal 6 4 2 3 3" xfId="9550" xr:uid="{00000000-0005-0000-0000-00003E230000}"/>
    <cellStyle name="Normal 6 4 2 4" xfId="865" xr:uid="{00000000-0005-0000-0000-00003F230000}"/>
    <cellStyle name="Normal 6 4 2 4 2" xfId="9622" xr:uid="{00000000-0005-0000-0000-000040230000}"/>
    <cellStyle name="Normal 6 4 2 5" xfId="9406" xr:uid="{00000000-0005-0000-0000-000041230000}"/>
    <cellStyle name="Normal 6 4 3" xfId="417" xr:uid="{00000000-0005-0000-0000-000042230000}"/>
    <cellStyle name="Normal 6 4 3 2" xfId="722" xr:uid="{00000000-0005-0000-0000-000043230000}"/>
    <cellStyle name="Normal 6 4 3 2 2" xfId="950" xr:uid="{00000000-0005-0000-0000-000044230000}"/>
    <cellStyle name="Normal 6 4 3 2 2 2" xfId="9707" xr:uid="{00000000-0005-0000-0000-000045230000}"/>
    <cellStyle name="Normal 6 4 3 2 3" xfId="9491" xr:uid="{00000000-0005-0000-0000-000046230000}"/>
    <cellStyle name="Normal 6 4 3 3" xfId="806" xr:uid="{00000000-0005-0000-0000-000047230000}"/>
    <cellStyle name="Normal 6 4 3 3 2" xfId="1022" xr:uid="{00000000-0005-0000-0000-000048230000}"/>
    <cellStyle name="Normal 6 4 3 3 2 2" xfId="9779" xr:uid="{00000000-0005-0000-0000-000049230000}"/>
    <cellStyle name="Normal 6 4 3 3 3" xfId="9563" xr:uid="{00000000-0005-0000-0000-00004A230000}"/>
    <cellStyle name="Normal 6 4 3 4" xfId="878" xr:uid="{00000000-0005-0000-0000-00004B230000}"/>
    <cellStyle name="Normal 6 4 3 4 2" xfId="9635" xr:uid="{00000000-0005-0000-0000-00004C230000}"/>
    <cellStyle name="Normal 6 4 3 5" xfId="9419" xr:uid="{00000000-0005-0000-0000-00004D230000}"/>
    <cellStyle name="Normal 6 4 4" xfId="656" xr:uid="{00000000-0005-0000-0000-00004E230000}"/>
    <cellStyle name="Normal 6 4 4 2" xfId="761" xr:uid="{00000000-0005-0000-0000-00004F230000}"/>
    <cellStyle name="Normal 6 4 4 2 2" xfId="977" xr:uid="{00000000-0005-0000-0000-000050230000}"/>
    <cellStyle name="Normal 6 4 4 2 2 2" xfId="9734" xr:uid="{00000000-0005-0000-0000-000051230000}"/>
    <cellStyle name="Normal 6 4 4 2 3" xfId="9518" xr:uid="{00000000-0005-0000-0000-000052230000}"/>
    <cellStyle name="Normal 6 4 4 3" xfId="833" xr:uid="{00000000-0005-0000-0000-000053230000}"/>
    <cellStyle name="Normal 6 4 4 3 2" xfId="1049" xr:uid="{00000000-0005-0000-0000-000054230000}"/>
    <cellStyle name="Normal 6 4 4 3 2 2" xfId="9806" xr:uid="{00000000-0005-0000-0000-000055230000}"/>
    <cellStyle name="Normal 6 4 4 3 3" xfId="9590" xr:uid="{00000000-0005-0000-0000-000056230000}"/>
    <cellStyle name="Normal 6 4 4 4" xfId="905" xr:uid="{00000000-0005-0000-0000-000057230000}"/>
    <cellStyle name="Normal 6 4 4 4 2" xfId="9662" xr:uid="{00000000-0005-0000-0000-000058230000}"/>
    <cellStyle name="Normal 6 4 4 5" xfId="9446" xr:uid="{00000000-0005-0000-0000-000059230000}"/>
    <cellStyle name="Normal 6 4 5" xfId="695" xr:uid="{00000000-0005-0000-0000-00005A230000}"/>
    <cellStyle name="Normal 6 4 5 2" xfId="924" xr:uid="{00000000-0005-0000-0000-00005B230000}"/>
    <cellStyle name="Normal 6 4 5 2 2" xfId="9681" xr:uid="{00000000-0005-0000-0000-00005C230000}"/>
    <cellStyle name="Normal 6 4 5 3" xfId="9465" xr:uid="{00000000-0005-0000-0000-00005D230000}"/>
    <cellStyle name="Normal 6 4 6" xfId="780" xr:uid="{00000000-0005-0000-0000-00005E230000}"/>
    <cellStyle name="Normal 6 4 6 2" xfId="996" xr:uid="{00000000-0005-0000-0000-00005F230000}"/>
    <cellStyle name="Normal 6 4 6 2 2" xfId="9753" xr:uid="{00000000-0005-0000-0000-000060230000}"/>
    <cellStyle name="Normal 6 4 6 3" xfId="9537" xr:uid="{00000000-0005-0000-0000-000061230000}"/>
    <cellStyle name="Normal 6 4 7" xfId="852" xr:uid="{00000000-0005-0000-0000-000062230000}"/>
    <cellStyle name="Normal 6 4 7 2" xfId="9609" xr:uid="{00000000-0005-0000-0000-000063230000}"/>
    <cellStyle name="Normal 6 4 8" xfId="9391" xr:uid="{00000000-0005-0000-0000-000064230000}"/>
    <cellStyle name="Normal 6 5" xfId="368" xr:uid="{00000000-0005-0000-0000-000065230000}"/>
    <cellStyle name="Normal 6 5 2" xfId="702" xr:uid="{00000000-0005-0000-0000-000066230000}"/>
    <cellStyle name="Normal 6 5 2 2" xfId="930" xr:uid="{00000000-0005-0000-0000-000067230000}"/>
    <cellStyle name="Normal 6 5 2 2 2" xfId="9687" xr:uid="{00000000-0005-0000-0000-000068230000}"/>
    <cellStyle name="Normal 6 5 2 3" xfId="9471" xr:uid="{00000000-0005-0000-0000-000069230000}"/>
    <cellStyle name="Normal 6 5 3" xfId="786" xr:uid="{00000000-0005-0000-0000-00006A230000}"/>
    <cellStyle name="Normal 6 5 3 2" xfId="1002" xr:uid="{00000000-0005-0000-0000-00006B230000}"/>
    <cellStyle name="Normal 6 5 3 2 2" xfId="9759" xr:uid="{00000000-0005-0000-0000-00006C230000}"/>
    <cellStyle name="Normal 6 5 3 3" xfId="9543" xr:uid="{00000000-0005-0000-0000-00006D230000}"/>
    <cellStyle name="Normal 6 5 4" xfId="858" xr:uid="{00000000-0005-0000-0000-00006E230000}"/>
    <cellStyle name="Normal 6 5 4 2" xfId="9615" xr:uid="{00000000-0005-0000-0000-00006F230000}"/>
    <cellStyle name="Normal 6 5 5" xfId="9399" xr:uid="{00000000-0005-0000-0000-000070230000}"/>
    <cellStyle name="Normal 6 6" xfId="410" xr:uid="{00000000-0005-0000-0000-000071230000}"/>
    <cellStyle name="Normal 6 6 2" xfId="715" xr:uid="{00000000-0005-0000-0000-000072230000}"/>
    <cellStyle name="Normal 6 6 2 2" xfId="943" xr:uid="{00000000-0005-0000-0000-000073230000}"/>
    <cellStyle name="Normal 6 6 2 2 2" xfId="9700" xr:uid="{00000000-0005-0000-0000-000074230000}"/>
    <cellStyle name="Normal 6 6 2 3" xfId="9484" xr:uid="{00000000-0005-0000-0000-000075230000}"/>
    <cellStyle name="Normal 6 6 3" xfId="799" xr:uid="{00000000-0005-0000-0000-000076230000}"/>
    <cellStyle name="Normal 6 6 3 2" xfId="1015" xr:uid="{00000000-0005-0000-0000-000077230000}"/>
    <cellStyle name="Normal 6 6 3 2 2" xfId="9772" xr:uid="{00000000-0005-0000-0000-000078230000}"/>
    <cellStyle name="Normal 6 6 3 3" xfId="9556" xr:uid="{00000000-0005-0000-0000-000079230000}"/>
    <cellStyle name="Normal 6 6 4" xfId="871" xr:uid="{00000000-0005-0000-0000-00007A230000}"/>
    <cellStyle name="Normal 6 6 4 2" xfId="9628" xr:uid="{00000000-0005-0000-0000-00007B230000}"/>
    <cellStyle name="Normal 6 6 5" xfId="9412" xr:uid="{00000000-0005-0000-0000-00007C230000}"/>
    <cellStyle name="Normal 6 7" xfId="622" xr:uid="{00000000-0005-0000-0000-00007D230000}"/>
    <cellStyle name="Normal 6 8" xfId="649" xr:uid="{00000000-0005-0000-0000-00007E230000}"/>
    <cellStyle name="Normal 6 8 2" xfId="754" xr:uid="{00000000-0005-0000-0000-00007F230000}"/>
    <cellStyle name="Normal 6 8 2 2" xfId="970" xr:uid="{00000000-0005-0000-0000-000080230000}"/>
    <cellStyle name="Normal 6 8 2 2 2" xfId="9727" xr:uid="{00000000-0005-0000-0000-000081230000}"/>
    <cellStyle name="Normal 6 8 2 3" xfId="9511" xr:uid="{00000000-0005-0000-0000-000082230000}"/>
    <cellStyle name="Normal 6 8 3" xfId="826" xr:uid="{00000000-0005-0000-0000-000083230000}"/>
    <cellStyle name="Normal 6 8 3 2" xfId="1042" xr:uid="{00000000-0005-0000-0000-000084230000}"/>
    <cellStyle name="Normal 6 8 3 2 2" xfId="9799" xr:uid="{00000000-0005-0000-0000-000085230000}"/>
    <cellStyle name="Normal 6 8 3 3" xfId="9583" xr:uid="{00000000-0005-0000-0000-000086230000}"/>
    <cellStyle name="Normal 6 8 4" xfId="898" xr:uid="{00000000-0005-0000-0000-000087230000}"/>
    <cellStyle name="Normal 6 8 4 2" xfId="9655" xr:uid="{00000000-0005-0000-0000-000088230000}"/>
    <cellStyle name="Normal 6 8 5" xfId="9439" xr:uid="{00000000-0005-0000-0000-000089230000}"/>
    <cellStyle name="Normal 6 9" xfId="688" xr:uid="{00000000-0005-0000-0000-00008A230000}"/>
    <cellStyle name="Normal 6 9 2" xfId="917" xr:uid="{00000000-0005-0000-0000-00008B230000}"/>
    <cellStyle name="Normal 6 9 2 2" xfId="9674" xr:uid="{00000000-0005-0000-0000-00008C230000}"/>
    <cellStyle name="Normal 6 9 3" xfId="9458" xr:uid="{00000000-0005-0000-0000-00008D230000}"/>
    <cellStyle name="Normal 69 3" xfId="9821" xr:uid="{00000000-0005-0000-0000-00008E230000}"/>
    <cellStyle name="Normal 69 3 2" xfId="9826" xr:uid="{00000000-0005-0000-0000-00008F230000}"/>
    <cellStyle name="Normal 7" xfId="201" xr:uid="{00000000-0005-0000-0000-000090230000}"/>
    <cellStyle name="Normal 7 2" xfId="444" xr:uid="{00000000-0005-0000-0000-000091230000}"/>
    <cellStyle name="Normal 7 2 2" xfId="9128" xr:uid="{00000000-0005-0000-0000-000092230000}"/>
    <cellStyle name="Normal 7 2 2 2" xfId="9129" xr:uid="{00000000-0005-0000-0000-000093230000}"/>
    <cellStyle name="Normal 7 2 2 2 2" xfId="9130" xr:uid="{00000000-0005-0000-0000-000094230000}"/>
    <cellStyle name="Normal 7 2 2 2 3" xfId="9131" xr:uid="{00000000-0005-0000-0000-000095230000}"/>
    <cellStyle name="Normal 7 2 2 3" xfId="9132" xr:uid="{00000000-0005-0000-0000-000096230000}"/>
    <cellStyle name="Normal 7 2 2 4" xfId="9133" xr:uid="{00000000-0005-0000-0000-000097230000}"/>
    <cellStyle name="Normal 7 2 2 5" xfId="9134" xr:uid="{00000000-0005-0000-0000-000098230000}"/>
    <cellStyle name="Normal 7 3" xfId="9135" xr:uid="{00000000-0005-0000-0000-000099230000}"/>
    <cellStyle name="Normal 7 3 2" xfId="9136" xr:uid="{00000000-0005-0000-0000-00009A230000}"/>
    <cellStyle name="Normal 7 3 2 2" xfId="9137" xr:uid="{00000000-0005-0000-0000-00009B230000}"/>
    <cellStyle name="Normal 7 3 2 3" xfId="9138" xr:uid="{00000000-0005-0000-0000-00009C230000}"/>
    <cellStyle name="Normal 7 3 3" xfId="9139" xr:uid="{00000000-0005-0000-0000-00009D230000}"/>
    <cellStyle name="Normal 7 3 4" xfId="9140" xr:uid="{00000000-0005-0000-0000-00009E230000}"/>
    <cellStyle name="Normal 7 3 5" xfId="9141" xr:uid="{00000000-0005-0000-0000-00009F230000}"/>
    <cellStyle name="Normal 7 4" xfId="9142" xr:uid="{00000000-0005-0000-0000-0000A0230000}"/>
    <cellStyle name="Normal 8" xfId="202" xr:uid="{00000000-0005-0000-0000-0000A1230000}"/>
    <cellStyle name="Normal 8 10" xfId="443" xr:uid="{00000000-0005-0000-0000-0000A2230000}"/>
    <cellStyle name="Normal 8 10 2" xfId="442" xr:uid="{00000000-0005-0000-0000-0000A3230000}"/>
    <cellStyle name="Normal 8 11" xfId="441" xr:uid="{00000000-0005-0000-0000-0000A4230000}"/>
    <cellStyle name="Normal 8 12" xfId="440" xr:uid="{00000000-0005-0000-0000-0000A5230000}"/>
    <cellStyle name="Normal 8 13" xfId="657" xr:uid="{00000000-0005-0000-0000-0000A6230000}"/>
    <cellStyle name="Normal 8 13 2" xfId="762" xr:uid="{00000000-0005-0000-0000-0000A7230000}"/>
    <cellStyle name="Normal 8 13 2 2" xfId="978" xr:uid="{00000000-0005-0000-0000-0000A8230000}"/>
    <cellStyle name="Normal 8 13 2 2 2" xfId="9735" xr:uid="{00000000-0005-0000-0000-0000A9230000}"/>
    <cellStyle name="Normal 8 13 2 3" xfId="9519" xr:uid="{00000000-0005-0000-0000-0000AA230000}"/>
    <cellStyle name="Normal 8 13 3" xfId="834" xr:uid="{00000000-0005-0000-0000-0000AB230000}"/>
    <cellStyle name="Normal 8 13 3 2" xfId="1050" xr:uid="{00000000-0005-0000-0000-0000AC230000}"/>
    <cellStyle name="Normal 8 13 3 2 2" xfId="9807" xr:uid="{00000000-0005-0000-0000-0000AD230000}"/>
    <cellStyle name="Normal 8 13 3 3" xfId="9591" xr:uid="{00000000-0005-0000-0000-0000AE230000}"/>
    <cellStyle name="Normal 8 13 4" xfId="906" xr:uid="{00000000-0005-0000-0000-0000AF230000}"/>
    <cellStyle name="Normal 8 13 4 2" xfId="9663" xr:uid="{00000000-0005-0000-0000-0000B0230000}"/>
    <cellStyle name="Normal 8 13 5" xfId="9447" xr:uid="{00000000-0005-0000-0000-0000B1230000}"/>
    <cellStyle name="Normal 8 14" xfId="696" xr:uid="{00000000-0005-0000-0000-0000B2230000}"/>
    <cellStyle name="Normal 8 14 2" xfId="925" xr:uid="{00000000-0005-0000-0000-0000B3230000}"/>
    <cellStyle name="Normal 8 14 2 2" xfId="9682" xr:uid="{00000000-0005-0000-0000-0000B4230000}"/>
    <cellStyle name="Normal 8 14 3" xfId="9466" xr:uid="{00000000-0005-0000-0000-0000B5230000}"/>
    <cellStyle name="Normal 8 15" xfId="781" xr:uid="{00000000-0005-0000-0000-0000B6230000}"/>
    <cellStyle name="Normal 8 15 2" xfId="997" xr:uid="{00000000-0005-0000-0000-0000B7230000}"/>
    <cellStyle name="Normal 8 15 2 2" xfId="9754" xr:uid="{00000000-0005-0000-0000-0000B8230000}"/>
    <cellStyle name="Normal 8 15 3" xfId="9538" xr:uid="{00000000-0005-0000-0000-0000B9230000}"/>
    <cellStyle name="Normal 8 16" xfId="853" xr:uid="{00000000-0005-0000-0000-0000BA230000}"/>
    <cellStyle name="Normal 8 16 2" xfId="9610" xr:uid="{00000000-0005-0000-0000-0000BB230000}"/>
    <cellStyle name="Normal 8 17" xfId="9392" xr:uid="{00000000-0005-0000-0000-0000BC230000}"/>
    <cellStyle name="Normal 8 2" xfId="203" xr:uid="{00000000-0005-0000-0000-0000BD230000}"/>
    <cellStyle name="Normal 8 2 10" xfId="854" xr:uid="{00000000-0005-0000-0000-0000BE230000}"/>
    <cellStyle name="Normal 8 2 10 2" xfId="9611" xr:uid="{00000000-0005-0000-0000-0000BF230000}"/>
    <cellStyle name="Normal 8 2 11" xfId="9393" xr:uid="{00000000-0005-0000-0000-0000C0230000}"/>
    <cellStyle name="Normal 8 2 2" xfId="377" xr:uid="{00000000-0005-0000-0000-0000C1230000}"/>
    <cellStyle name="Normal 8 2 2 2" xfId="439" xr:uid="{00000000-0005-0000-0000-0000C2230000}"/>
    <cellStyle name="Normal 8 2 2 3" xfId="711" xr:uid="{00000000-0005-0000-0000-0000C3230000}"/>
    <cellStyle name="Normal 8 2 2 3 2" xfId="939" xr:uid="{00000000-0005-0000-0000-0000C4230000}"/>
    <cellStyle name="Normal 8 2 2 3 2 2" xfId="9696" xr:uid="{00000000-0005-0000-0000-0000C5230000}"/>
    <cellStyle name="Normal 8 2 2 3 3" xfId="9480" xr:uid="{00000000-0005-0000-0000-0000C6230000}"/>
    <cellStyle name="Normal 8 2 2 4" xfId="795" xr:uid="{00000000-0005-0000-0000-0000C7230000}"/>
    <cellStyle name="Normal 8 2 2 4 2" xfId="1011" xr:uid="{00000000-0005-0000-0000-0000C8230000}"/>
    <cellStyle name="Normal 8 2 2 4 2 2" xfId="9768" xr:uid="{00000000-0005-0000-0000-0000C9230000}"/>
    <cellStyle name="Normal 8 2 2 4 3" xfId="9552" xr:uid="{00000000-0005-0000-0000-0000CA230000}"/>
    <cellStyle name="Normal 8 2 2 5" xfId="867" xr:uid="{00000000-0005-0000-0000-0000CB230000}"/>
    <cellStyle name="Normal 8 2 2 5 2" xfId="9624" xr:uid="{00000000-0005-0000-0000-0000CC230000}"/>
    <cellStyle name="Normal 8 2 2 6" xfId="9408" xr:uid="{00000000-0005-0000-0000-0000CD230000}"/>
    <cellStyle name="Normal 8 2 3" xfId="420" xr:uid="{00000000-0005-0000-0000-0000CE230000}"/>
    <cellStyle name="Normal 8 2 3 2" xfId="438" xr:uid="{00000000-0005-0000-0000-0000CF230000}"/>
    <cellStyle name="Normal 8 2 3 3" xfId="724" xr:uid="{00000000-0005-0000-0000-0000D0230000}"/>
    <cellStyle name="Normal 8 2 3 3 2" xfId="952" xr:uid="{00000000-0005-0000-0000-0000D1230000}"/>
    <cellStyle name="Normal 8 2 3 3 2 2" xfId="9709" xr:uid="{00000000-0005-0000-0000-0000D2230000}"/>
    <cellStyle name="Normal 8 2 3 3 3" xfId="9493" xr:uid="{00000000-0005-0000-0000-0000D3230000}"/>
    <cellStyle name="Normal 8 2 3 4" xfId="808" xr:uid="{00000000-0005-0000-0000-0000D4230000}"/>
    <cellStyle name="Normal 8 2 3 4 2" xfId="1024" xr:uid="{00000000-0005-0000-0000-0000D5230000}"/>
    <cellStyle name="Normal 8 2 3 4 2 2" xfId="9781" xr:uid="{00000000-0005-0000-0000-0000D6230000}"/>
    <cellStyle name="Normal 8 2 3 4 3" xfId="9565" xr:uid="{00000000-0005-0000-0000-0000D7230000}"/>
    <cellStyle name="Normal 8 2 3 5" xfId="880" xr:uid="{00000000-0005-0000-0000-0000D8230000}"/>
    <cellStyle name="Normal 8 2 3 5 2" xfId="9637" xr:uid="{00000000-0005-0000-0000-0000D9230000}"/>
    <cellStyle name="Normal 8 2 3 6" xfId="9421" xr:uid="{00000000-0005-0000-0000-0000DA230000}"/>
    <cellStyle name="Normal 8 2 4" xfId="437" xr:uid="{00000000-0005-0000-0000-0000DB230000}"/>
    <cellStyle name="Normal 8 2 4 2" xfId="436" xr:uid="{00000000-0005-0000-0000-0000DC230000}"/>
    <cellStyle name="Normal 8 2 5" xfId="435" xr:uid="{00000000-0005-0000-0000-0000DD230000}"/>
    <cellStyle name="Normal 8 2 6" xfId="434" xr:uid="{00000000-0005-0000-0000-0000DE230000}"/>
    <cellStyle name="Normal 8 2 7" xfId="658" xr:uid="{00000000-0005-0000-0000-0000DF230000}"/>
    <cellStyle name="Normal 8 2 7 2" xfId="763" xr:uid="{00000000-0005-0000-0000-0000E0230000}"/>
    <cellStyle name="Normal 8 2 7 2 2" xfId="979" xr:uid="{00000000-0005-0000-0000-0000E1230000}"/>
    <cellStyle name="Normal 8 2 7 2 2 2" xfId="9736" xr:uid="{00000000-0005-0000-0000-0000E2230000}"/>
    <cellStyle name="Normal 8 2 7 2 3" xfId="9520" xr:uid="{00000000-0005-0000-0000-0000E3230000}"/>
    <cellStyle name="Normal 8 2 7 3" xfId="835" xr:uid="{00000000-0005-0000-0000-0000E4230000}"/>
    <cellStyle name="Normal 8 2 7 3 2" xfId="1051" xr:uid="{00000000-0005-0000-0000-0000E5230000}"/>
    <cellStyle name="Normal 8 2 7 3 2 2" xfId="9808" xr:uid="{00000000-0005-0000-0000-0000E6230000}"/>
    <cellStyle name="Normal 8 2 7 3 3" xfId="9592" xr:uid="{00000000-0005-0000-0000-0000E7230000}"/>
    <cellStyle name="Normal 8 2 7 4" xfId="907" xr:uid="{00000000-0005-0000-0000-0000E8230000}"/>
    <cellStyle name="Normal 8 2 7 4 2" xfId="9664" xr:uid="{00000000-0005-0000-0000-0000E9230000}"/>
    <cellStyle name="Normal 8 2 7 5" xfId="9448" xr:uid="{00000000-0005-0000-0000-0000EA230000}"/>
    <cellStyle name="Normal 8 2 8" xfId="697" xr:uid="{00000000-0005-0000-0000-0000EB230000}"/>
    <cellStyle name="Normal 8 2 8 2" xfId="926" xr:uid="{00000000-0005-0000-0000-0000EC230000}"/>
    <cellStyle name="Normal 8 2 8 2 2" xfId="9683" xr:uid="{00000000-0005-0000-0000-0000ED230000}"/>
    <cellStyle name="Normal 8 2 8 3" xfId="9467" xr:uid="{00000000-0005-0000-0000-0000EE230000}"/>
    <cellStyle name="Normal 8 2 9" xfId="782" xr:uid="{00000000-0005-0000-0000-0000EF230000}"/>
    <cellStyle name="Normal 8 2 9 2" xfId="998" xr:uid="{00000000-0005-0000-0000-0000F0230000}"/>
    <cellStyle name="Normal 8 2 9 2 2" xfId="9755" xr:uid="{00000000-0005-0000-0000-0000F1230000}"/>
    <cellStyle name="Normal 8 2 9 3" xfId="9539" xr:uid="{00000000-0005-0000-0000-0000F2230000}"/>
    <cellStyle name="Normal 8 3" xfId="376" xr:uid="{00000000-0005-0000-0000-0000F3230000}"/>
    <cellStyle name="Normal 8 3 10" xfId="9407" xr:uid="{00000000-0005-0000-0000-0000F4230000}"/>
    <cellStyle name="Normal 8 3 2" xfId="433" xr:uid="{00000000-0005-0000-0000-0000F5230000}"/>
    <cellStyle name="Normal 8 3 2 2" xfId="432" xr:uid="{00000000-0005-0000-0000-0000F6230000}"/>
    <cellStyle name="Normal 8 3 3" xfId="431" xr:uid="{00000000-0005-0000-0000-0000F7230000}"/>
    <cellStyle name="Normal 8 3 3 2" xfId="430" xr:uid="{00000000-0005-0000-0000-0000F8230000}"/>
    <cellStyle name="Normal 8 3 4" xfId="429" xr:uid="{00000000-0005-0000-0000-0000F9230000}"/>
    <cellStyle name="Normal 8 3 4 2" xfId="428" xr:uid="{00000000-0005-0000-0000-0000FA230000}"/>
    <cellStyle name="Normal 8 3 5" xfId="427" xr:uid="{00000000-0005-0000-0000-0000FB230000}"/>
    <cellStyle name="Normal 8 3 6" xfId="426" xr:uid="{00000000-0005-0000-0000-0000FC230000}"/>
    <cellStyle name="Normal 8 3 7" xfId="710" xr:uid="{00000000-0005-0000-0000-0000FD230000}"/>
    <cellStyle name="Normal 8 3 7 2" xfId="938" xr:uid="{00000000-0005-0000-0000-0000FE230000}"/>
    <cellStyle name="Normal 8 3 7 2 2" xfId="9695" xr:uid="{00000000-0005-0000-0000-0000FF230000}"/>
    <cellStyle name="Normal 8 3 7 3" xfId="9479" xr:uid="{00000000-0005-0000-0000-000000240000}"/>
    <cellStyle name="Normal 8 3 8" xfId="794" xr:uid="{00000000-0005-0000-0000-000001240000}"/>
    <cellStyle name="Normal 8 3 8 2" xfId="1010" xr:uid="{00000000-0005-0000-0000-000002240000}"/>
    <cellStyle name="Normal 8 3 8 2 2" xfId="9767" xr:uid="{00000000-0005-0000-0000-000003240000}"/>
    <cellStyle name="Normal 8 3 8 3" xfId="9551" xr:uid="{00000000-0005-0000-0000-000004240000}"/>
    <cellStyle name="Normal 8 3 9" xfId="866" xr:uid="{00000000-0005-0000-0000-000005240000}"/>
    <cellStyle name="Normal 8 3 9 2" xfId="9623" xr:uid="{00000000-0005-0000-0000-000006240000}"/>
    <cellStyle name="Normal 8 4" xfId="419" xr:uid="{00000000-0005-0000-0000-000007240000}"/>
    <cellStyle name="Normal 8 4 10" xfId="9420" xr:uid="{00000000-0005-0000-0000-000008240000}"/>
    <cellStyle name="Normal 8 4 2" xfId="425" xr:uid="{00000000-0005-0000-0000-000009240000}"/>
    <cellStyle name="Normal 8 4 2 2" xfId="424" xr:uid="{00000000-0005-0000-0000-00000A240000}"/>
    <cellStyle name="Normal 8 4 3" xfId="423" xr:uid="{00000000-0005-0000-0000-00000B240000}"/>
    <cellStyle name="Normal 8 4 3 2" xfId="418" xr:uid="{00000000-0005-0000-0000-00000C240000}"/>
    <cellStyle name="Normal 8 4 4" xfId="409" xr:uid="{00000000-0005-0000-0000-00000D240000}"/>
    <cellStyle name="Normal 8 4 4 2" xfId="408" xr:uid="{00000000-0005-0000-0000-00000E240000}"/>
    <cellStyle name="Normal 8 4 5" xfId="407" xr:uid="{00000000-0005-0000-0000-00000F240000}"/>
    <cellStyle name="Normal 8 4 6" xfId="406" xr:uid="{00000000-0005-0000-0000-000010240000}"/>
    <cellStyle name="Normal 8 4 7" xfId="723" xr:uid="{00000000-0005-0000-0000-000011240000}"/>
    <cellStyle name="Normal 8 4 7 2" xfId="951" xr:uid="{00000000-0005-0000-0000-000012240000}"/>
    <cellStyle name="Normal 8 4 7 2 2" xfId="9708" xr:uid="{00000000-0005-0000-0000-000013240000}"/>
    <cellStyle name="Normal 8 4 7 3" xfId="9492" xr:uid="{00000000-0005-0000-0000-000014240000}"/>
    <cellStyle name="Normal 8 4 8" xfId="807" xr:uid="{00000000-0005-0000-0000-000015240000}"/>
    <cellStyle name="Normal 8 4 8 2" xfId="1023" xr:uid="{00000000-0005-0000-0000-000016240000}"/>
    <cellStyle name="Normal 8 4 8 2 2" xfId="9780" xr:uid="{00000000-0005-0000-0000-000017240000}"/>
    <cellStyle name="Normal 8 4 8 3" xfId="9564" xr:uid="{00000000-0005-0000-0000-000018240000}"/>
    <cellStyle name="Normal 8 4 9" xfId="879" xr:uid="{00000000-0005-0000-0000-000019240000}"/>
    <cellStyle name="Normal 8 4 9 2" xfId="9636" xr:uid="{00000000-0005-0000-0000-00001A240000}"/>
    <cellStyle name="Normal 8 5" xfId="405" xr:uid="{00000000-0005-0000-0000-00001B240000}"/>
    <cellStyle name="Normal 8 5 2" xfId="404" xr:uid="{00000000-0005-0000-0000-00001C240000}"/>
    <cellStyle name="Normal 8 5 2 2" xfId="403" xr:uid="{00000000-0005-0000-0000-00001D240000}"/>
    <cellStyle name="Normal 8 5 3" xfId="402" xr:uid="{00000000-0005-0000-0000-00001E240000}"/>
    <cellStyle name="Normal 8 5 3 2" xfId="401" xr:uid="{00000000-0005-0000-0000-00001F240000}"/>
    <cellStyle name="Normal 8 5 4" xfId="400" xr:uid="{00000000-0005-0000-0000-000020240000}"/>
    <cellStyle name="Normal 8 5 5" xfId="398" xr:uid="{00000000-0005-0000-0000-000021240000}"/>
    <cellStyle name="Normal 8 6" xfId="380" xr:uid="{00000000-0005-0000-0000-000022240000}"/>
    <cellStyle name="Normal 8 6 2" xfId="397" xr:uid="{00000000-0005-0000-0000-000023240000}"/>
    <cellStyle name="Normal 8 6 2 2" xfId="396" xr:uid="{00000000-0005-0000-0000-000024240000}"/>
    <cellStyle name="Normal 8 6 3" xfId="395" xr:uid="{00000000-0005-0000-0000-000025240000}"/>
    <cellStyle name="Normal 8 6 3 2" xfId="394" xr:uid="{00000000-0005-0000-0000-000026240000}"/>
    <cellStyle name="Normal 8 6 4" xfId="393" xr:uid="{00000000-0005-0000-0000-000027240000}"/>
    <cellStyle name="Normal 8 6 5" xfId="392" xr:uid="{00000000-0005-0000-0000-000028240000}"/>
    <cellStyle name="Normal 8 7" xfId="391" xr:uid="{00000000-0005-0000-0000-000029240000}"/>
    <cellStyle name="Normal 8 7 2" xfId="390" xr:uid="{00000000-0005-0000-0000-00002A240000}"/>
    <cellStyle name="Normal 8 7 2 2" xfId="389" xr:uid="{00000000-0005-0000-0000-00002B240000}"/>
    <cellStyle name="Normal 8 7 3" xfId="388" xr:uid="{00000000-0005-0000-0000-00002C240000}"/>
    <cellStyle name="Normal 8 7 3 2" xfId="387" xr:uid="{00000000-0005-0000-0000-00002D240000}"/>
    <cellStyle name="Normal 8 7 4" xfId="386" xr:uid="{00000000-0005-0000-0000-00002E240000}"/>
    <cellStyle name="Normal 8 7 5" xfId="385" xr:uid="{00000000-0005-0000-0000-00002F240000}"/>
    <cellStyle name="Normal 8 8" xfId="384" xr:uid="{00000000-0005-0000-0000-000030240000}"/>
    <cellStyle name="Normal 8 8 2" xfId="383" xr:uid="{00000000-0005-0000-0000-000031240000}"/>
    <cellStyle name="Normal 8 9" xfId="382" xr:uid="{00000000-0005-0000-0000-000032240000}"/>
    <cellStyle name="Normal 8 9 2" xfId="381" xr:uid="{00000000-0005-0000-0000-000033240000}"/>
    <cellStyle name="Normal 9" xfId="204" xr:uid="{00000000-0005-0000-0000-000034240000}"/>
    <cellStyle name="Normal 9 10" xfId="783" xr:uid="{00000000-0005-0000-0000-000035240000}"/>
    <cellStyle name="Normal 9 10 2" xfId="999" xr:uid="{00000000-0005-0000-0000-000036240000}"/>
    <cellStyle name="Normal 9 10 2 2" xfId="9756" xr:uid="{00000000-0005-0000-0000-000037240000}"/>
    <cellStyle name="Normal 9 10 3" xfId="9540" xr:uid="{00000000-0005-0000-0000-000038240000}"/>
    <cellStyle name="Normal 9 11" xfId="855" xr:uid="{00000000-0005-0000-0000-000039240000}"/>
    <cellStyle name="Normal 9 11 2" xfId="9612" xr:uid="{00000000-0005-0000-0000-00003A240000}"/>
    <cellStyle name="Normal 9 12" xfId="9394" xr:uid="{00000000-0005-0000-0000-00003B240000}"/>
    <cellStyle name="Normal 9 2" xfId="205" xr:uid="{00000000-0005-0000-0000-00003C240000}"/>
    <cellStyle name="Normal 9 2 2" xfId="379" xr:uid="{00000000-0005-0000-0000-00003D240000}"/>
    <cellStyle name="Normal 9 2 2 2" xfId="713" xr:uid="{00000000-0005-0000-0000-00003E240000}"/>
    <cellStyle name="Normal 9 2 2 2 2" xfId="941" xr:uid="{00000000-0005-0000-0000-00003F240000}"/>
    <cellStyle name="Normal 9 2 2 2 2 2" xfId="9698" xr:uid="{00000000-0005-0000-0000-000040240000}"/>
    <cellStyle name="Normal 9 2 2 2 3" xfId="9482" xr:uid="{00000000-0005-0000-0000-000041240000}"/>
    <cellStyle name="Normal 9 2 2 3" xfId="797" xr:uid="{00000000-0005-0000-0000-000042240000}"/>
    <cellStyle name="Normal 9 2 2 3 2" xfId="1013" xr:uid="{00000000-0005-0000-0000-000043240000}"/>
    <cellStyle name="Normal 9 2 2 3 2 2" xfId="9770" xr:uid="{00000000-0005-0000-0000-000044240000}"/>
    <cellStyle name="Normal 9 2 2 3 3" xfId="9554" xr:uid="{00000000-0005-0000-0000-000045240000}"/>
    <cellStyle name="Normal 9 2 2 4" xfId="869" xr:uid="{00000000-0005-0000-0000-000046240000}"/>
    <cellStyle name="Normal 9 2 2 4 2" xfId="9626" xr:uid="{00000000-0005-0000-0000-000047240000}"/>
    <cellStyle name="Normal 9 2 2 5" xfId="9410" xr:uid="{00000000-0005-0000-0000-000048240000}"/>
    <cellStyle name="Normal 9 2 3" xfId="422" xr:uid="{00000000-0005-0000-0000-000049240000}"/>
    <cellStyle name="Normal 9 2 3 2" xfId="726" xr:uid="{00000000-0005-0000-0000-00004A240000}"/>
    <cellStyle name="Normal 9 2 3 2 2" xfId="954" xr:uid="{00000000-0005-0000-0000-00004B240000}"/>
    <cellStyle name="Normal 9 2 3 2 2 2" xfId="9711" xr:uid="{00000000-0005-0000-0000-00004C240000}"/>
    <cellStyle name="Normal 9 2 3 2 3" xfId="9495" xr:uid="{00000000-0005-0000-0000-00004D240000}"/>
    <cellStyle name="Normal 9 2 3 3" xfId="810" xr:uid="{00000000-0005-0000-0000-00004E240000}"/>
    <cellStyle name="Normal 9 2 3 3 2" xfId="1026" xr:uid="{00000000-0005-0000-0000-00004F240000}"/>
    <cellStyle name="Normal 9 2 3 3 2 2" xfId="9783" xr:uid="{00000000-0005-0000-0000-000050240000}"/>
    <cellStyle name="Normal 9 2 3 3 3" xfId="9567" xr:uid="{00000000-0005-0000-0000-000051240000}"/>
    <cellStyle name="Normal 9 2 3 4" xfId="882" xr:uid="{00000000-0005-0000-0000-000052240000}"/>
    <cellStyle name="Normal 9 2 3 4 2" xfId="9639" xr:uid="{00000000-0005-0000-0000-000053240000}"/>
    <cellStyle name="Normal 9 2 3 5" xfId="9423" xr:uid="{00000000-0005-0000-0000-000054240000}"/>
    <cellStyle name="Normal 9 2 4" xfId="660" xr:uid="{00000000-0005-0000-0000-000055240000}"/>
    <cellStyle name="Normal 9 2 4 2" xfId="765" xr:uid="{00000000-0005-0000-0000-000056240000}"/>
    <cellStyle name="Normal 9 2 4 2 2" xfId="981" xr:uid="{00000000-0005-0000-0000-000057240000}"/>
    <cellStyle name="Normal 9 2 4 2 2 2" xfId="9738" xr:uid="{00000000-0005-0000-0000-000058240000}"/>
    <cellStyle name="Normal 9 2 4 2 3" xfId="9522" xr:uid="{00000000-0005-0000-0000-000059240000}"/>
    <cellStyle name="Normal 9 2 4 3" xfId="837" xr:uid="{00000000-0005-0000-0000-00005A240000}"/>
    <cellStyle name="Normal 9 2 4 3 2" xfId="1053" xr:uid="{00000000-0005-0000-0000-00005B240000}"/>
    <cellStyle name="Normal 9 2 4 3 2 2" xfId="9810" xr:uid="{00000000-0005-0000-0000-00005C240000}"/>
    <cellStyle name="Normal 9 2 4 3 3" xfId="9594" xr:uid="{00000000-0005-0000-0000-00005D240000}"/>
    <cellStyle name="Normal 9 2 4 4" xfId="909" xr:uid="{00000000-0005-0000-0000-00005E240000}"/>
    <cellStyle name="Normal 9 2 4 4 2" xfId="9666" xr:uid="{00000000-0005-0000-0000-00005F240000}"/>
    <cellStyle name="Normal 9 2 4 5" xfId="9450" xr:uid="{00000000-0005-0000-0000-000060240000}"/>
    <cellStyle name="Normal 9 2 5" xfId="699" xr:uid="{00000000-0005-0000-0000-000061240000}"/>
    <cellStyle name="Normal 9 2 5 2" xfId="928" xr:uid="{00000000-0005-0000-0000-000062240000}"/>
    <cellStyle name="Normal 9 2 5 2 2" xfId="9685" xr:uid="{00000000-0005-0000-0000-000063240000}"/>
    <cellStyle name="Normal 9 2 5 3" xfId="9469" xr:uid="{00000000-0005-0000-0000-000064240000}"/>
    <cellStyle name="Normal 9 2 6" xfId="784" xr:uid="{00000000-0005-0000-0000-000065240000}"/>
    <cellStyle name="Normal 9 2 6 2" xfId="1000" xr:uid="{00000000-0005-0000-0000-000066240000}"/>
    <cellStyle name="Normal 9 2 6 2 2" xfId="9757" xr:uid="{00000000-0005-0000-0000-000067240000}"/>
    <cellStyle name="Normal 9 2 6 3" xfId="9541" xr:uid="{00000000-0005-0000-0000-000068240000}"/>
    <cellStyle name="Normal 9 2 7" xfId="856" xr:uid="{00000000-0005-0000-0000-000069240000}"/>
    <cellStyle name="Normal 9 2 7 2" xfId="9613" xr:uid="{00000000-0005-0000-0000-00006A240000}"/>
    <cellStyle name="Normal 9 2 8" xfId="9395" xr:uid="{00000000-0005-0000-0000-00006B240000}"/>
    <cellStyle name="Normal 9 3" xfId="378" xr:uid="{00000000-0005-0000-0000-00006C240000}"/>
    <cellStyle name="Normal 9 3 2" xfId="712" xr:uid="{00000000-0005-0000-0000-00006D240000}"/>
    <cellStyle name="Normal 9 3 2 2" xfId="940" xr:uid="{00000000-0005-0000-0000-00006E240000}"/>
    <cellStyle name="Normal 9 3 2 2 2" xfId="9697" xr:uid="{00000000-0005-0000-0000-00006F240000}"/>
    <cellStyle name="Normal 9 3 2 3" xfId="9481" xr:uid="{00000000-0005-0000-0000-000070240000}"/>
    <cellStyle name="Normal 9 3 3" xfId="796" xr:uid="{00000000-0005-0000-0000-000071240000}"/>
    <cellStyle name="Normal 9 3 3 2" xfId="1012" xr:uid="{00000000-0005-0000-0000-000072240000}"/>
    <cellStyle name="Normal 9 3 3 2 2" xfId="9769" xr:uid="{00000000-0005-0000-0000-000073240000}"/>
    <cellStyle name="Normal 9 3 3 3" xfId="9553" xr:uid="{00000000-0005-0000-0000-000074240000}"/>
    <cellStyle name="Normal 9 3 4" xfId="868" xr:uid="{00000000-0005-0000-0000-000075240000}"/>
    <cellStyle name="Normal 9 3 4 2" xfId="9625" xr:uid="{00000000-0005-0000-0000-000076240000}"/>
    <cellStyle name="Normal 9 3 5" xfId="9409" xr:uid="{00000000-0005-0000-0000-000077240000}"/>
    <cellStyle name="Normal 9 4" xfId="421" xr:uid="{00000000-0005-0000-0000-000078240000}"/>
    <cellStyle name="Normal 9 4 2" xfId="725" xr:uid="{00000000-0005-0000-0000-000079240000}"/>
    <cellStyle name="Normal 9 4 2 2" xfId="953" xr:uid="{00000000-0005-0000-0000-00007A240000}"/>
    <cellStyle name="Normal 9 4 2 2 2" xfId="9710" xr:uid="{00000000-0005-0000-0000-00007B240000}"/>
    <cellStyle name="Normal 9 4 2 3" xfId="9494" xr:uid="{00000000-0005-0000-0000-00007C240000}"/>
    <cellStyle name="Normal 9 4 3" xfId="809" xr:uid="{00000000-0005-0000-0000-00007D240000}"/>
    <cellStyle name="Normal 9 4 3 2" xfId="1025" xr:uid="{00000000-0005-0000-0000-00007E240000}"/>
    <cellStyle name="Normal 9 4 3 2 2" xfId="9782" xr:uid="{00000000-0005-0000-0000-00007F240000}"/>
    <cellStyle name="Normal 9 4 3 3" xfId="9566" xr:uid="{00000000-0005-0000-0000-000080240000}"/>
    <cellStyle name="Normal 9 4 4" xfId="881" xr:uid="{00000000-0005-0000-0000-000081240000}"/>
    <cellStyle name="Normal 9 4 4 2" xfId="9638" xr:uid="{00000000-0005-0000-0000-000082240000}"/>
    <cellStyle name="Normal 9 4 5" xfId="9422" xr:uid="{00000000-0005-0000-0000-000083240000}"/>
    <cellStyle name="Normal 9 5" xfId="624" xr:uid="{00000000-0005-0000-0000-000084240000}"/>
    <cellStyle name="Normal 9 5 2" xfId="734" xr:uid="{00000000-0005-0000-0000-000085240000}"/>
    <cellStyle name="Normal 9 5 2 2" xfId="962" xr:uid="{00000000-0005-0000-0000-000086240000}"/>
    <cellStyle name="Normal 9 5 2 2 2" xfId="9719" xr:uid="{00000000-0005-0000-0000-000087240000}"/>
    <cellStyle name="Normal 9 5 2 3" xfId="9503" xr:uid="{00000000-0005-0000-0000-000088240000}"/>
    <cellStyle name="Normal 9 5 3" xfId="818" xr:uid="{00000000-0005-0000-0000-000089240000}"/>
    <cellStyle name="Normal 9 5 3 2" xfId="1034" xr:uid="{00000000-0005-0000-0000-00008A240000}"/>
    <cellStyle name="Normal 9 5 3 2 2" xfId="9791" xr:uid="{00000000-0005-0000-0000-00008B240000}"/>
    <cellStyle name="Normal 9 5 3 3" xfId="9575" xr:uid="{00000000-0005-0000-0000-00008C240000}"/>
    <cellStyle name="Normal 9 5 4" xfId="890" xr:uid="{00000000-0005-0000-0000-00008D240000}"/>
    <cellStyle name="Normal 9 5 4 2" xfId="9647" xr:uid="{00000000-0005-0000-0000-00008E240000}"/>
    <cellStyle name="Normal 9 5 5" xfId="9431" xr:uid="{00000000-0005-0000-0000-00008F240000}"/>
    <cellStyle name="Normal 9 6" xfId="632" xr:uid="{00000000-0005-0000-0000-000090240000}"/>
    <cellStyle name="Normal 9 6 2" xfId="740" xr:uid="{00000000-0005-0000-0000-000091240000}"/>
    <cellStyle name="Normal 9 6 2 2" xfId="968" xr:uid="{00000000-0005-0000-0000-000092240000}"/>
    <cellStyle name="Normal 9 6 2 2 2" xfId="9725" xr:uid="{00000000-0005-0000-0000-000093240000}"/>
    <cellStyle name="Normal 9 6 2 3" xfId="9509" xr:uid="{00000000-0005-0000-0000-000094240000}"/>
    <cellStyle name="Normal 9 6 3" xfId="824" xr:uid="{00000000-0005-0000-0000-000095240000}"/>
    <cellStyle name="Normal 9 6 3 2" xfId="1040" xr:uid="{00000000-0005-0000-0000-000096240000}"/>
    <cellStyle name="Normal 9 6 3 2 2" xfId="9797" xr:uid="{00000000-0005-0000-0000-000097240000}"/>
    <cellStyle name="Normal 9 6 3 3" xfId="9581" xr:uid="{00000000-0005-0000-0000-000098240000}"/>
    <cellStyle name="Normal 9 6 4" xfId="896" xr:uid="{00000000-0005-0000-0000-000099240000}"/>
    <cellStyle name="Normal 9 6 4 2" xfId="9653" xr:uid="{00000000-0005-0000-0000-00009A240000}"/>
    <cellStyle name="Normal 9 6 5" xfId="9437" xr:uid="{00000000-0005-0000-0000-00009B240000}"/>
    <cellStyle name="Normal 9 7" xfId="659" xr:uid="{00000000-0005-0000-0000-00009C240000}"/>
    <cellStyle name="Normal 9 7 2" xfId="764" xr:uid="{00000000-0005-0000-0000-00009D240000}"/>
    <cellStyle name="Normal 9 7 2 2" xfId="980" xr:uid="{00000000-0005-0000-0000-00009E240000}"/>
    <cellStyle name="Normal 9 7 2 2 2" xfId="9737" xr:uid="{00000000-0005-0000-0000-00009F240000}"/>
    <cellStyle name="Normal 9 7 2 3" xfId="9521" xr:uid="{00000000-0005-0000-0000-0000A0240000}"/>
    <cellStyle name="Normal 9 7 3" xfId="836" xr:uid="{00000000-0005-0000-0000-0000A1240000}"/>
    <cellStyle name="Normal 9 7 3 2" xfId="1052" xr:uid="{00000000-0005-0000-0000-0000A2240000}"/>
    <cellStyle name="Normal 9 7 3 2 2" xfId="9809" xr:uid="{00000000-0005-0000-0000-0000A3240000}"/>
    <cellStyle name="Normal 9 7 3 3" xfId="9593" xr:uid="{00000000-0005-0000-0000-0000A4240000}"/>
    <cellStyle name="Normal 9 7 4" xfId="908" xr:uid="{00000000-0005-0000-0000-0000A5240000}"/>
    <cellStyle name="Normal 9 7 4 2" xfId="9665" xr:uid="{00000000-0005-0000-0000-0000A6240000}"/>
    <cellStyle name="Normal 9 7 5" xfId="9449" xr:uid="{00000000-0005-0000-0000-0000A7240000}"/>
    <cellStyle name="Normal 9 8" xfId="677" xr:uid="{00000000-0005-0000-0000-0000A8240000}"/>
    <cellStyle name="Normal 9 8 2" xfId="771" xr:uid="{00000000-0005-0000-0000-0000A9240000}"/>
    <cellStyle name="Normal 9 8 2 2" xfId="987" xr:uid="{00000000-0005-0000-0000-0000AA240000}"/>
    <cellStyle name="Normal 9 8 2 2 2" xfId="9744" xr:uid="{00000000-0005-0000-0000-0000AB240000}"/>
    <cellStyle name="Normal 9 8 2 3" xfId="9528" xr:uid="{00000000-0005-0000-0000-0000AC240000}"/>
    <cellStyle name="Normal 9 8 3" xfId="843" xr:uid="{00000000-0005-0000-0000-0000AD240000}"/>
    <cellStyle name="Normal 9 8 3 2" xfId="1059" xr:uid="{00000000-0005-0000-0000-0000AE240000}"/>
    <cellStyle name="Normal 9 8 3 2 2" xfId="9816" xr:uid="{00000000-0005-0000-0000-0000AF240000}"/>
    <cellStyle name="Normal 9 8 3 3" xfId="9600" xr:uid="{00000000-0005-0000-0000-0000B0240000}"/>
    <cellStyle name="Normal 9 8 4" xfId="915" xr:uid="{00000000-0005-0000-0000-0000B1240000}"/>
    <cellStyle name="Normal 9 8 4 2" xfId="9672" xr:uid="{00000000-0005-0000-0000-0000B2240000}"/>
    <cellStyle name="Normal 9 8 5" xfId="9456" xr:uid="{00000000-0005-0000-0000-0000B3240000}"/>
    <cellStyle name="Normal 9 9" xfId="698" xr:uid="{00000000-0005-0000-0000-0000B4240000}"/>
    <cellStyle name="Normal 9 9 2" xfId="927" xr:uid="{00000000-0005-0000-0000-0000B5240000}"/>
    <cellStyle name="Normal 9 9 2 2" xfId="9684" xr:uid="{00000000-0005-0000-0000-0000B6240000}"/>
    <cellStyle name="Normal 9 9 3" xfId="9468" xr:uid="{00000000-0005-0000-0000-0000B7240000}"/>
    <cellStyle name="Normal_21 Exh B" xfId="206" xr:uid="{00000000-0005-0000-0000-0000B8240000}"/>
    <cellStyle name="Normal_ADITAnalysisID090805" xfId="9820" xr:uid="{00000000-0005-0000-0000-0000B9240000}"/>
    <cellStyle name="Normal_ATC Projected 2008 Monthly Plant Balances for Attachment O 2 (2)" xfId="207" xr:uid="{00000000-0005-0000-0000-0000BA240000}"/>
    <cellStyle name="Normal_Attachment GG Example 8 26 09" xfId="208" xr:uid="{00000000-0005-0000-0000-0000BB240000}"/>
    <cellStyle name="Normal_Attachment GG Template ER11-28 11-18-10" xfId="209" xr:uid="{00000000-0005-0000-0000-0000BC240000}"/>
    <cellStyle name="Normal_Attachment Os for 2002 True-up" xfId="210" xr:uid="{00000000-0005-0000-0000-0000BD240000}"/>
    <cellStyle name="Normal_FERC Functional M&amp;S All Cos" xfId="554" xr:uid="{00000000-0005-0000-0000-0000BE240000}"/>
    <cellStyle name="Normal_Schedule O Info for Mike" xfId="211" xr:uid="{00000000-0005-0000-0000-0000BF240000}"/>
    <cellStyle name="Normal_Support 2003 PSI Peak Demand excluding Joint Owners 2" xfId="555" xr:uid="{00000000-0005-0000-0000-0000C0240000}"/>
    <cellStyle name="Note 2" xfId="604" xr:uid="{00000000-0005-0000-0000-0000C1240000}"/>
    <cellStyle name="Note 2 2" xfId="9143" xr:uid="{00000000-0005-0000-0000-0000C2240000}"/>
    <cellStyle name="Note 3" xfId="9144" xr:uid="{00000000-0005-0000-0000-0000C3240000}"/>
    <cellStyle name="Note 4" xfId="9145" xr:uid="{00000000-0005-0000-0000-0000C4240000}"/>
    <cellStyle name="Note 5" xfId="9146" xr:uid="{00000000-0005-0000-0000-0000C5240000}"/>
    <cellStyle name="Note 5 2" xfId="9147" xr:uid="{00000000-0005-0000-0000-0000C6240000}"/>
    <cellStyle name="Note 5 2 2" xfId="9148" xr:uid="{00000000-0005-0000-0000-0000C7240000}"/>
    <cellStyle name="Note 5 2 3" xfId="9149" xr:uid="{00000000-0005-0000-0000-0000C8240000}"/>
    <cellStyle name="Note 5 3" xfId="9150" xr:uid="{00000000-0005-0000-0000-0000C9240000}"/>
    <cellStyle name="Note 5 4" xfId="9151" xr:uid="{00000000-0005-0000-0000-0000CA240000}"/>
    <cellStyle name="Note 5 5" xfId="9152" xr:uid="{00000000-0005-0000-0000-0000CB240000}"/>
    <cellStyle name="Note 6" xfId="9153" xr:uid="{00000000-0005-0000-0000-0000CC240000}"/>
    <cellStyle name="Note 7" xfId="9154" xr:uid="{00000000-0005-0000-0000-0000CD240000}"/>
    <cellStyle name="Note 8" xfId="9155" xr:uid="{00000000-0005-0000-0000-0000CE240000}"/>
    <cellStyle name="Note 9" xfId="9156" xr:uid="{00000000-0005-0000-0000-0000CF240000}"/>
    <cellStyle name="Output 2" xfId="605" xr:uid="{00000000-0005-0000-0000-0000D0240000}"/>
    <cellStyle name="Output 2 2" xfId="9157" xr:uid="{00000000-0005-0000-0000-0000D1240000}"/>
    <cellStyle name="Output 3" xfId="9158" xr:uid="{00000000-0005-0000-0000-0000D2240000}"/>
    <cellStyle name="Output 4" xfId="9159" xr:uid="{00000000-0005-0000-0000-0000D3240000}"/>
    <cellStyle name="Output 5" xfId="9160" xr:uid="{00000000-0005-0000-0000-0000D4240000}"/>
    <cellStyle name="Output 6" xfId="9161" xr:uid="{00000000-0005-0000-0000-0000D5240000}"/>
    <cellStyle name="Output 7" xfId="9162" xr:uid="{00000000-0005-0000-0000-0000D6240000}"/>
    <cellStyle name="Output 8" xfId="9163" xr:uid="{00000000-0005-0000-0000-0000D7240000}"/>
    <cellStyle name="Output 9" xfId="9164" xr:uid="{00000000-0005-0000-0000-0000D8240000}"/>
    <cellStyle name="Output1_Back" xfId="212" xr:uid="{00000000-0005-0000-0000-0000D9240000}"/>
    <cellStyle name="p" xfId="213" xr:uid="{00000000-0005-0000-0000-0000DA240000}"/>
    <cellStyle name="p_2010 Attachment O  GG_082709" xfId="214" xr:uid="{00000000-0005-0000-0000-0000DB240000}"/>
    <cellStyle name="p_2010 Attachment O Template Supporting Work Papers_ITC Midwest" xfId="215" xr:uid="{00000000-0005-0000-0000-0000DC240000}"/>
    <cellStyle name="p_2010 Attachment O Template Supporting Work Papers_ITCTransmission" xfId="216" xr:uid="{00000000-0005-0000-0000-0000DD240000}"/>
    <cellStyle name="p_2010 Attachment O Template Supporting Work Papers_METC" xfId="217" xr:uid="{00000000-0005-0000-0000-0000DE240000}"/>
    <cellStyle name="p_2Mod11" xfId="218" xr:uid="{00000000-0005-0000-0000-0000DF240000}"/>
    <cellStyle name="p_aavidmod11.xls Chart 1" xfId="219" xr:uid="{00000000-0005-0000-0000-0000E0240000}"/>
    <cellStyle name="p_aavidmod11.xls Chart 2" xfId="220" xr:uid="{00000000-0005-0000-0000-0000E1240000}"/>
    <cellStyle name="p_Attachment O &amp; GG" xfId="221" xr:uid="{00000000-0005-0000-0000-0000E2240000}"/>
    <cellStyle name="p_charts for capm" xfId="222" xr:uid="{00000000-0005-0000-0000-0000E3240000}"/>
    <cellStyle name="p_DCF" xfId="223" xr:uid="{00000000-0005-0000-0000-0000E4240000}"/>
    <cellStyle name="p_DCF_2Mod11" xfId="224" xr:uid="{00000000-0005-0000-0000-0000E5240000}"/>
    <cellStyle name="p_DCF_aavidmod11.xls Chart 1" xfId="225" xr:uid="{00000000-0005-0000-0000-0000E6240000}"/>
    <cellStyle name="p_DCF_aavidmod11.xls Chart 2" xfId="226" xr:uid="{00000000-0005-0000-0000-0000E7240000}"/>
    <cellStyle name="p_DCF_charts for capm" xfId="227" xr:uid="{00000000-0005-0000-0000-0000E8240000}"/>
    <cellStyle name="p_DCF_DCF5" xfId="228" xr:uid="{00000000-0005-0000-0000-0000E9240000}"/>
    <cellStyle name="p_DCF_Template2" xfId="229" xr:uid="{00000000-0005-0000-0000-0000EA240000}"/>
    <cellStyle name="p_DCF_Template2_1" xfId="230" xr:uid="{00000000-0005-0000-0000-0000EB240000}"/>
    <cellStyle name="p_DCF_VERA" xfId="231" xr:uid="{00000000-0005-0000-0000-0000EC240000}"/>
    <cellStyle name="p_DCF_VERA_1" xfId="232" xr:uid="{00000000-0005-0000-0000-0000ED240000}"/>
    <cellStyle name="p_DCF_VERA_1_Template2" xfId="233" xr:uid="{00000000-0005-0000-0000-0000EE240000}"/>
    <cellStyle name="p_DCF_VERA_aavidmod11.xls Chart 2" xfId="234" xr:uid="{00000000-0005-0000-0000-0000EF240000}"/>
    <cellStyle name="p_DCF_VERA_Model02" xfId="235" xr:uid="{00000000-0005-0000-0000-0000F0240000}"/>
    <cellStyle name="p_DCF_VERA_Template2" xfId="236" xr:uid="{00000000-0005-0000-0000-0000F1240000}"/>
    <cellStyle name="p_DCF_VERA_VERA" xfId="237" xr:uid="{00000000-0005-0000-0000-0000F2240000}"/>
    <cellStyle name="p_DCF_VERA_VERA_1" xfId="238" xr:uid="{00000000-0005-0000-0000-0000F3240000}"/>
    <cellStyle name="p_DCF_VERA_VERA_2" xfId="239" xr:uid="{00000000-0005-0000-0000-0000F4240000}"/>
    <cellStyle name="p_DCF_VERA_VERA_Template2" xfId="240" xr:uid="{00000000-0005-0000-0000-0000F5240000}"/>
    <cellStyle name="p_DCF5" xfId="241" xr:uid="{00000000-0005-0000-0000-0000F6240000}"/>
    <cellStyle name="p_ITC Great Plains Formula 1-12-09a" xfId="242" xr:uid="{00000000-0005-0000-0000-0000F7240000}"/>
    <cellStyle name="p_ITCM 2010 Template" xfId="243" xr:uid="{00000000-0005-0000-0000-0000F8240000}"/>
    <cellStyle name="p_ITCMW 2009 Rate" xfId="244" xr:uid="{00000000-0005-0000-0000-0000F9240000}"/>
    <cellStyle name="p_ITCMW 2010 Rate_083109" xfId="245" xr:uid="{00000000-0005-0000-0000-0000FA240000}"/>
    <cellStyle name="p_ITCOP 2010 Rate_083109" xfId="246" xr:uid="{00000000-0005-0000-0000-0000FB240000}"/>
    <cellStyle name="p_ITCT 2009 Rate" xfId="247" xr:uid="{00000000-0005-0000-0000-0000FC240000}"/>
    <cellStyle name="p_ITCT New 2010 Attachment O &amp; GG_111209NL" xfId="248" xr:uid="{00000000-0005-0000-0000-0000FD240000}"/>
    <cellStyle name="p_METC 2010 Rate_083109" xfId="249" xr:uid="{00000000-0005-0000-0000-0000FE240000}"/>
    <cellStyle name="p_Template2" xfId="250" xr:uid="{00000000-0005-0000-0000-0000FF240000}"/>
    <cellStyle name="p_Template2_1" xfId="251" xr:uid="{00000000-0005-0000-0000-000000250000}"/>
    <cellStyle name="p_VERA" xfId="252" xr:uid="{00000000-0005-0000-0000-000001250000}"/>
    <cellStyle name="p_VERA_1" xfId="253" xr:uid="{00000000-0005-0000-0000-000002250000}"/>
    <cellStyle name="p_VERA_1_Template2" xfId="254" xr:uid="{00000000-0005-0000-0000-000003250000}"/>
    <cellStyle name="p_VERA_aavidmod11.xls Chart 2" xfId="255" xr:uid="{00000000-0005-0000-0000-000004250000}"/>
    <cellStyle name="p_VERA_Model02" xfId="256" xr:uid="{00000000-0005-0000-0000-000005250000}"/>
    <cellStyle name="p_VERA_Template2" xfId="257" xr:uid="{00000000-0005-0000-0000-000006250000}"/>
    <cellStyle name="p_VERA_VERA" xfId="258" xr:uid="{00000000-0005-0000-0000-000007250000}"/>
    <cellStyle name="p_VERA_VERA_1" xfId="259" xr:uid="{00000000-0005-0000-0000-000008250000}"/>
    <cellStyle name="p_VERA_VERA_2" xfId="260" xr:uid="{00000000-0005-0000-0000-000009250000}"/>
    <cellStyle name="p_VERA_VERA_Template2" xfId="261" xr:uid="{00000000-0005-0000-0000-00000A250000}"/>
    <cellStyle name="p1" xfId="262" xr:uid="{00000000-0005-0000-0000-00000B250000}"/>
    <cellStyle name="p2" xfId="263" xr:uid="{00000000-0005-0000-0000-00000C250000}"/>
    <cellStyle name="p3" xfId="264" xr:uid="{00000000-0005-0000-0000-00000D250000}"/>
    <cellStyle name="Percent" xfId="265" builtinId="5"/>
    <cellStyle name="Percent %" xfId="266" xr:uid="{00000000-0005-0000-0000-00000F250000}"/>
    <cellStyle name="Percent % Long Underline" xfId="267" xr:uid="{00000000-0005-0000-0000-000010250000}"/>
    <cellStyle name="Percent (0)" xfId="268" xr:uid="{00000000-0005-0000-0000-000011250000}"/>
    <cellStyle name="Percent [0]" xfId="269" xr:uid="{00000000-0005-0000-0000-000012250000}"/>
    <cellStyle name="Percent [1]" xfId="270" xr:uid="{00000000-0005-0000-0000-000013250000}"/>
    <cellStyle name="Percent [2]" xfId="271" xr:uid="{00000000-0005-0000-0000-000014250000}"/>
    <cellStyle name="Percent [3]" xfId="272" xr:uid="{00000000-0005-0000-0000-000015250000}"/>
    <cellStyle name="Percent 0.0%" xfId="273" xr:uid="{00000000-0005-0000-0000-000016250000}"/>
    <cellStyle name="Percent 0.0% Long Underline" xfId="274" xr:uid="{00000000-0005-0000-0000-000017250000}"/>
    <cellStyle name="Percent 0.00%" xfId="275" xr:uid="{00000000-0005-0000-0000-000018250000}"/>
    <cellStyle name="Percent 0.00% Long Underline" xfId="276" xr:uid="{00000000-0005-0000-0000-000019250000}"/>
    <cellStyle name="Percent 0.000%" xfId="277" xr:uid="{00000000-0005-0000-0000-00001A250000}"/>
    <cellStyle name="Percent 0.000% Long Underline" xfId="278" xr:uid="{00000000-0005-0000-0000-00001B250000}"/>
    <cellStyle name="Percent 0.0000%" xfId="279" xr:uid="{00000000-0005-0000-0000-00001C250000}"/>
    <cellStyle name="Percent 0.0000% Long Underline" xfId="280" xr:uid="{00000000-0005-0000-0000-00001D250000}"/>
    <cellStyle name="Percent 10" xfId="633" xr:uid="{00000000-0005-0000-0000-00001E250000}"/>
    <cellStyle name="Percent 10 2" xfId="9824" xr:uid="{00000000-0005-0000-0000-00001F250000}"/>
    <cellStyle name="Percent 11" xfId="645" xr:uid="{00000000-0005-0000-0000-000020250000}"/>
    <cellStyle name="Percent 11 2" xfId="750" xr:uid="{00000000-0005-0000-0000-000021250000}"/>
    <cellStyle name="Percent 12" xfId="635" xr:uid="{00000000-0005-0000-0000-000022250000}"/>
    <cellStyle name="Percent 12 2" xfId="742" xr:uid="{00000000-0005-0000-0000-000023250000}"/>
    <cellStyle name="Percent 13" xfId="682" xr:uid="{00000000-0005-0000-0000-000024250000}"/>
    <cellStyle name="Percent 14" xfId="661" xr:uid="{00000000-0005-0000-0000-000025250000}"/>
    <cellStyle name="Percent 15" xfId="683" xr:uid="{00000000-0005-0000-0000-000026250000}"/>
    <cellStyle name="Percent 16" xfId="666" xr:uid="{00000000-0005-0000-0000-000027250000}"/>
    <cellStyle name="Percent 17" xfId="684" xr:uid="{00000000-0005-0000-0000-000028250000}"/>
    <cellStyle name="Percent 18" xfId="665" xr:uid="{00000000-0005-0000-0000-000029250000}"/>
    <cellStyle name="Percent 19" xfId="685" xr:uid="{00000000-0005-0000-0000-00002A250000}"/>
    <cellStyle name="Percent 2" xfId="281" xr:uid="{00000000-0005-0000-0000-00002B250000}"/>
    <cellStyle name="Percent 2 2" xfId="282" xr:uid="{00000000-0005-0000-0000-00002C250000}"/>
    <cellStyle name="Percent 2 3" xfId="9165" xr:uid="{00000000-0005-0000-0000-00002D250000}"/>
    <cellStyle name="Percent 20" xfId="663" xr:uid="{00000000-0005-0000-0000-00002E250000}"/>
    <cellStyle name="Percent 21" xfId="686" xr:uid="{00000000-0005-0000-0000-00002F250000}"/>
    <cellStyle name="Percent 22" xfId="662" xr:uid="{00000000-0005-0000-0000-000030250000}"/>
    <cellStyle name="Percent 3" xfId="283" xr:uid="{00000000-0005-0000-0000-000031250000}"/>
    <cellStyle name="Percent 3 2" xfId="284" xr:uid="{00000000-0005-0000-0000-000032250000}"/>
    <cellStyle name="Percent 3 3" xfId="606" xr:uid="{00000000-0005-0000-0000-000033250000}"/>
    <cellStyle name="Percent 3 4" xfId="607" xr:uid="{00000000-0005-0000-0000-000034250000}"/>
    <cellStyle name="Percent 3 5" xfId="646" xr:uid="{00000000-0005-0000-0000-000035250000}"/>
    <cellStyle name="Percent 3 5 2" xfId="751" xr:uid="{00000000-0005-0000-0000-000036250000}"/>
    <cellStyle name="Percent 4" xfId="285" xr:uid="{00000000-0005-0000-0000-000037250000}"/>
    <cellStyle name="Percent 4 2" xfId="608" xr:uid="{00000000-0005-0000-0000-000038250000}"/>
    <cellStyle name="Percent 5" xfId="286" xr:uid="{00000000-0005-0000-0000-000039250000}"/>
    <cellStyle name="Percent 6" xfId="287" xr:uid="{00000000-0005-0000-0000-00003A250000}"/>
    <cellStyle name="Percent 7" xfId="288" xr:uid="{00000000-0005-0000-0000-00003B250000}"/>
    <cellStyle name="Percent 7 2" xfId="9166" xr:uid="{00000000-0005-0000-0000-00003C250000}"/>
    <cellStyle name="Percent 7 2 2" xfId="9167" xr:uid="{00000000-0005-0000-0000-00003D250000}"/>
    <cellStyle name="Percent 7 2 3" xfId="9168" xr:uid="{00000000-0005-0000-0000-00003E250000}"/>
    <cellStyle name="Percent 7 3" xfId="9169" xr:uid="{00000000-0005-0000-0000-00003F250000}"/>
    <cellStyle name="Percent 7 4" xfId="9170" xr:uid="{00000000-0005-0000-0000-000040250000}"/>
    <cellStyle name="Percent 7 5" xfId="9171" xr:uid="{00000000-0005-0000-0000-000041250000}"/>
    <cellStyle name="Percent 70" xfId="9823" xr:uid="{00000000-0005-0000-0000-000042250000}"/>
    <cellStyle name="Percent 8" xfId="625" xr:uid="{00000000-0005-0000-0000-000043250000}"/>
    <cellStyle name="Percent 9" xfId="584" xr:uid="{00000000-0005-0000-0000-000044250000}"/>
    <cellStyle name="Percent Input" xfId="289" xr:uid="{00000000-0005-0000-0000-000045250000}"/>
    <cellStyle name="Percent0" xfId="290" xr:uid="{00000000-0005-0000-0000-000046250000}"/>
    <cellStyle name="Percent1" xfId="291" xr:uid="{00000000-0005-0000-0000-000047250000}"/>
    <cellStyle name="Percent2" xfId="292" xr:uid="{00000000-0005-0000-0000-000048250000}"/>
    <cellStyle name="PSChar" xfId="293" xr:uid="{00000000-0005-0000-0000-000049250000}"/>
    <cellStyle name="PSChar 10" xfId="9172" xr:uid="{00000000-0005-0000-0000-00004A250000}"/>
    <cellStyle name="PSChar 10 2" xfId="9173" xr:uid="{00000000-0005-0000-0000-00004B250000}"/>
    <cellStyle name="PSChar 11" xfId="9174" xr:uid="{00000000-0005-0000-0000-00004C250000}"/>
    <cellStyle name="PSChar 11 2" xfId="9175" xr:uid="{00000000-0005-0000-0000-00004D250000}"/>
    <cellStyle name="PSChar 12" xfId="9176" xr:uid="{00000000-0005-0000-0000-00004E250000}"/>
    <cellStyle name="PSChar 12 2" xfId="9177" xr:uid="{00000000-0005-0000-0000-00004F250000}"/>
    <cellStyle name="PSChar 13" xfId="9178" xr:uid="{00000000-0005-0000-0000-000050250000}"/>
    <cellStyle name="PSChar 14" xfId="9179" xr:uid="{00000000-0005-0000-0000-000051250000}"/>
    <cellStyle name="PSChar 14 2" xfId="9180" xr:uid="{00000000-0005-0000-0000-000052250000}"/>
    <cellStyle name="PSChar 15" xfId="9181" xr:uid="{00000000-0005-0000-0000-000053250000}"/>
    <cellStyle name="PSChar 16" xfId="9182" xr:uid="{00000000-0005-0000-0000-000054250000}"/>
    <cellStyle name="PSChar 16 2" xfId="9183" xr:uid="{00000000-0005-0000-0000-000055250000}"/>
    <cellStyle name="PSChar 2" xfId="9184" xr:uid="{00000000-0005-0000-0000-000056250000}"/>
    <cellStyle name="PSChar 2 2" xfId="9185" xr:uid="{00000000-0005-0000-0000-000057250000}"/>
    <cellStyle name="PSChar 3" xfId="9186" xr:uid="{00000000-0005-0000-0000-000058250000}"/>
    <cellStyle name="PSChar 3 2" xfId="9187" xr:uid="{00000000-0005-0000-0000-000059250000}"/>
    <cellStyle name="PSChar 4" xfId="9188" xr:uid="{00000000-0005-0000-0000-00005A250000}"/>
    <cellStyle name="PSChar 4 2" xfId="9189" xr:uid="{00000000-0005-0000-0000-00005B250000}"/>
    <cellStyle name="PSChar 5" xfId="9190" xr:uid="{00000000-0005-0000-0000-00005C250000}"/>
    <cellStyle name="PSChar 5 2" xfId="9191" xr:uid="{00000000-0005-0000-0000-00005D250000}"/>
    <cellStyle name="PSChar 6" xfId="9192" xr:uid="{00000000-0005-0000-0000-00005E250000}"/>
    <cellStyle name="PSChar 6 2" xfId="9193" xr:uid="{00000000-0005-0000-0000-00005F250000}"/>
    <cellStyle name="PSChar 7" xfId="9194" xr:uid="{00000000-0005-0000-0000-000060250000}"/>
    <cellStyle name="PSChar 7 2" xfId="9195" xr:uid="{00000000-0005-0000-0000-000061250000}"/>
    <cellStyle name="PSChar 8" xfId="9196" xr:uid="{00000000-0005-0000-0000-000062250000}"/>
    <cellStyle name="PSChar 8 2" xfId="9197" xr:uid="{00000000-0005-0000-0000-000063250000}"/>
    <cellStyle name="PSChar 9" xfId="9198" xr:uid="{00000000-0005-0000-0000-000064250000}"/>
    <cellStyle name="PSChar 9 2" xfId="9199" xr:uid="{00000000-0005-0000-0000-000065250000}"/>
    <cellStyle name="PSChar 9 2 2" xfId="9200" xr:uid="{00000000-0005-0000-0000-000066250000}"/>
    <cellStyle name="PSChar 9 3" xfId="9201" xr:uid="{00000000-0005-0000-0000-000067250000}"/>
    <cellStyle name="PSDate" xfId="294" xr:uid="{00000000-0005-0000-0000-000068250000}"/>
    <cellStyle name="PSDate 10" xfId="9202" xr:uid="{00000000-0005-0000-0000-000069250000}"/>
    <cellStyle name="PSDate 10 2" xfId="9203" xr:uid="{00000000-0005-0000-0000-00006A250000}"/>
    <cellStyle name="PSDate 11" xfId="9204" xr:uid="{00000000-0005-0000-0000-00006B250000}"/>
    <cellStyle name="PSDate 11 2" xfId="9205" xr:uid="{00000000-0005-0000-0000-00006C250000}"/>
    <cellStyle name="PSDate 12" xfId="9206" xr:uid="{00000000-0005-0000-0000-00006D250000}"/>
    <cellStyle name="PSDate 12 2" xfId="9207" xr:uid="{00000000-0005-0000-0000-00006E250000}"/>
    <cellStyle name="PSDate 13" xfId="9208" xr:uid="{00000000-0005-0000-0000-00006F250000}"/>
    <cellStyle name="PSDate 14" xfId="9209" xr:uid="{00000000-0005-0000-0000-000070250000}"/>
    <cellStyle name="PSDate 14 2" xfId="9210" xr:uid="{00000000-0005-0000-0000-000071250000}"/>
    <cellStyle name="PSDate 15" xfId="9211" xr:uid="{00000000-0005-0000-0000-000072250000}"/>
    <cellStyle name="PSDate 16" xfId="9212" xr:uid="{00000000-0005-0000-0000-000073250000}"/>
    <cellStyle name="PSDate 16 2" xfId="9213" xr:uid="{00000000-0005-0000-0000-000074250000}"/>
    <cellStyle name="PSDate 2" xfId="9214" xr:uid="{00000000-0005-0000-0000-000075250000}"/>
    <cellStyle name="PSDate 2 2" xfId="9215" xr:uid="{00000000-0005-0000-0000-000076250000}"/>
    <cellStyle name="PSDate 3" xfId="9216" xr:uid="{00000000-0005-0000-0000-000077250000}"/>
    <cellStyle name="PSDate 3 2" xfId="9217" xr:uid="{00000000-0005-0000-0000-000078250000}"/>
    <cellStyle name="PSDate 4" xfId="9218" xr:uid="{00000000-0005-0000-0000-000079250000}"/>
    <cellStyle name="PSDate 4 2" xfId="9219" xr:uid="{00000000-0005-0000-0000-00007A250000}"/>
    <cellStyle name="PSDate 5" xfId="9220" xr:uid="{00000000-0005-0000-0000-00007B250000}"/>
    <cellStyle name="PSDate 5 2" xfId="9221" xr:uid="{00000000-0005-0000-0000-00007C250000}"/>
    <cellStyle name="PSDate 6" xfId="9222" xr:uid="{00000000-0005-0000-0000-00007D250000}"/>
    <cellStyle name="PSDate 6 2" xfId="9223" xr:uid="{00000000-0005-0000-0000-00007E250000}"/>
    <cellStyle name="PSDate 7" xfId="9224" xr:uid="{00000000-0005-0000-0000-00007F250000}"/>
    <cellStyle name="PSDate 7 2" xfId="9225" xr:uid="{00000000-0005-0000-0000-000080250000}"/>
    <cellStyle name="PSDate 8" xfId="9226" xr:uid="{00000000-0005-0000-0000-000081250000}"/>
    <cellStyle name="PSDate 8 2" xfId="9227" xr:uid="{00000000-0005-0000-0000-000082250000}"/>
    <cellStyle name="PSDate 9" xfId="9228" xr:uid="{00000000-0005-0000-0000-000083250000}"/>
    <cellStyle name="PSDate 9 2" xfId="9229" xr:uid="{00000000-0005-0000-0000-000084250000}"/>
    <cellStyle name="PSDate 9 2 2" xfId="9230" xr:uid="{00000000-0005-0000-0000-000085250000}"/>
    <cellStyle name="PSDate 9 3" xfId="9231" xr:uid="{00000000-0005-0000-0000-000086250000}"/>
    <cellStyle name="PSDec" xfId="295" xr:uid="{00000000-0005-0000-0000-000087250000}"/>
    <cellStyle name="PSDec 10" xfId="9232" xr:uid="{00000000-0005-0000-0000-000088250000}"/>
    <cellStyle name="PSDec 10 2" xfId="9233" xr:uid="{00000000-0005-0000-0000-000089250000}"/>
    <cellStyle name="PSDec 11" xfId="9234" xr:uid="{00000000-0005-0000-0000-00008A250000}"/>
    <cellStyle name="PSDec 11 2" xfId="9235" xr:uid="{00000000-0005-0000-0000-00008B250000}"/>
    <cellStyle name="PSDec 12" xfId="9236" xr:uid="{00000000-0005-0000-0000-00008C250000}"/>
    <cellStyle name="PSDec 12 2" xfId="9237" xr:uid="{00000000-0005-0000-0000-00008D250000}"/>
    <cellStyle name="PSDec 13" xfId="9238" xr:uid="{00000000-0005-0000-0000-00008E250000}"/>
    <cellStyle name="PSDec 14" xfId="9239" xr:uid="{00000000-0005-0000-0000-00008F250000}"/>
    <cellStyle name="PSDec 14 2" xfId="9240" xr:uid="{00000000-0005-0000-0000-000090250000}"/>
    <cellStyle name="PSDec 15" xfId="9241" xr:uid="{00000000-0005-0000-0000-000091250000}"/>
    <cellStyle name="PSDec 16" xfId="9242" xr:uid="{00000000-0005-0000-0000-000092250000}"/>
    <cellStyle name="PSDec 16 2" xfId="9243" xr:uid="{00000000-0005-0000-0000-000093250000}"/>
    <cellStyle name="PSDec 2" xfId="9244" xr:uid="{00000000-0005-0000-0000-000094250000}"/>
    <cellStyle name="PSDec 2 2" xfId="9245" xr:uid="{00000000-0005-0000-0000-000095250000}"/>
    <cellStyle name="PSDec 3" xfId="9246" xr:uid="{00000000-0005-0000-0000-000096250000}"/>
    <cellStyle name="PSDec 3 2" xfId="9247" xr:uid="{00000000-0005-0000-0000-000097250000}"/>
    <cellStyle name="PSDec 4" xfId="9248" xr:uid="{00000000-0005-0000-0000-000098250000}"/>
    <cellStyle name="PSDec 4 2" xfId="9249" xr:uid="{00000000-0005-0000-0000-000099250000}"/>
    <cellStyle name="PSDec 5" xfId="9250" xr:uid="{00000000-0005-0000-0000-00009A250000}"/>
    <cellStyle name="PSDec 5 2" xfId="9251" xr:uid="{00000000-0005-0000-0000-00009B250000}"/>
    <cellStyle name="PSDec 6" xfId="9252" xr:uid="{00000000-0005-0000-0000-00009C250000}"/>
    <cellStyle name="PSDec 6 2" xfId="9253" xr:uid="{00000000-0005-0000-0000-00009D250000}"/>
    <cellStyle name="PSDec 7" xfId="9254" xr:uid="{00000000-0005-0000-0000-00009E250000}"/>
    <cellStyle name="PSDec 7 2" xfId="9255" xr:uid="{00000000-0005-0000-0000-00009F250000}"/>
    <cellStyle name="PSDec 8" xfId="9256" xr:uid="{00000000-0005-0000-0000-0000A0250000}"/>
    <cellStyle name="PSDec 8 2" xfId="9257" xr:uid="{00000000-0005-0000-0000-0000A1250000}"/>
    <cellStyle name="PSDec 9" xfId="9258" xr:uid="{00000000-0005-0000-0000-0000A2250000}"/>
    <cellStyle name="PSDec 9 2" xfId="9259" xr:uid="{00000000-0005-0000-0000-0000A3250000}"/>
    <cellStyle name="PSDec 9 2 2" xfId="9260" xr:uid="{00000000-0005-0000-0000-0000A4250000}"/>
    <cellStyle name="PSDec 9 3" xfId="9261" xr:uid="{00000000-0005-0000-0000-0000A5250000}"/>
    <cellStyle name="PSdesc" xfId="296" xr:uid="{00000000-0005-0000-0000-0000A6250000}"/>
    <cellStyle name="PSHeading" xfId="297" xr:uid="{00000000-0005-0000-0000-0000A7250000}"/>
    <cellStyle name="PSHeading 10" xfId="9262" xr:uid="{00000000-0005-0000-0000-0000A8250000}"/>
    <cellStyle name="PSHeading 10 2" xfId="9263" xr:uid="{00000000-0005-0000-0000-0000A9250000}"/>
    <cellStyle name="PSHeading 11" xfId="9264" xr:uid="{00000000-0005-0000-0000-0000AA250000}"/>
    <cellStyle name="PSHeading 11 2" xfId="9265" xr:uid="{00000000-0005-0000-0000-0000AB250000}"/>
    <cellStyle name="PSHeading 11 2 2" xfId="9266" xr:uid="{00000000-0005-0000-0000-0000AC250000}"/>
    <cellStyle name="PSHeading 11 3" xfId="9267" xr:uid="{00000000-0005-0000-0000-0000AD250000}"/>
    <cellStyle name="PSHeading 12" xfId="9268" xr:uid="{00000000-0005-0000-0000-0000AE250000}"/>
    <cellStyle name="PSHeading 12 2" xfId="9269" xr:uid="{00000000-0005-0000-0000-0000AF250000}"/>
    <cellStyle name="PSHeading 13" xfId="9270" xr:uid="{00000000-0005-0000-0000-0000B0250000}"/>
    <cellStyle name="PSHeading 13 2" xfId="9271" xr:uid="{00000000-0005-0000-0000-0000B1250000}"/>
    <cellStyle name="PSHeading 14" xfId="9272" xr:uid="{00000000-0005-0000-0000-0000B2250000}"/>
    <cellStyle name="PSHeading 14 2" xfId="9273" xr:uid="{00000000-0005-0000-0000-0000B3250000}"/>
    <cellStyle name="PSHeading 15" xfId="9274" xr:uid="{00000000-0005-0000-0000-0000B4250000}"/>
    <cellStyle name="PSHeading 16" xfId="9275" xr:uid="{00000000-0005-0000-0000-0000B5250000}"/>
    <cellStyle name="PSHeading 16 2" xfId="9276" xr:uid="{00000000-0005-0000-0000-0000B6250000}"/>
    <cellStyle name="PSHeading 17" xfId="9277" xr:uid="{00000000-0005-0000-0000-0000B7250000}"/>
    <cellStyle name="PSHeading 18" xfId="9278" xr:uid="{00000000-0005-0000-0000-0000B8250000}"/>
    <cellStyle name="PSHeading 19" xfId="9279" xr:uid="{00000000-0005-0000-0000-0000B9250000}"/>
    <cellStyle name="PSHeading 19 2" xfId="9280" xr:uid="{00000000-0005-0000-0000-0000BA250000}"/>
    <cellStyle name="PSHeading 19 3" xfId="9281" xr:uid="{00000000-0005-0000-0000-0000BB250000}"/>
    <cellStyle name="PSHeading 2" xfId="9282" xr:uid="{00000000-0005-0000-0000-0000BC250000}"/>
    <cellStyle name="PSHeading 2 2" xfId="9283" xr:uid="{00000000-0005-0000-0000-0000BD250000}"/>
    <cellStyle name="PSHeading 20" xfId="9284" xr:uid="{00000000-0005-0000-0000-0000BE250000}"/>
    <cellStyle name="PSHeading 20 2" xfId="9285" xr:uid="{00000000-0005-0000-0000-0000BF250000}"/>
    <cellStyle name="PSHeading 21" xfId="9396" xr:uid="{00000000-0005-0000-0000-0000C0250000}"/>
    <cellStyle name="PSHeading 3" xfId="9286" xr:uid="{00000000-0005-0000-0000-0000C1250000}"/>
    <cellStyle name="PSHeading 3 2" xfId="9287" xr:uid="{00000000-0005-0000-0000-0000C2250000}"/>
    <cellStyle name="PSHeading 4" xfId="9288" xr:uid="{00000000-0005-0000-0000-0000C3250000}"/>
    <cellStyle name="PSHeading 4 2" xfId="9289" xr:uid="{00000000-0005-0000-0000-0000C4250000}"/>
    <cellStyle name="PSHeading 5" xfId="9290" xr:uid="{00000000-0005-0000-0000-0000C5250000}"/>
    <cellStyle name="PSHeading 5 2" xfId="9291" xr:uid="{00000000-0005-0000-0000-0000C6250000}"/>
    <cellStyle name="PSHeading 6" xfId="9292" xr:uid="{00000000-0005-0000-0000-0000C7250000}"/>
    <cellStyle name="PSHeading 6 2" xfId="9293" xr:uid="{00000000-0005-0000-0000-0000C8250000}"/>
    <cellStyle name="PSHeading 7" xfId="9294" xr:uid="{00000000-0005-0000-0000-0000C9250000}"/>
    <cellStyle name="PSHeading 7 2" xfId="9295" xr:uid="{00000000-0005-0000-0000-0000CA250000}"/>
    <cellStyle name="PSHeading 8" xfId="9296" xr:uid="{00000000-0005-0000-0000-0000CB250000}"/>
    <cellStyle name="PSHeading 8 2" xfId="9297" xr:uid="{00000000-0005-0000-0000-0000CC250000}"/>
    <cellStyle name="PSHeading 9" xfId="9298" xr:uid="{00000000-0005-0000-0000-0000CD250000}"/>
    <cellStyle name="PSHeading_July prelim tb" xfId="9299" xr:uid="{00000000-0005-0000-0000-0000CE250000}"/>
    <cellStyle name="PSInt" xfId="298" xr:uid="{00000000-0005-0000-0000-0000CF250000}"/>
    <cellStyle name="PSInt 10" xfId="9300" xr:uid="{00000000-0005-0000-0000-0000D0250000}"/>
    <cellStyle name="PSInt 10 2" xfId="9301" xr:uid="{00000000-0005-0000-0000-0000D1250000}"/>
    <cellStyle name="PSInt 11" xfId="9302" xr:uid="{00000000-0005-0000-0000-0000D2250000}"/>
    <cellStyle name="PSInt 11 2" xfId="9303" xr:uid="{00000000-0005-0000-0000-0000D3250000}"/>
    <cellStyle name="PSInt 12" xfId="9304" xr:uid="{00000000-0005-0000-0000-0000D4250000}"/>
    <cellStyle name="PSInt 12 2" xfId="9305" xr:uid="{00000000-0005-0000-0000-0000D5250000}"/>
    <cellStyle name="PSInt 13" xfId="9306" xr:uid="{00000000-0005-0000-0000-0000D6250000}"/>
    <cellStyle name="PSInt 14" xfId="9307" xr:uid="{00000000-0005-0000-0000-0000D7250000}"/>
    <cellStyle name="PSInt 14 2" xfId="9308" xr:uid="{00000000-0005-0000-0000-0000D8250000}"/>
    <cellStyle name="PSInt 15" xfId="9309" xr:uid="{00000000-0005-0000-0000-0000D9250000}"/>
    <cellStyle name="PSInt 16" xfId="9310" xr:uid="{00000000-0005-0000-0000-0000DA250000}"/>
    <cellStyle name="PSInt 16 2" xfId="9311" xr:uid="{00000000-0005-0000-0000-0000DB250000}"/>
    <cellStyle name="PSInt 2" xfId="9312" xr:uid="{00000000-0005-0000-0000-0000DC250000}"/>
    <cellStyle name="PSInt 2 2" xfId="9313" xr:uid="{00000000-0005-0000-0000-0000DD250000}"/>
    <cellStyle name="PSInt 3" xfId="9314" xr:uid="{00000000-0005-0000-0000-0000DE250000}"/>
    <cellStyle name="PSInt 3 2" xfId="9315" xr:uid="{00000000-0005-0000-0000-0000DF250000}"/>
    <cellStyle name="PSInt 4" xfId="9316" xr:uid="{00000000-0005-0000-0000-0000E0250000}"/>
    <cellStyle name="PSInt 4 2" xfId="9317" xr:uid="{00000000-0005-0000-0000-0000E1250000}"/>
    <cellStyle name="PSInt 5" xfId="9318" xr:uid="{00000000-0005-0000-0000-0000E2250000}"/>
    <cellStyle name="PSInt 5 2" xfId="9319" xr:uid="{00000000-0005-0000-0000-0000E3250000}"/>
    <cellStyle name="PSInt 6" xfId="9320" xr:uid="{00000000-0005-0000-0000-0000E4250000}"/>
    <cellStyle name="PSInt 6 2" xfId="9321" xr:uid="{00000000-0005-0000-0000-0000E5250000}"/>
    <cellStyle name="PSInt 7" xfId="9322" xr:uid="{00000000-0005-0000-0000-0000E6250000}"/>
    <cellStyle name="PSInt 7 2" xfId="9323" xr:uid="{00000000-0005-0000-0000-0000E7250000}"/>
    <cellStyle name="PSInt 8" xfId="9324" xr:uid="{00000000-0005-0000-0000-0000E8250000}"/>
    <cellStyle name="PSInt 8 2" xfId="9325" xr:uid="{00000000-0005-0000-0000-0000E9250000}"/>
    <cellStyle name="PSInt 9" xfId="9326" xr:uid="{00000000-0005-0000-0000-0000EA250000}"/>
    <cellStyle name="PSInt 9 2" xfId="9327" xr:uid="{00000000-0005-0000-0000-0000EB250000}"/>
    <cellStyle name="PSInt 9 2 2" xfId="9328" xr:uid="{00000000-0005-0000-0000-0000EC250000}"/>
    <cellStyle name="PSInt 9 3" xfId="9329" xr:uid="{00000000-0005-0000-0000-0000ED250000}"/>
    <cellStyle name="PSSpacer" xfId="299" xr:uid="{00000000-0005-0000-0000-0000EE250000}"/>
    <cellStyle name="PSSpacer 10" xfId="9330" xr:uid="{00000000-0005-0000-0000-0000EF250000}"/>
    <cellStyle name="PSSpacer 10 2" xfId="9331" xr:uid="{00000000-0005-0000-0000-0000F0250000}"/>
    <cellStyle name="PSSpacer 11" xfId="9332" xr:uid="{00000000-0005-0000-0000-0000F1250000}"/>
    <cellStyle name="PSSpacer 11 2" xfId="9333" xr:uid="{00000000-0005-0000-0000-0000F2250000}"/>
    <cellStyle name="PSSpacer 12" xfId="9334" xr:uid="{00000000-0005-0000-0000-0000F3250000}"/>
    <cellStyle name="PSSpacer 13" xfId="9335" xr:uid="{00000000-0005-0000-0000-0000F4250000}"/>
    <cellStyle name="PSSpacer 13 2" xfId="9336" xr:uid="{00000000-0005-0000-0000-0000F5250000}"/>
    <cellStyle name="PSSpacer 14" xfId="9337" xr:uid="{00000000-0005-0000-0000-0000F6250000}"/>
    <cellStyle name="PSSpacer 15" xfId="9338" xr:uid="{00000000-0005-0000-0000-0000F7250000}"/>
    <cellStyle name="PSSpacer 15 2" xfId="9339" xr:uid="{00000000-0005-0000-0000-0000F8250000}"/>
    <cellStyle name="PSSpacer 2" xfId="9340" xr:uid="{00000000-0005-0000-0000-0000F9250000}"/>
    <cellStyle name="PSSpacer 2 2" xfId="9341" xr:uid="{00000000-0005-0000-0000-0000FA250000}"/>
    <cellStyle name="PSSpacer 3" xfId="9342" xr:uid="{00000000-0005-0000-0000-0000FB250000}"/>
    <cellStyle name="PSSpacer 3 2" xfId="9343" xr:uid="{00000000-0005-0000-0000-0000FC250000}"/>
    <cellStyle name="PSSpacer 4" xfId="9344" xr:uid="{00000000-0005-0000-0000-0000FD250000}"/>
    <cellStyle name="PSSpacer 4 2" xfId="9345" xr:uid="{00000000-0005-0000-0000-0000FE250000}"/>
    <cellStyle name="PSSpacer 5" xfId="9346" xr:uid="{00000000-0005-0000-0000-0000FF250000}"/>
    <cellStyle name="PSSpacer 5 2" xfId="9347" xr:uid="{00000000-0005-0000-0000-000000260000}"/>
    <cellStyle name="PSSpacer 6" xfId="9348" xr:uid="{00000000-0005-0000-0000-000001260000}"/>
    <cellStyle name="PSSpacer 6 2" xfId="9349" xr:uid="{00000000-0005-0000-0000-000002260000}"/>
    <cellStyle name="PSSpacer 7" xfId="9350" xr:uid="{00000000-0005-0000-0000-000003260000}"/>
    <cellStyle name="PSSpacer 7 2" xfId="9351" xr:uid="{00000000-0005-0000-0000-000004260000}"/>
    <cellStyle name="PSSpacer 8" xfId="9352" xr:uid="{00000000-0005-0000-0000-000005260000}"/>
    <cellStyle name="PSSpacer 8 2" xfId="9353" xr:uid="{00000000-0005-0000-0000-000006260000}"/>
    <cellStyle name="PSSpacer 8 2 2" xfId="9354" xr:uid="{00000000-0005-0000-0000-000007260000}"/>
    <cellStyle name="PSSpacer 8 3" xfId="9355" xr:uid="{00000000-0005-0000-0000-000008260000}"/>
    <cellStyle name="PSSpacer 9" xfId="9356" xr:uid="{00000000-0005-0000-0000-000009260000}"/>
    <cellStyle name="PSSpacer 9 2" xfId="9357" xr:uid="{00000000-0005-0000-0000-00000A260000}"/>
    <cellStyle name="PStest" xfId="300" xr:uid="{00000000-0005-0000-0000-00000B260000}"/>
    <cellStyle name="R00A" xfId="301" xr:uid="{00000000-0005-0000-0000-00000C260000}"/>
    <cellStyle name="R00B" xfId="302" xr:uid="{00000000-0005-0000-0000-00000D260000}"/>
    <cellStyle name="R00L" xfId="303" xr:uid="{00000000-0005-0000-0000-00000E260000}"/>
    <cellStyle name="R01A" xfId="304" xr:uid="{00000000-0005-0000-0000-00000F260000}"/>
    <cellStyle name="R01B" xfId="305" xr:uid="{00000000-0005-0000-0000-000010260000}"/>
    <cellStyle name="R01H" xfId="306" xr:uid="{00000000-0005-0000-0000-000011260000}"/>
    <cellStyle name="R01L" xfId="307" xr:uid="{00000000-0005-0000-0000-000012260000}"/>
    <cellStyle name="R02A" xfId="308" xr:uid="{00000000-0005-0000-0000-000013260000}"/>
    <cellStyle name="R02B" xfId="309" xr:uid="{00000000-0005-0000-0000-000014260000}"/>
    <cellStyle name="R02H" xfId="310" xr:uid="{00000000-0005-0000-0000-000015260000}"/>
    <cellStyle name="R02L" xfId="311" xr:uid="{00000000-0005-0000-0000-000016260000}"/>
    <cellStyle name="R03A" xfId="312" xr:uid="{00000000-0005-0000-0000-000017260000}"/>
    <cellStyle name="R03B" xfId="313" xr:uid="{00000000-0005-0000-0000-000018260000}"/>
    <cellStyle name="R03H" xfId="314" xr:uid="{00000000-0005-0000-0000-000019260000}"/>
    <cellStyle name="R03L" xfId="315" xr:uid="{00000000-0005-0000-0000-00001A260000}"/>
    <cellStyle name="R04A" xfId="316" xr:uid="{00000000-0005-0000-0000-00001B260000}"/>
    <cellStyle name="R04B" xfId="317" xr:uid="{00000000-0005-0000-0000-00001C260000}"/>
    <cellStyle name="R04H" xfId="318" xr:uid="{00000000-0005-0000-0000-00001D260000}"/>
    <cellStyle name="R04L" xfId="319" xr:uid="{00000000-0005-0000-0000-00001E260000}"/>
    <cellStyle name="R05A" xfId="320" xr:uid="{00000000-0005-0000-0000-00001F260000}"/>
    <cellStyle name="R05B" xfId="321" xr:uid="{00000000-0005-0000-0000-000020260000}"/>
    <cellStyle name="R05H" xfId="322" xr:uid="{00000000-0005-0000-0000-000021260000}"/>
    <cellStyle name="R05L" xfId="323" xr:uid="{00000000-0005-0000-0000-000022260000}"/>
    <cellStyle name="R05L 2" xfId="324" xr:uid="{00000000-0005-0000-0000-000023260000}"/>
    <cellStyle name="R06A" xfId="325" xr:uid="{00000000-0005-0000-0000-000024260000}"/>
    <cellStyle name="R06B" xfId="326" xr:uid="{00000000-0005-0000-0000-000025260000}"/>
    <cellStyle name="R06H" xfId="327" xr:uid="{00000000-0005-0000-0000-000026260000}"/>
    <cellStyle name="R06L" xfId="328" xr:uid="{00000000-0005-0000-0000-000027260000}"/>
    <cellStyle name="R07A" xfId="329" xr:uid="{00000000-0005-0000-0000-000028260000}"/>
    <cellStyle name="R07B" xfId="330" xr:uid="{00000000-0005-0000-0000-000029260000}"/>
    <cellStyle name="R07H" xfId="331" xr:uid="{00000000-0005-0000-0000-00002A260000}"/>
    <cellStyle name="R07L" xfId="332" xr:uid="{00000000-0005-0000-0000-00002B260000}"/>
    <cellStyle name="rborder" xfId="333" xr:uid="{00000000-0005-0000-0000-00002C260000}"/>
    <cellStyle name="red" xfId="334" xr:uid="{00000000-0005-0000-0000-00002D260000}"/>
    <cellStyle name="s_HardInc " xfId="335" xr:uid="{00000000-0005-0000-0000-00002E260000}"/>
    <cellStyle name="s_HardInc _ITC Great Plains Formula 1-12-09a" xfId="336" xr:uid="{00000000-0005-0000-0000-00002F260000}"/>
    <cellStyle name="scenario" xfId="337" xr:uid="{00000000-0005-0000-0000-000030260000}"/>
    <cellStyle name="scenario 2" xfId="9397" xr:uid="{00000000-0005-0000-0000-000031260000}"/>
    <cellStyle name="SECTION" xfId="338" xr:uid="{00000000-0005-0000-0000-000032260000}"/>
    <cellStyle name="Sheetmult" xfId="339" xr:uid="{00000000-0005-0000-0000-000033260000}"/>
    <cellStyle name="Shtmultx" xfId="340" xr:uid="{00000000-0005-0000-0000-000034260000}"/>
    <cellStyle name="Style 1" xfId="341" xr:uid="{00000000-0005-0000-0000-000035260000}"/>
    <cellStyle name="STYLE1" xfId="342" xr:uid="{00000000-0005-0000-0000-000036260000}"/>
    <cellStyle name="STYLE2" xfId="343" xr:uid="{00000000-0005-0000-0000-000037260000}"/>
    <cellStyle name="System Defined" xfId="344" xr:uid="{00000000-0005-0000-0000-000038260000}"/>
    <cellStyle name="TableHeading" xfId="345" xr:uid="{00000000-0005-0000-0000-000039260000}"/>
    <cellStyle name="tb" xfId="346" xr:uid="{00000000-0005-0000-0000-00003A260000}"/>
    <cellStyle name="Tickmark" xfId="347" xr:uid="{00000000-0005-0000-0000-00003B260000}"/>
    <cellStyle name="Title 2" xfId="613" xr:uid="{00000000-0005-0000-0000-00003C260000}"/>
    <cellStyle name="Title 3" xfId="9358" xr:uid="{00000000-0005-0000-0000-00003D260000}"/>
    <cellStyle name="Title 4" xfId="9359" xr:uid="{00000000-0005-0000-0000-00003E260000}"/>
    <cellStyle name="Title 5" xfId="9360" xr:uid="{00000000-0005-0000-0000-00003F260000}"/>
    <cellStyle name="Title 6" xfId="9361" xr:uid="{00000000-0005-0000-0000-000040260000}"/>
    <cellStyle name="Title 7" xfId="9362" xr:uid="{00000000-0005-0000-0000-000041260000}"/>
    <cellStyle name="Title 8" xfId="9363" xr:uid="{00000000-0005-0000-0000-000042260000}"/>
    <cellStyle name="Title1" xfId="348" xr:uid="{00000000-0005-0000-0000-000043260000}"/>
    <cellStyle name="top" xfId="349" xr:uid="{00000000-0005-0000-0000-000044260000}"/>
    <cellStyle name="Total" xfId="350" builtinId="25" customBuiltin="1"/>
    <cellStyle name="Total 2" xfId="9364" xr:uid="{00000000-0005-0000-0000-000046260000}"/>
    <cellStyle name="Total 2 2" xfId="9365" xr:uid="{00000000-0005-0000-0000-000047260000}"/>
    <cellStyle name="Total 3" xfId="9366" xr:uid="{00000000-0005-0000-0000-000048260000}"/>
    <cellStyle name="Total 4" xfId="9367" xr:uid="{00000000-0005-0000-0000-000049260000}"/>
    <cellStyle name="Total 5" xfId="9368" xr:uid="{00000000-0005-0000-0000-00004A260000}"/>
    <cellStyle name="Total 6" xfId="9369" xr:uid="{00000000-0005-0000-0000-00004B260000}"/>
    <cellStyle name="Total 7" xfId="9370" xr:uid="{00000000-0005-0000-0000-00004C260000}"/>
    <cellStyle name="Total 8" xfId="9371" xr:uid="{00000000-0005-0000-0000-00004D260000}"/>
    <cellStyle name="w" xfId="351" xr:uid="{00000000-0005-0000-0000-00004E260000}"/>
    <cellStyle name="Warning Text 2" xfId="614" xr:uid="{00000000-0005-0000-0000-00004F260000}"/>
    <cellStyle name="Warning Text 2 2" xfId="9372" xr:uid="{00000000-0005-0000-0000-000050260000}"/>
    <cellStyle name="Warning Text 3" xfId="9373" xr:uid="{00000000-0005-0000-0000-000051260000}"/>
    <cellStyle name="Warning Text 4" xfId="9374" xr:uid="{00000000-0005-0000-0000-000052260000}"/>
    <cellStyle name="Warning Text 5" xfId="9375" xr:uid="{00000000-0005-0000-0000-000053260000}"/>
    <cellStyle name="Warning Text 6" xfId="9376" xr:uid="{00000000-0005-0000-0000-000054260000}"/>
    <cellStyle name="Warning Text 7" xfId="9377" xr:uid="{00000000-0005-0000-0000-000055260000}"/>
    <cellStyle name="Warning Text 8" xfId="9378" xr:uid="{00000000-0005-0000-0000-000056260000}"/>
    <cellStyle name="Warning Text 9" xfId="9379" xr:uid="{00000000-0005-0000-0000-000057260000}"/>
    <cellStyle name="XComma" xfId="352" xr:uid="{00000000-0005-0000-0000-000058260000}"/>
    <cellStyle name="XComma 0.0" xfId="353" xr:uid="{00000000-0005-0000-0000-000059260000}"/>
    <cellStyle name="XComma 0.00" xfId="354" xr:uid="{00000000-0005-0000-0000-00005A260000}"/>
    <cellStyle name="XComma 0.000" xfId="355" xr:uid="{00000000-0005-0000-0000-00005B260000}"/>
    <cellStyle name="XCurrency" xfId="356" xr:uid="{00000000-0005-0000-0000-00005C260000}"/>
    <cellStyle name="XCurrency 0.0" xfId="357" xr:uid="{00000000-0005-0000-0000-00005D260000}"/>
    <cellStyle name="XCurrency 0.00" xfId="358" xr:uid="{00000000-0005-0000-0000-00005E260000}"/>
    <cellStyle name="XCurrency 0.000" xfId="359" xr:uid="{00000000-0005-0000-0000-00005F260000}"/>
    <cellStyle name="yra" xfId="360" xr:uid="{00000000-0005-0000-0000-000060260000}"/>
    <cellStyle name="yrActual" xfId="361" xr:uid="{00000000-0005-0000-0000-000061260000}"/>
    <cellStyle name="yre" xfId="362" xr:uid="{00000000-0005-0000-0000-000062260000}"/>
    <cellStyle name="yrExpect" xfId="363" xr:uid="{00000000-0005-0000-0000-00006326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xmlns:a14="http://schemas.microsoft.com/office/drawing/2010/main" spid="_x0000_s98305"/>
            </a:ext>
            <a:ext uri="{FF2B5EF4-FFF2-40B4-BE49-F238E27FC236}">
              <a16:creationId xmlns:a16="http://schemas.microsoft.com/office/drawing/2014/main" id="{00000000-0008-0000-0E00-00000180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371475</xdr:colOff>
      <xdr:row>4</xdr:row>
      <xdr:rowOff>9525</xdr:rowOff>
    </xdr:from>
    <xdr:to>
      <xdr:col>1</xdr:col>
      <xdr:colOff>1019175</xdr:colOff>
      <xdr:row>4</xdr:row>
      <xdr:rowOff>9525</xdr:rowOff>
    </xdr:to>
    <xdr:sp macro="" textlink="">
      <xdr:nvSpPr>
        <xdr:cNvPr id="98306" name="Object 2" hidden="1">
          <a:extLst>
            <a:ext uri="{63B3BB69-23CF-44E3-9099-C40C66FF867C}">
              <a14:compatExt xmlns:a14="http://schemas.microsoft.com/office/drawing/2010/main" spid="_x0000_s98306"/>
            </a:ext>
            <a:ext uri="{FF2B5EF4-FFF2-40B4-BE49-F238E27FC236}">
              <a16:creationId xmlns:a16="http://schemas.microsoft.com/office/drawing/2014/main" id="{00000000-0008-0000-0E00-00000280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4</xdr:row>
      <xdr:rowOff>9525</xdr:rowOff>
    </xdr:from>
    <xdr:to>
      <xdr:col>2</xdr:col>
      <xdr:colOff>1019175</xdr:colOff>
      <xdr:row>4</xdr:row>
      <xdr:rowOff>9525</xdr:rowOff>
    </xdr:to>
    <xdr:pic>
      <xdr:nvPicPr>
        <xdr:cNvPr id="2" name="Picture 1">
          <a:extLst>
            <a:ext uri="{FF2B5EF4-FFF2-40B4-BE49-F238E27FC236}">
              <a16:creationId xmlns:a16="http://schemas.microsoft.com/office/drawing/2014/main" id="{B49A66D6-32B1-FA7B-60F4-2954FA01C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714375"/>
          <a:ext cx="42386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371475</xdr:colOff>
      <xdr:row>4</xdr:row>
      <xdr:rowOff>9525</xdr:rowOff>
    </xdr:from>
    <xdr:to>
      <xdr:col>1</xdr:col>
      <xdr:colOff>1019175</xdr:colOff>
      <xdr:row>4</xdr:row>
      <xdr:rowOff>9525</xdr:rowOff>
    </xdr:to>
    <xdr:pic>
      <xdr:nvPicPr>
        <xdr:cNvPr id="3" name="Picture 2">
          <a:extLst>
            <a:ext uri="{FF2B5EF4-FFF2-40B4-BE49-F238E27FC236}">
              <a16:creationId xmlns:a16="http://schemas.microsoft.com/office/drawing/2014/main" id="{17C6F524-4BAC-52C3-5D49-980EC212B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714375"/>
          <a:ext cx="10858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3</xdr:row>
      <xdr:rowOff>152400</xdr:rowOff>
    </xdr:from>
    <xdr:to>
      <xdr:col>2</xdr:col>
      <xdr:colOff>1000125</xdr:colOff>
      <xdr:row>3</xdr:row>
      <xdr:rowOff>152400</xdr:rowOff>
    </xdr:to>
    <xdr:sp macro="" textlink="">
      <xdr:nvSpPr>
        <xdr:cNvPr id="96257" name="Object 1" hidden="1">
          <a:extLst>
            <a:ext uri="{63B3BB69-23CF-44E3-9099-C40C66FF867C}">
              <a14:compatExt xmlns:a14="http://schemas.microsoft.com/office/drawing/2010/main" spid="_x0000_s96257"/>
            </a:ext>
            <a:ext uri="{FF2B5EF4-FFF2-40B4-BE49-F238E27FC236}">
              <a16:creationId xmlns:a16="http://schemas.microsoft.com/office/drawing/2014/main" id="{00000000-0008-0000-0F00-00000178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3</xdr:row>
      <xdr:rowOff>152400</xdr:rowOff>
    </xdr:from>
    <xdr:to>
      <xdr:col>2</xdr:col>
      <xdr:colOff>1000125</xdr:colOff>
      <xdr:row>3</xdr:row>
      <xdr:rowOff>152400</xdr:rowOff>
    </xdr:to>
    <xdr:pic>
      <xdr:nvPicPr>
        <xdr:cNvPr id="2" name="Picture 1">
          <a:extLst>
            <a:ext uri="{FF2B5EF4-FFF2-40B4-BE49-F238E27FC236}">
              <a16:creationId xmlns:a16="http://schemas.microsoft.com/office/drawing/2014/main" id="{ECC4119A-2B4B-D614-6509-91C11D73C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828675"/>
          <a:ext cx="42195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9"/>
  <sheetViews>
    <sheetView tabSelected="1" view="pageBreakPreview" zoomScale="85" zoomScaleNormal="85" zoomScaleSheetLayoutView="85" workbookViewId="0">
      <selection activeCell="G30" sqref="G30"/>
    </sheetView>
  </sheetViews>
  <sheetFormatPr defaultColWidth="8.84375" defaultRowHeight="13"/>
  <cols>
    <col min="1" max="1" width="6.84375" style="14" customWidth="1"/>
    <col min="2" max="2" width="43.53515625" style="14" customWidth="1"/>
    <col min="3" max="3" width="36.07421875" style="14" customWidth="1"/>
    <col min="4" max="4" width="16.3046875" style="14" customWidth="1"/>
    <col min="5" max="5" width="8.3046875" style="14" customWidth="1"/>
    <col min="6" max="6" width="7.3046875" style="14" customWidth="1"/>
    <col min="7" max="7" width="9.4609375" style="14" customWidth="1"/>
    <col min="8" max="8" width="4.84375" style="14" customWidth="1"/>
    <col min="9" max="9" width="13.53515625" style="14" customWidth="1"/>
    <col min="10" max="10" width="5.69140625" style="14" customWidth="1"/>
    <col min="11" max="11" width="14.4609375" style="14" bestFit="1" customWidth="1"/>
    <col min="12" max="12" width="14.69140625" style="14" bestFit="1" customWidth="1"/>
    <col min="13" max="16384" width="8.84375" style="14"/>
  </cols>
  <sheetData>
    <row r="1" spans="1:10">
      <c r="A1" s="102"/>
      <c r="B1" s="102"/>
      <c r="C1" s="102"/>
      <c r="D1" s="102"/>
      <c r="E1" s="102"/>
      <c r="F1" s="102"/>
      <c r="G1" s="102"/>
      <c r="H1" s="102"/>
      <c r="I1" s="102"/>
      <c r="J1" s="103" t="s">
        <v>625</v>
      </c>
    </row>
    <row r="2" spans="1:10">
      <c r="A2" s="102"/>
      <c r="B2" s="102"/>
      <c r="C2" s="102"/>
      <c r="D2" s="102"/>
      <c r="E2" s="102"/>
      <c r="F2" s="102"/>
      <c r="G2" s="102"/>
      <c r="H2" s="102"/>
      <c r="I2" s="102"/>
      <c r="J2" s="102"/>
    </row>
    <row r="3" spans="1:10">
      <c r="A3" s="34"/>
      <c r="B3" s="26" t="s">
        <v>1</v>
      </c>
      <c r="C3" s="196"/>
      <c r="D3" s="104" t="s">
        <v>743</v>
      </c>
      <c r="E3" s="26"/>
      <c r="F3" s="26"/>
      <c r="G3" s="105"/>
      <c r="H3" s="106"/>
      <c r="I3" s="107"/>
      <c r="J3" s="19" t="s">
        <v>1019</v>
      </c>
    </row>
    <row r="4" spans="1:10">
      <c r="A4" s="34"/>
      <c r="C4" s="27"/>
      <c r="D4" s="30" t="s">
        <v>97</v>
      </c>
      <c r="E4" s="27"/>
      <c r="F4" s="27"/>
      <c r="G4" s="27"/>
      <c r="H4" s="108"/>
      <c r="I4" s="108"/>
      <c r="J4" s="109"/>
    </row>
    <row r="5" spans="1:10" ht="13.5">
      <c r="A5" s="34"/>
      <c r="B5" s="110"/>
      <c r="C5" s="117"/>
      <c r="D5" s="256" t="s">
        <v>730</v>
      </c>
      <c r="E5" s="117"/>
      <c r="F5" s="117"/>
      <c r="G5" s="117"/>
      <c r="H5" s="109"/>
      <c r="I5" s="109"/>
      <c r="J5" s="109"/>
    </row>
    <row r="6" spans="1:10" ht="13.5">
      <c r="B6" s="110"/>
      <c r="J6" s="111"/>
    </row>
    <row r="7" spans="1:10">
      <c r="A7" s="104"/>
      <c r="C7" s="109"/>
      <c r="D7" s="112"/>
      <c r="E7" s="109"/>
      <c r="F7" s="109"/>
      <c r="G7" s="109"/>
      <c r="H7" s="109"/>
      <c r="I7" s="109"/>
      <c r="J7" s="109"/>
    </row>
    <row r="8" spans="1:10">
      <c r="A8" s="104"/>
      <c r="B8" s="113" t="s">
        <v>3</v>
      </c>
      <c r="C8" s="113" t="s">
        <v>4</v>
      </c>
      <c r="D8" s="113" t="s">
        <v>5</v>
      </c>
      <c r="E8" s="27" t="s">
        <v>2</v>
      </c>
      <c r="F8" s="27"/>
      <c r="G8" s="112" t="s">
        <v>6</v>
      </c>
      <c r="H8" s="27"/>
      <c r="I8" s="112" t="s">
        <v>7</v>
      </c>
      <c r="J8" s="109"/>
    </row>
    <row r="9" spans="1:10">
      <c r="A9" s="104" t="s">
        <v>8</v>
      </c>
      <c r="B9" s="109"/>
      <c r="C9" s="109"/>
      <c r="D9" s="114"/>
      <c r="E9" s="109"/>
      <c r="F9" s="109"/>
      <c r="G9" s="109"/>
      <c r="H9" s="109"/>
      <c r="I9" s="104" t="s">
        <v>9</v>
      </c>
      <c r="J9" s="109"/>
    </row>
    <row r="10" spans="1:10" ht="13.5" thickBot="1">
      <c r="A10" s="31" t="s">
        <v>10</v>
      </c>
      <c r="B10" s="109"/>
      <c r="C10" s="141" t="s">
        <v>199</v>
      </c>
      <c r="D10" s="109"/>
      <c r="E10" s="109"/>
      <c r="F10" s="109"/>
      <c r="G10" s="109"/>
      <c r="H10" s="109"/>
      <c r="I10" s="31" t="s">
        <v>11</v>
      </c>
      <c r="J10" s="109"/>
    </row>
    <row r="11" spans="1:10">
      <c r="A11" s="104">
        <v>1</v>
      </c>
      <c r="B11" s="109" t="s">
        <v>519</v>
      </c>
      <c r="C11" s="109" t="s">
        <v>563</v>
      </c>
      <c r="D11" s="115"/>
      <c r="E11" s="109"/>
      <c r="F11" s="109"/>
      <c r="G11" s="109"/>
      <c r="H11" s="109"/>
      <c r="I11" s="116">
        <f>+I171</f>
        <v>11342570.188434314</v>
      </c>
      <c r="J11" s="117"/>
    </row>
    <row r="12" spans="1:10">
      <c r="A12" s="104"/>
      <c r="B12" s="109"/>
      <c r="C12" s="109"/>
      <c r="D12" s="109"/>
      <c r="E12" s="109"/>
      <c r="F12" s="109"/>
      <c r="G12" s="109"/>
      <c r="H12" s="109"/>
      <c r="I12" s="115"/>
      <c r="J12" s="109"/>
    </row>
    <row r="13" spans="1:10" ht="13.5" thickBot="1">
      <c r="A13" s="104" t="s">
        <v>2</v>
      </c>
      <c r="B13" s="29" t="s">
        <v>12</v>
      </c>
      <c r="C13" s="35" t="s">
        <v>503</v>
      </c>
      <c r="D13" s="31" t="s">
        <v>13</v>
      </c>
      <c r="E13" s="27"/>
      <c r="F13" s="118" t="s">
        <v>14</v>
      </c>
      <c r="G13" s="118"/>
      <c r="H13" s="109"/>
      <c r="I13" s="115"/>
      <c r="J13" s="109"/>
    </row>
    <row r="14" spans="1:10">
      <c r="A14" s="104">
        <f>+A11+1</f>
        <v>2</v>
      </c>
      <c r="B14" s="29" t="s">
        <v>102</v>
      </c>
      <c r="C14" s="35" t="str">
        <f>"(page 4, line "&amp;A210&amp;")"</f>
        <v>(page 4, line 20)</v>
      </c>
      <c r="D14" s="1120">
        <f>I210</f>
        <v>0</v>
      </c>
      <c r="E14" s="27"/>
      <c r="F14" s="27" t="s">
        <v>15</v>
      </c>
      <c r="G14" s="164">
        <f>$I$189</f>
        <v>1</v>
      </c>
      <c r="H14" s="42"/>
      <c r="I14" s="1121">
        <f>+G14*D14</f>
        <v>0</v>
      </c>
      <c r="J14" s="109"/>
    </row>
    <row r="15" spans="1:10">
      <c r="A15" s="104">
        <f>+A14+1</f>
        <v>3</v>
      </c>
      <c r="B15" s="29" t="s">
        <v>792</v>
      </c>
      <c r="C15" s="475" t="str">
        <f>"(page 4, line "&amp;A212&amp;")"</f>
        <v>(page 4, line 21)</v>
      </c>
      <c r="D15" s="1120">
        <f>+I212</f>
        <v>0</v>
      </c>
      <c r="E15" s="27"/>
      <c r="F15" s="27" t="s">
        <v>15</v>
      </c>
      <c r="G15" s="164">
        <f>$I$189</f>
        <v>1</v>
      </c>
      <c r="H15" s="42"/>
      <c r="I15" s="1121">
        <f>+G15*D15</f>
        <v>0</v>
      </c>
      <c r="J15" s="109"/>
    </row>
    <row r="16" spans="1:10">
      <c r="A16" s="455">
        <f>+A15+1</f>
        <v>4</v>
      </c>
      <c r="B16" s="119" t="s">
        <v>245</v>
      </c>
      <c r="C16" s="315" t="s">
        <v>510</v>
      </c>
      <c r="D16" s="1119">
        <v>0</v>
      </c>
      <c r="E16" s="27"/>
      <c r="F16" s="27" t="s">
        <v>15</v>
      </c>
      <c r="G16" s="164">
        <f>$I$189</f>
        <v>1</v>
      </c>
      <c r="H16" s="42"/>
      <c r="I16" s="1121">
        <f>+G16*D16</f>
        <v>0</v>
      </c>
      <c r="J16" s="109"/>
    </row>
    <row r="17" spans="1:12" ht="13.5" thickBot="1">
      <c r="A17" s="104">
        <f>+A16+1</f>
        <v>5</v>
      </c>
      <c r="B17" s="119" t="s">
        <v>103</v>
      </c>
      <c r="C17" s="120"/>
      <c r="D17" s="1119">
        <v>0</v>
      </c>
      <c r="E17" s="27"/>
      <c r="F17" s="27" t="s">
        <v>15</v>
      </c>
      <c r="G17" s="164">
        <f>$I$189</f>
        <v>1</v>
      </c>
      <c r="H17" s="42"/>
      <c r="I17" s="1125">
        <f>+G17*D17</f>
        <v>0</v>
      </c>
      <c r="J17" s="109"/>
    </row>
    <row r="18" spans="1:12">
      <c r="A18" s="455">
        <f>+A17+1</f>
        <v>6</v>
      </c>
      <c r="B18" s="29" t="s">
        <v>216</v>
      </c>
      <c r="C18" s="109" t="str">
        <f>"(Sum of Lines "&amp;A14&amp;" through "&amp;A17&amp;")"</f>
        <v>(Sum of Lines 2 through 5)</v>
      </c>
      <c r="D18" s="456">
        <f>SUM(D14:D17)</f>
        <v>0</v>
      </c>
      <c r="E18" s="27"/>
      <c r="F18" s="27"/>
      <c r="G18" s="43"/>
      <c r="H18" s="42"/>
      <c r="I18" s="456">
        <f>SUM(I14:I17)</f>
        <v>0</v>
      </c>
      <c r="J18" s="109"/>
    </row>
    <row r="19" spans="1:12">
      <c r="A19" s="104"/>
      <c r="B19" s="34"/>
      <c r="C19" s="109"/>
      <c r="D19" s="445" t="s">
        <v>2</v>
      </c>
      <c r="E19" s="109"/>
      <c r="F19" s="109"/>
      <c r="G19" s="121"/>
      <c r="H19" s="109"/>
      <c r="I19" s="34"/>
      <c r="J19" s="109"/>
    </row>
    <row r="20" spans="1:12" s="308" customFormat="1">
      <c r="A20" s="455">
        <f>+A18+1</f>
        <v>7</v>
      </c>
      <c r="B20" s="119" t="s">
        <v>694</v>
      </c>
      <c r="C20" s="120" t="s">
        <v>491</v>
      </c>
      <c r="D20" s="1120">
        <f>+'11-Corrections'!F30</f>
        <v>0</v>
      </c>
      <c r="E20" s="27"/>
      <c r="F20" s="27" t="s">
        <v>77</v>
      </c>
      <c r="G20" s="164">
        <v>1</v>
      </c>
      <c r="H20" s="27"/>
      <c r="I20" s="1121">
        <f>+G20*D20</f>
        <v>0</v>
      </c>
      <c r="J20" s="109"/>
      <c r="L20" s="122"/>
    </row>
    <row r="21" spans="1:12">
      <c r="A21" s="123">
        <f>+A20+1</f>
        <v>8</v>
      </c>
      <c r="B21" s="124" t="s">
        <v>98</v>
      </c>
      <c r="C21" s="288" t="str">
        <f>"Attachment 3, line "&amp;'3-Project True-up'!A29&amp;", Col. G+H"</f>
        <v>Attachment 3, line 9, Col. G+H</v>
      </c>
      <c r="D21" s="1120">
        <v>0</v>
      </c>
      <c r="E21" s="125"/>
      <c r="F21" s="126" t="s">
        <v>77</v>
      </c>
      <c r="G21" s="164">
        <v>1</v>
      </c>
      <c r="H21" s="125"/>
      <c r="I21" s="1121">
        <f>+G21*D21</f>
        <v>0</v>
      </c>
      <c r="J21" s="127"/>
    </row>
    <row r="22" spans="1:12" s="308" customFormat="1">
      <c r="A22" s="123">
        <f>+A21+1</f>
        <v>9</v>
      </c>
      <c r="B22" s="124" t="s">
        <v>738</v>
      </c>
      <c r="C22" s="288" t="s">
        <v>737</v>
      </c>
      <c r="D22" s="1120">
        <f>+'13 - 30.9 credits'!D8</f>
        <v>0</v>
      </c>
      <c r="E22" s="125"/>
      <c r="F22" s="509" t="s">
        <v>77</v>
      </c>
      <c r="G22" s="164">
        <v>1</v>
      </c>
      <c r="H22" s="125"/>
      <c r="I22" s="1121">
        <f>+G22*D22</f>
        <v>0</v>
      </c>
      <c r="J22" s="127"/>
    </row>
    <row r="23" spans="1:12">
      <c r="A23" s="123"/>
      <c r="B23" s="124"/>
      <c r="C23" s="288"/>
      <c r="D23" s="446"/>
      <c r="E23" s="128"/>
      <c r="F23" s="128"/>
      <c r="G23" s="128"/>
      <c r="H23" s="128"/>
      <c r="I23" s="129"/>
      <c r="J23" s="127"/>
    </row>
    <row r="24" spans="1:12" ht="13.5" thickBot="1">
      <c r="A24" s="123">
        <f>+A22+1</f>
        <v>10</v>
      </c>
      <c r="B24" s="124" t="s">
        <v>399</v>
      </c>
      <c r="C24" s="509" t="str">
        <f>"( Line "&amp;A11&amp;" less line "&amp;A18&amp;" plus lines "&amp;A20&amp;","&amp;A21&amp;", and "&amp;A22&amp;")"</f>
        <v>( Line 1 less line 6 plus lines 7,8, and 9)</v>
      </c>
      <c r="D24" s="128"/>
      <c r="E24" s="129"/>
      <c r="F24" s="129"/>
      <c r="G24" s="129"/>
      <c r="H24" s="129"/>
      <c r="I24" s="130">
        <f>+I11-I18+I20+I21+I22</f>
        <v>11342570.188434314</v>
      </c>
      <c r="J24" s="127"/>
    </row>
    <row r="25" spans="1:12" ht="13.5" thickTop="1">
      <c r="A25" s="131"/>
      <c r="B25" s="119"/>
      <c r="C25" s="127"/>
      <c r="D25" s="127"/>
      <c r="E25" s="127"/>
      <c r="F25" s="132"/>
      <c r="G25" s="133"/>
      <c r="H25" s="127"/>
      <c r="I25" s="119"/>
      <c r="J25" s="127"/>
    </row>
    <row r="26" spans="1:12" s="308" customFormat="1">
      <c r="A26" s="131"/>
      <c r="B26" s="124"/>
      <c r="C26" s="288"/>
      <c r="D26" s="155"/>
      <c r="E26" s="127"/>
      <c r="F26" s="132"/>
      <c r="G26" s="133"/>
      <c r="H26" s="127"/>
      <c r="I26" s="119"/>
      <c r="J26" s="127"/>
    </row>
    <row r="27" spans="1:12" customFormat="1" ht="15.5"/>
    <row r="28" spans="1:12" customFormat="1" ht="15.5"/>
    <row r="29" spans="1:12" customFormat="1" ht="15.5"/>
    <row r="30" spans="1:12" customFormat="1" ht="15.5"/>
    <row r="31" spans="1:12" customFormat="1" ht="15.5"/>
    <row r="32" spans="1:12" customFormat="1" ht="15.5"/>
    <row r="33" customFormat="1" ht="15.75" customHeight="1"/>
    <row r="34" customFormat="1" ht="15.5"/>
    <row r="35" customFormat="1" ht="15.5"/>
    <row r="36" customFormat="1" ht="15.5"/>
    <row r="37" customFormat="1" ht="15.5"/>
    <row r="38" customFormat="1" ht="15.5"/>
    <row r="39" customFormat="1" ht="15.5"/>
    <row r="40" customFormat="1" ht="15.5"/>
    <row r="41" customFormat="1" ht="15.5"/>
    <row r="42" customFormat="1" ht="15.5"/>
    <row r="43" customFormat="1" ht="15.5"/>
    <row r="44" customFormat="1" ht="15.5"/>
    <row r="45" customFormat="1" ht="15.5"/>
    <row r="46" customFormat="1" ht="15.5"/>
    <row r="47" customFormat="1" ht="15.5"/>
    <row r="48" customFormat="1" ht="15.5"/>
    <row r="49" spans="1:10" customFormat="1" ht="15.5"/>
    <row r="50" spans="1:10" customFormat="1" ht="15.5"/>
    <row r="51" spans="1:10" customFormat="1" ht="15.5"/>
    <row r="52" spans="1:10">
      <c r="A52" s="104"/>
      <c r="B52" s="29"/>
      <c r="C52" s="109"/>
      <c r="D52" s="134"/>
      <c r="E52" s="135"/>
      <c r="F52" s="135"/>
      <c r="G52" s="135"/>
      <c r="H52" s="135"/>
      <c r="I52" s="135"/>
      <c r="J52" s="109"/>
    </row>
    <row r="53" spans="1:10">
      <c r="A53" s="104"/>
      <c r="B53" s="29"/>
      <c r="C53" s="109"/>
      <c r="D53" s="134"/>
      <c r="E53" s="135"/>
      <c r="F53" s="135"/>
      <c r="G53" s="135"/>
      <c r="H53" s="135"/>
      <c r="I53" s="135"/>
      <c r="J53" s="109"/>
    </row>
    <row r="54" spans="1:10">
      <c r="A54" s="34"/>
      <c r="B54" s="29"/>
      <c r="C54" s="109"/>
      <c r="D54" s="109"/>
      <c r="E54" s="109"/>
      <c r="F54" s="109"/>
      <c r="G54" s="109"/>
      <c r="H54" s="109"/>
      <c r="I54" s="136"/>
      <c r="J54" s="137" t="s">
        <v>624</v>
      </c>
    </row>
    <row r="55" spans="1:10">
      <c r="A55" s="34"/>
      <c r="B55" s="109"/>
      <c r="C55" s="109"/>
      <c r="D55" s="109"/>
      <c r="E55" s="109"/>
      <c r="F55" s="109"/>
      <c r="G55" s="109"/>
      <c r="H55" s="109"/>
      <c r="I55" s="109"/>
      <c r="J55" s="109"/>
    </row>
    <row r="56" spans="1:10">
      <c r="A56" s="34"/>
      <c r="B56" s="29" t="s">
        <v>1</v>
      </c>
      <c r="C56" s="29"/>
      <c r="D56" s="104" t="str">
        <f>+D3</f>
        <v>Rate Formula Template - Attachment H-29A</v>
      </c>
      <c r="E56" s="29"/>
      <c r="F56" s="29"/>
      <c r="G56" s="29"/>
      <c r="H56" s="29"/>
      <c r="I56" s="102"/>
      <c r="J56" s="137" t="str">
        <f>J3</f>
        <v>For  the 12 months ended 12/31/2024</v>
      </c>
    </row>
    <row r="57" spans="1:10">
      <c r="A57" s="34"/>
      <c r="B57" s="138"/>
      <c r="C57" s="27"/>
      <c r="D57" s="30" t="s">
        <v>97</v>
      </c>
      <c r="E57" s="27"/>
      <c r="F57" s="27"/>
      <c r="G57" s="27"/>
      <c r="H57" s="27"/>
      <c r="I57" s="27"/>
      <c r="J57" s="27"/>
    </row>
    <row r="58" spans="1:10">
      <c r="A58" s="34"/>
      <c r="B58" s="29"/>
      <c r="C58" s="27"/>
      <c r="D58" s="30" t="str">
        <f>+D5</f>
        <v>Transource Pennsylvania, LLC</v>
      </c>
      <c r="E58" s="27"/>
      <c r="F58" s="27"/>
      <c r="G58" s="27" t="s">
        <v>2</v>
      </c>
      <c r="H58" s="27"/>
      <c r="I58" s="27"/>
      <c r="J58" s="27"/>
    </row>
    <row r="59" spans="1:10">
      <c r="A59" s="1240"/>
      <c r="B59" s="1240"/>
      <c r="C59" s="1240"/>
      <c r="D59" s="1240"/>
      <c r="E59" s="1240"/>
      <c r="F59" s="1240"/>
      <c r="G59" s="1240"/>
      <c r="H59" s="1240"/>
      <c r="I59" s="1240"/>
      <c r="J59" s="1240"/>
    </row>
    <row r="60" spans="1:10">
      <c r="A60" s="34"/>
      <c r="B60" s="113" t="s">
        <v>3</v>
      </c>
      <c r="C60" s="113" t="s">
        <v>4</v>
      </c>
      <c r="D60" s="113" t="s">
        <v>5</v>
      </c>
      <c r="E60" s="27" t="s">
        <v>2</v>
      </c>
      <c r="F60" s="27"/>
      <c r="G60" s="112" t="s">
        <v>6</v>
      </c>
      <c r="H60" s="27"/>
      <c r="I60" s="112" t="s">
        <v>7</v>
      </c>
      <c r="J60" s="113"/>
    </row>
    <row r="61" spans="1:10">
      <c r="A61" s="34"/>
      <c r="B61" s="29"/>
      <c r="C61" s="139"/>
      <c r="D61" s="27"/>
      <c r="E61" s="27"/>
      <c r="F61" s="27"/>
      <c r="G61" s="104"/>
      <c r="H61" s="27"/>
      <c r="I61" s="140" t="s">
        <v>16</v>
      </c>
      <c r="J61" s="113"/>
    </row>
    <row r="62" spans="1:10">
      <c r="A62" s="104" t="s">
        <v>8</v>
      </c>
      <c r="B62" s="29"/>
      <c r="C62" s="141" t="s">
        <v>199</v>
      </c>
      <c r="D62" s="140" t="s">
        <v>18</v>
      </c>
      <c r="E62" s="142"/>
      <c r="F62" s="140" t="s">
        <v>19</v>
      </c>
      <c r="G62" s="34"/>
      <c r="H62" s="142"/>
      <c r="I62" s="104" t="s">
        <v>20</v>
      </c>
      <c r="J62" s="113"/>
    </row>
    <row r="63" spans="1:10" ht="13.5" thickBot="1">
      <c r="A63" s="314" t="s">
        <v>10</v>
      </c>
      <c r="B63" s="143" t="s">
        <v>328</v>
      </c>
      <c r="C63" s="27"/>
      <c r="D63" s="27"/>
      <c r="E63" s="27"/>
      <c r="F63" s="27"/>
      <c r="G63" s="27"/>
      <c r="H63" s="27"/>
      <c r="I63" s="27"/>
      <c r="J63" s="27"/>
    </row>
    <row r="64" spans="1:10">
      <c r="A64" s="286"/>
      <c r="B64" s="29" t="s">
        <v>537</v>
      </c>
      <c r="C64" s="27" t="s">
        <v>374</v>
      </c>
      <c r="D64" s="27"/>
      <c r="E64" s="27"/>
      <c r="F64" s="27"/>
      <c r="G64" s="27"/>
      <c r="H64" s="27"/>
      <c r="I64" s="27"/>
      <c r="J64" s="27"/>
    </row>
    <row r="65" spans="1:10">
      <c r="A65" s="286">
        <v>1</v>
      </c>
      <c r="B65" s="29" t="s">
        <v>246</v>
      </c>
      <c r="C65" s="42" t="s">
        <v>250</v>
      </c>
      <c r="D65" s="1119">
        <v>0</v>
      </c>
      <c r="E65" s="27"/>
      <c r="F65" s="27" t="s">
        <v>21</v>
      </c>
      <c r="G65" s="165">
        <v>0</v>
      </c>
      <c r="H65" s="27"/>
      <c r="I65" s="1121">
        <f>+G65*D65</f>
        <v>0</v>
      </c>
      <c r="J65" s="27"/>
    </row>
    <row r="66" spans="1:10">
      <c r="A66" s="286">
        <f>+A65+1</f>
        <v>2</v>
      </c>
      <c r="B66" s="29" t="s">
        <v>22</v>
      </c>
      <c r="C66" s="42" t="s">
        <v>248</v>
      </c>
      <c r="D66" s="1120">
        <f>'4- Rate Base'!C23</f>
        <v>0</v>
      </c>
      <c r="E66" s="27"/>
      <c r="F66" s="27" t="s">
        <v>15</v>
      </c>
      <c r="G66" s="164">
        <f>$I$189</f>
        <v>1</v>
      </c>
      <c r="H66" s="42"/>
      <c r="I66" s="1121">
        <f>+G66*D66</f>
        <v>0</v>
      </c>
      <c r="J66" s="27"/>
    </row>
    <row r="67" spans="1:10">
      <c r="A67" s="286">
        <f t="shared" ref="A67:A103" si="0">+A66+1</f>
        <v>3</v>
      </c>
      <c r="B67" s="29" t="s">
        <v>247</v>
      </c>
      <c r="C67" s="42" t="s">
        <v>251</v>
      </c>
      <c r="D67" s="1119">
        <v>0</v>
      </c>
      <c r="E67" s="27"/>
      <c r="F67" s="27" t="s">
        <v>21</v>
      </c>
      <c r="G67" s="165">
        <v>0</v>
      </c>
      <c r="H67" s="42"/>
      <c r="I67" s="1121">
        <f>+G67*D67</f>
        <v>0</v>
      </c>
      <c r="J67" s="27"/>
    </row>
    <row r="68" spans="1:10" ht="13.5" thickBot="1">
      <c r="A68" s="286">
        <f t="shared" si="0"/>
        <v>4</v>
      </c>
      <c r="B68" s="29" t="s">
        <v>88</v>
      </c>
      <c r="C68" s="42" t="s">
        <v>249</v>
      </c>
      <c r="D68" s="144">
        <f>'4- Rate Base'!D23</f>
        <v>743979.5384615385</v>
      </c>
      <c r="E68" s="27"/>
      <c r="F68" s="27" t="s">
        <v>23</v>
      </c>
      <c r="G68" s="164">
        <f>$I$197</f>
        <v>1</v>
      </c>
      <c r="H68" s="42"/>
      <c r="I68" s="144">
        <f>+G68*D68</f>
        <v>743979.5384615385</v>
      </c>
      <c r="J68" s="27"/>
    </row>
    <row r="69" spans="1:10">
      <c r="A69" s="286">
        <f t="shared" si="0"/>
        <v>5</v>
      </c>
      <c r="B69" s="26" t="s">
        <v>212</v>
      </c>
      <c r="C69" s="27" t="s">
        <v>506</v>
      </c>
      <c r="D69" s="390">
        <f>SUM(D65:D68)</f>
        <v>743979.5384615385</v>
      </c>
      <c r="E69" s="27"/>
      <c r="F69" s="27" t="s">
        <v>24</v>
      </c>
      <c r="G69" s="317">
        <f>IF(I69&gt;0,I69/D69,1)</f>
        <v>1</v>
      </c>
      <c r="H69" s="42"/>
      <c r="I69" s="390">
        <f>SUM(I65:I68)</f>
        <v>743979.5384615385</v>
      </c>
      <c r="J69" s="146"/>
    </row>
    <row r="70" spans="1:10">
      <c r="A70" s="286"/>
      <c r="B70" s="29"/>
      <c r="C70" s="27"/>
      <c r="D70" s="16"/>
      <c r="E70" s="27"/>
      <c r="F70" s="27"/>
      <c r="G70" s="318"/>
      <c r="H70" s="27"/>
      <c r="I70" s="16"/>
      <c r="J70" s="146"/>
    </row>
    <row r="71" spans="1:10">
      <c r="A71" s="286">
        <f>+A69+1</f>
        <v>6</v>
      </c>
      <c r="B71" s="29" t="s">
        <v>536</v>
      </c>
      <c r="C71" s="27" t="s">
        <v>374</v>
      </c>
      <c r="D71" s="16"/>
      <c r="E71" s="27"/>
      <c r="F71" s="27"/>
      <c r="G71" s="164"/>
      <c r="H71" s="27"/>
      <c r="I71" s="16"/>
      <c r="J71" s="27"/>
    </row>
    <row r="72" spans="1:10">
      <c r="A72" s="286">
        <f t="shared" si="0"/>
        <v>7</v>
      </c>
      <c r="B72" s="29" t="s">
        <v>246</v>
      </c>
      <c r="C72" s="27" t="s">
        <v>252</v>
      </c>
      <c r="D72" s="1122">
        <v>0</v>
      </c>
      <c r="E72" s="27"/>
      <c r="F72" s="27" t="s">
        <v>21</v>
      </c>
      <c r="G72" s="164">
        <v>0</v>
      </c>
      <c r="H72" s="27"/>
      <c r="I72" s="1121">
        <f>+G72*D72</f>
        <v>0</v>
      </c>
      <c r="J72" s="27"/>
    </row>
    <row r="73" spans="1:10">
      <c r="A73" s="286">
        <f t="shared" si="0"/>
        <v>8</v>
      </c>
      <c r="B73" s="29" t="s">
        <v>22</v>
      </c>
      <c r="C73" s="27" t="s">
        <v>254</v>
      </c>
      <c r="D73" s="1120">
        <f>'4- Rate Base'!I23</f>
        <v>0</v>
      </c>
      <c r="E73" s="27"/>
      <c r="F73" s="27" t="s">
        <v>15</v>
      </c>
      <c r="G73" s="164">
        <f>$I$189</f>
        <v>1</v>
      </c>
      <c r="H73" s="42"/>
      <c r="I73" s="1121">
        <f>+G73*D73</f>
        <v>0</v>
      </c>
      <c r="J73" s="27"/>
    </row>
    <row r="74" spans="1:10">
      <c r="A74" s="286">
        <f t="shared" si="0"/>
        <v>9</v>
      </c>
      <c r="B74" s="29" t="s">
        <v>247</v>
      </c>
      <c r="C74" s="27" t="s">
        <v>253</v>
      </c>
      <c r="D74" s="1119">
        <v>0</v>
      </c>
      <c r="E74" s="27"/>
      <c r="F74" s="27" t="s">
        <v>21</v>
      </c>
      <c r="G74" s="164">
        <f>+G67</f>
        <v>0</v>
      </c>
      <c r="H74" s="42"/>
      <c r="I74" s="1120">
        <f>+G74*D74</f>
        <v>0</v>
      </c>
      <c r="J74" s="27"/>
    </row>
    <row r="75" spans="1:10" ht="13.5" thickBot="1">
      <c r="A75" s="286">
        <f t="shared" si="0"/>
        <v>10</v>
      </c>
      <c r="B75" s="29" t="s">
        <v>88</v>
      </c>
      <c r="C75" s="27" t="s">
        <v>255</v>
      </c>
      <c r="D75" s="144">
        <f>'4- Rate Base'!J23</f>
        <v>364815.64230769227</v>
      </c>
      <c r="E75" s="27"/>
      <c r="F75" s="27" t="s">
        <v>23</v>
      </c>
      <c r="G75" s="164">
        <f>$I$197</f>
        <v>1</v>
      </c>
      <c r="H75" s="42"/>
      <c r="I75" s="144">
        <f>+G75*D75</f>
        <v>364815.64230769227</v>
      </c>
      <c r="J75" s="27"/>
    </row>
    <row r="76" spans="1:10">
      <c r="A76" s="286">
        <f t="shared" si="0"/>
        <v>11</v>
      </c>
      <c r="B76" s="29" t="s">
        <v>213</v>
      </c>
      <c r="C76" s="27" t="s">
        <v>226</v>
      </c>
      <c r="D76" s="390">
        <f>SUM(D72:D75)</f>
        <v>364815.64230769227</v>
      </c>
      <c r="E76" s="27"/>
      <c r="F76" s="27"/>
      <c r="G76" s="25"/>
      <c r="H76" s="42"/>
      <c r="I76" s="390">
        <f>SUM(I72:I75)</f>
        <v>364815.64230769227</v>
      </c>
      <c r="J76" s="27"/>
    </row>
    <row r="77" spans="1:10">
      <c r="A77" s="286"/>
      <c r="B77" s="34"/>
      <c r="C77" s="27" t="s">
        <v>2</v>
      </c>
      <c r="D77" s="16"/>
      <c r="E77" s="27"/>
      <c r="F77" s="27"/>
      <c r="G77" s="145"/>
      <c r="H77" s="27"/>
      <c r="I77" s="16"/>
      <c r="J77" s="146"/>
    </row>
    <row r="78" spans="1:10">
      <c r="A78" s="286">
        <f>+A76+1</f>
        <v>12</v>
      </c>
      <c r="B78" s="29" t="s">
        <v>25</v>
      </c>
      <c r="C78" s="27"/>
      <c r="D78" s="16"/>
      <c r="E78" s="27"/>
      <c r="F78" s="27"/>
      <c r="G78" s="25"/>
      <c r="H78" s="27"/>
      <c r="I78" s="16"/>
      <c r="J78" s="27"/>
    </row>
    <row r="79" spans="1:10">
      <c r="A79" s="286">
        <f t="shared" si="0"/>
        <v>13</v>
      </c>
      <c r="B79" s="29" t="s">
        <v>246</v>
      </c>
      <c r="C79" s="27" t="str">
        <f>"(line "&amp;A65&amp;" - line "&amp;A72&amp;")"</f>
        <v>(line 1 - line 7)</v>
      </c>
      <c r="D79" s="1121">
        <f>D65-D72</f>
        <v>0</v>
      </c>
      <c r="E79" s="42"/>
      <c r="F79" s="42"/>
      <c r="G79" s="145"/>
      <c r="H79" s="42"/>
      <c r="I79" s="1121">
        <f>I65-I72</f>
        <v>0</v>
      </c>
      <c r="J79" s="146"/>
    </row>
    <row r="80" spans="1:10">
      <c r="A80" s="286">
        <f t="shared" si="0"/>
        <v>14</v>
      </c>
      <c r="B80" s="29" t="s">
        <v>22</v>
      </c>
      <c r="C80" s="27" t="str">
        <f>"(line "&amp;A66&amp;" - line "&amp;A73&amp;")"</f>
        <v>(line 2 - line 8)</v>
      </c>
      <c r="D80" s="1121">
        <f>D66-D73</f>
        <v>0</v>
      </c>
      <c r="E80" s="42"/>
      <c r="F80" s="42"/>
      <c r="G80" s="25"/>
      <c r="H80" s="42"/>
      <c r="I80" s="1121">
        <f>I66-I73</f>
        <v>0</v>
      </c>
      <c r="J80" s="146"/>
    </row>
    <row r="81" spans="1:10">
      <c r="A81" s="286">
        <f t="shared" si="0"/>
        <v>15</v>
      </c>
      <c r="B81" s="29" t="s">
        <v>247</v>
      </c>
      <c r="C81" s="27" t="str">
        <f>"(line "&amp;A67&amp;" - line "&amp;A74&amp;")"</f>
        <v>(line 3 - line 9)</v>
      </c>
      <c r="D81" s="1121">
        <f>D67-D74</f>
        <v>0</v>
      </c>
      <c r="E81" s="42"/>
      <c r="F81" s="42"/>
      <c r="G81" s="145"/>
      <c r="H81" s="42"/>
      <c r="I81" s="1120">
        <f>I67-I74</f>
        <v>0</v>
      </c>
      <c r="J81" s="146"/>
    </row>
    <row r="82" spans="1:10" ht="13.5" thickBot="1">
      <c r="A82" s="286">
        <f t="shared" si="0"/>
        <v>16</v>
      </c>
      <c r="B82" s="29" t="s">
        <v>88</v>
      </c>
      <c r="C82" s="27" t="str">
        <f>"(line "&amp;A68&amp;" - line "&amp;A75&amp;")"</f>
        <v>(line 4 - line 10)</v>
      </c>
      <c r="D82" s="144">
        <f>D68-D75</f>
        <v>379163.89615384623</v>
      </c>
      <c r="E82" s="42"/>
      <c r="F82" s="42"/>
      <c r="G82" s="145"/>
      <c r="H82" s="42"/>
      <c r="I82" s="144">
        <f>I68-I75</f>
        <v>379163.89615384623</v>
      </c>
      <c r="J82" s="146"/>
    </row>
    <row r="83" spans="1:10">
      <c r="A83" s="286">
        <f t="shared" si="0"/>
        <v>17</v>
      </c>
      <c r="B83" s="29" t="s">
        <v>215</v>
      </c>
      <c r="C83" s="27" t="str">
        <f>"( Sum of line "&amp;A69&amp;" - line "&amp;A76&amp;")"</f>
        <v>( Sum of line 5 - line 11)</v>
      </c>
      <c r="D83" s="390">
        <f>SUM(D79:D82)</f>
        <v>379163.89615384623</v>
      </c>
      <c r="E83" s="42"/>
      <c r="F83" s="42" t="s">
        <v>26</v>
      </c>
      <c r="G83" s="317">
        <f>IF(I83&gt;0,I83/D83,1)</f>
        <v>1</v>
      </c>
      <c r="H83" s="42"/>
      <c r="I83" s="390">
        <f>SUM(I79:I82)</f>
        <v>379163.89615384623</v>
      </c>
      <c r="J83" s="27"/>
    </row>
    <row r="84" spans="1:10">
      <c r="A84" s="286"/>
      <c r="B84" s="34"/>
      <c r="C84" s="27"/>
      <c r="D84" s="16"/>
      <c r="E84" s="27"/>
      <c r="F84" s="34"/>
      <c r="G84" s="457"/>
      <c r="H84" s="27"/>
      <c r="I84" s="16"/>
      <c r="J84" s="146"/>
    </row>
    <row r="85" spans="1:10">
      <c r="A85" s="286">
        <f>+A83+1</f>
        <v>18</v>
      </c>
      <c r="B85" s="26" t="s">
        <v>256</v>
      </c>
      <c r="C85" s="27"/>
      <c r="D85" s="16"/>
      <c r="E85" s="27"/>
      <c r="F85" s="27"/>
      <c r="G85" s="457"/>
      <c r="H85" s="27"/>
      <c r="I85" s="16"/>
      <c r="J85" s="27"/>
    </row>
    <row r="86" spans="1:10">
      <c r="A86" s="286">
        <f>+A85+1</f>
        <v>19</v>
      </c>
      <c r="B86" s="510" t="s">
        <v>832</v>
      </c>
      <c r="C86" s="509" t="s">
        <v>951</v>
      </c>
      <c r="D86" s="1123">
        <f>-'4- Rate Base'!E42</f>
        <v>0</v>
      </c>
      <c r="E86" s="27"/>
      <c r="F86" s="996"/>
      <c r="G86" s="997"/>
      <c r="H86" s="42"/>
      <c r="I86" s="1121">
        <f>-'4a - ADIT Average Balances'!I40</f>
        <v>0</v>
      </c>
      <c r="J86" s="146"/>
    </row>
    <row r="87" spans="1:10" s="308" customFormat="1">
      <c r="A87" s="286">
        <f t="shared" ref="A87:A90" si="1">+A86+1</f>
        <v>20</v>
      </c>
      <c r="B87" s="510" t="s">
        <v>833</v>
      </c>
      <c r="C87" s="509" t="s">
        <v>951</v>
      </c>
      <c r="D87" s="1123">
        <f>-'4- Rate Base'!F42</f>
        <v>-23706.25</v>
      </c>
      <c r="E87" s="509"/>
      <c r="F87" s="996"/>
      <c r="G87" s="998"/>
      <c r="H87" s="42"/>
      <c r="I87" s="1121">
        <f>-'4a - ADIT Average Balances'!I76</f>
        <v>-23706.25</v>
      </c>
      <c r="J87" s="146"/>
    </row>
    <row r="88" spans="1:10" s="308" customFormat="1">
      <c r="A88" s="286">
        <f t="shared" si="1"/>
        <v>21</v>
      </c>
      <c r="B88" s="510" t="s">
        <v>834</v>
      </c>
      <c r="C88" s="509" t="s">
        <v>951</v>
      </c>
      <c r="D88" s="1123">
        <f>-'4- Rate Base'!G42</f>
        <v>-721457.6449999999</v>
      </c>
      <c r="E88" s="509"/>
      <c r="F88" s="996"/>
      <c r="G88" s="998"/>
      <c r="H88" s="42"/>
      <c r="I88" s="1121">
        <f>-'4a - ADIT Average Balances'!I121</f>
        <v>-721457.6449999999</v>
      </c>
      <c r="J88" s="146"/>
    </row>
    <row r="89" spans="1:10" s="308" customFormat="1">
      <c r="A89" s="286">
        <f t="shared" si="1"/>
        <v>22</v>
      </c>
      <c r="B89" s="510" t="s">
        <v>835</v>
      </c>
      <c r="C89" s="509" t="s">
        <v>951</v>
      </c>
      <c r="D89" s="1123">
        <f>+'4- Rate Base'!H42</f>
        <v>464566.37500000012</v>
      </c>
      <c r="E89" s="509"/>
      <c r="F89" s="996"/>
      <c r="G89" s="998"/>
      <c r="H89" s="42"/>
      <c r="I89" s="1121">
        <f>'4a - ADIT Average Balances'!I167</f>
        <v>463353.57499999995</v>
      </c>
      <c r="J89" s="146"/>
    </row>
    <row r="90" spans="1:10">
      <c r="A90" s="286">
        <f t="shared" si="1"/>
        <v>23</v>
      </c>
      <c r="B90" s="34" t="s">
        <v>89</v>
      </c>
      <c r="C90" s="34" t="s">
        <v>836</v>
      </c>
      <c r="D90" s="1123">
        <f>-'4- Rate Base'!I42</f>
        <v>0</v>
      </c>
      <c r="E90" s="27"/>
      <c r="F90" s="27" t="s">
        <v>27</v>
      </c>
      <c r="G90" s="164">
        <f>+$G$83</f>
        <v>1</v>
      </c>
      <c r="H90" s="42"/>
      <c r="I90" s="1125">
        <f>D90*G90</f>
        <v>0</v>
      </c>
      <c r="J90" s="146"/>
    </row>
    <row r="91" spans="1:10" s="209" customFormat="1">
      <c r="A91" s="286">
        <f t="shared" si="0"/>
        <v>24</v>
      </c>
      <c r="B91" s="32" t="s">
        <v>377</v>
      </c>
      <c r="C91" s="32" t="s">
        <v>600</v>
      </c>
      <c r="D91" s="1123">
        <f>+'4- Rate Base'!K73</f>
        <v>0</v>
      </c>
      <c r="E91" s="35"/>
      <c r="F91" s="35" t="s">
        <v>77</v>
      </c>
      <c r="G91" s="165">
        <f>G92</f>
        <v>1</v>
      </c>
      <c r="H91" s="156"/>
      <c r="I91" s="1123">
        <f>+G91*D91</f>
        <v>0</v>
      </c>
      <c r="J91" s="287"/>
    </row>
    <row r="92" spans="1:10">
      <c r="A92" s="286">
        <f t="shared" si="0"/>
        <v>25</v>
      </c>
      <c r="B92" s="128" t="s">
        <v>87</v>
      </c>
      <c r="C92" s="152" t="s">
        <v>838</v>
      </c>
      <c r="D92" s="1123">
        <f>'4- Rate Base'!E23</f>
        <v>102205875.59307691</v>
      </c>
      <c r="E92" s="149"/>
      <c r="F92" s="150" t="str">
        <f>+F93</f>
        <v>DA</v>
      </c>
      <c r="G92" s="166">
        <v>1</v>
      </c>
      <c r="H92" s="149"/>
      <c r="I92" s="1125">
        <f>+G92*D92</f>
        <v>102205875.59307691</v>
      </c>
      <c r="J92" s="146"/>
    </row>
    <row r="93" spans="1:10">
      <c r="A93" s="286">
        <f t="shared" si="0"/>
        <v>26</v>
      </c>
      <c r="B93" s="151" t="s">
        <v>100</v>
      </c>
      <c r="C93" s="152" t="s">
        <v>512</v>
      </c>
      <c r="D93" s="1123">
        <f>+'4- Rate Base'!C42</f>
        <v>4.9112713895738125E-10</v>
      </c>
      <c r="E93" s="150"/>
      <c r="F93" s="150" t="str">
        <f>+F94</f>
        <v>DA</v>
      </c>
      <c r="G93" s="166">
        <v>1</v>
      </c>
      <c r="H93" s="150"/>
      <c r="I93" s="1125">
        <f>+G93*D93</f>
        <v>4.9112713895738125E-10</v>
      </c>
      <c r="J93" s="146"/>
    </row>
    <row r="94" spans="1:10" ht="13.5" thickBot="1">
      <c r="A94" s="286">
        <f t="shared" si="0"/>
        <v>27</v>
      </c>
      <c r="B94" s="151" t="s">
        <v>101</v>
      </c>
      <c r="C94" s="152" t="s">
        <v>513</v>
      </c>
      <c r="D94" s="1124">
        <f>+'4- Rate Base'!D42</f>
        <v>0</v>
      </c>
      <c r="E94" s="149"/>
      <c r="F94" s="149" t="s">
        <v>77</v>
      </c>
      <c r="G94" s="316">
        <v>1</v>
      </c>
      <c r="H94" s="149"/>
      <c r="I94" s="1126">
        <f>+G94*D94</f>
        <v>0</v>
      </c>
      <c r="J94" s="146"/>
    </row>
    <row r="95" spans="1:10">
      <c r="A95" s="286">
        <f t="shared" si="0"/>
        <v>28</v>
      </c>
      <c r="B95" s="29" t="s">
        <v>214</v>
      </c>
      <c r="C95" s="27" t="str">
        <f>"( Sum of line "&amp;A86&amp;" - line "&amp;A94&amp;")"</f>
        <v>( Sum of line 19 - line 27)</v>
      </c>
      <c r="D95" s="16">
        <f>SUM(D86:D94)</f>
        <v>101925278.07307692</v>
      </c>
      <c r="E95" s="27"/>
      <c r="F95" s="27"/>
      <c r="G95" s="458"/>
      <c r="H95" s="42"/>
      <c r="I95" s="16">
        <f>SUM(I86:I94)</f>
        <v>101924065.27307692</v>
      </c>
      <c r="J95" s="27"/>
    </row>
    <row r="96" spans="1:10">
      <c r="A96" s="286"/>
      <c r="B96" s="34"/>
      <c r="C96" s="27"/>
      <c r="D96" s="16"/>
      <c r="E96" s="27"/>
      <c r="F96" s="27"/>
      <c r="G96" s="316"/>
      <c r="H96" s="27"/>
      <c r="I96" s="16"/>
      <c r="J96" s="146"/>
    </row>
    <row r="97" spans="1:10">
      <c r="A97" s="286">
        <f>+A95+1</f>
        <v>29</v>
      </c>
      <c r="B97" s="26" t="s">
        <v>661</v>
      </c>
      <c r="C97" s="154" t="s">
        <v>514</v>
      </c>
      <c r="D97" s="1120">
        <f>+'4- Rate Base'!F23</f>
        <v>0</v>
      </c>
      <c r="E97" s="27"/>
      <c r="F97" s="27" t="s">
        <v>15</v>
      </c>
      <c r="G97" s="164">
        <f>$I$189</f>
        <v>1</v>
      </c>
      <c r="H97" s="42"/>
      <c r="I97" s="1121">
        <f>+G97*D97</f>
        <v>0</v>
      </c>
      <c r="J97" s="27"/>
    </row>
    <row r="98" spans="1:10">
      <c r="A98" s="286"/>
      <c r="B98" s="29"/>
      <c r="C98" s="27"/>
      <c r="D98" s="16"/>
      <c r="E98" s="27"/>
      <c r="F98" s="27"/>
      <c r="G98" s="316"/>
      <c r="H98" s="42"/>
      <c r="I98" s="16"/>
      <c r="J98" s="27"/>
    </row>
    <row r="99" spans="1:10">
      <c r="A99" s="286">
        <f>+A97+1</f>
        <v>30</v>
      </c>
      <c r="B99" s="29" t="s">
        <v>535</v>
      </c>
      <c r="C99" s="27" t="s">
        <v>534</v>
      </c>
      <c r="D99" s="16"/>
      <c r="E99" s="27"/>
      <c r="F99" s="27"/>
      <c r="G99" s="316"/>
      <c r="H99" s="42"/>
      <c r="I99" s="16"/>
      <c r="J99" s="27"/>
    </row>
    <row r="100" spans="1:10">
      <c r="A100" s="286">
        <f t="shared" si="0"/>
        <v>31</v>
      </c>
      <c r="B100" s="29" t="s">
        <v>622</v>
      </c>
      <c r="C100" s="34" t="str">
        <f>"1/8*(Page 3, Line "&amp;A134&amp;" minus Page 3, Line "&amp;A131&amp;")"</f>
        <v>1/8*(Page 3, Line 17 minus Page 3, Line 14)</v>
      </c>
      <c r="D100" s="155">
        <f>(D134-D131)/8</f>
        <v>60700.963403311944</v>
      </c>
      <c r="E100" s="35"/>
      <c r="F100" s="35"/>
      <c r="G100" s="316"/>
      <c r="H100" s="156"/>
      <c r="I100" s="155">
        <f>(I134-I131)/8</f>
        <v>60700.963403311944</v>
      </c>
      <c r="J100" s="146"/>
    </row>
    <row r="101" spans="1:10">
      <c r="A101" s="286">
        <f t="shared" si="0"/>
        <v>32</v>
      </c>
      <c r="B101" s="29" t="s">
        <v>162</v>
      </c>
      <c r="C101" s="154" t="s">
        <v>516</v>
      </c>
      <c r="D101" s="1120">
        <f>+'4- Rate Base'!G23</f>
        <v>0</v>
      </c>
      <c r="E101" s="27"/>
      <c r="F101" s="27" t="s">
        <v>15</v>
      </c>
      <c r="G101" s="164">
        <f>$I$189</f>
        <v>1</v>
      </c>
      <c r="H101" s="42"/>
      <c r="I101" s="1121">
        <f>+G101*D101</f>
        <v>0</v>
      </c>
      <c r="J101" s="146"/>
    </row>
    <row r="102" spans="1:10" ht="13.5" thickBot="1">
      <c r="A102" s="104">
        <f t="shared" si="0"/>
        <v>33</v>
      </c>
      <c r="B102" s="29" t="s">
        <v>90</v>
      </c>
      <c r="C102" s="42" t="s">
        <v>257</v>
      </c>
      <c r="D102" s="167">
        <f>+'4- Rate Base'!H23</f>
        <v>37418.625384615378</v>
      </c>
      <c r="E102" s="27"/>
      <c r="F102" s="27" t="s">
        <v>28</v>
      </c>
      <c r="G102" s="316">
        <f>+$G$69</f>
        <v>1</v>
      </c>
      <c r="H102" s="42"/>
      <c r="I102" s="144">
        <f>+G102*D102</f>
        <v>37418.625384615378</v>
      </c>
      <c r="J102" s="146"/>
    </row>
    <row r="103" spans="1:10">
      <c r="A103" s="104">
        <f t="shared" si="0"/>
        <v>34</v>
      </c>
      <c r="B103" s="29" t="s">
        <v>217</v>
      </c>
      <c r="C103" s="27" t="str">
        <f>"( Sum of line "&amp;A100&amp;" - line "&amp;A102&amp;")"</f>
        <v>( Sum of line 31 - line 33)</v>
      </c>
      <c r="D103" s="16">
        <f>SUM(D100:D102)</f>
        <v>98119.588787927321</v>
      </c>
      <c r="E103" s="109"/>
      <c r="F103" s="109"/>
      <c r="G103" s="153"/>
      <c r="H103" s="157"/>
      <c r="I103" s="16">
        <f>I100+I101+I102</f>
        <v>98119.588787927321</v>
      </c>
      <c r="J103" s="109"/>
    </row>
    <row r="104" spans="1:10" ht="13.5" thickBot="1">
      <c r="A104" s="104"/>
      <c r="B104" s="34"/>
      <c r="C104" s="27"/>
      <c r="D104" s="144"/>
      <c r="E104" s="27"/>
      <c r="F104" s="27"/>
      <c r="G104" s="27"/>
      <c r="H104" s="27"/>
      <c r="I104" s="144"/>
      <c r="J104" s="27"/>
    </row>
    <row r="105" spans="1:10" ht="13.5" thickBot="1">
      <c r="A105" s="104">
        <f>+A103+1</f>
        <v>35</v>
      </c>
      <c r="B105" s="29" t="s">
        <v>218</v>
      </c>
      <c r="C105" s="27" t="str">
        <f>"( Sum of line "&amp;A83&amp;", "&amp;A95&amp;", "&amp;A97&amp;", "&amp;A103&amp;")"</f>
        <v>( Sum of line 17, 28, 29, 34)</v>
      </c>
      <c r="D105" s="158">
        <f>+D103+D97+D95+D83</f>
        <v>102402561.5580187</v>
      </c>
      <c r="E105" s="42"/>
      <c r="F105" s="42"/>
      <c r="G105" s="159"/>
      <c r="H105" s="42"/>
      <c r="I105" s="158">
        <f>+I103+I97+I95+I83</f>
        <v>102401348.7580187</v>
      </c>
      <c r="J105" s="146"/>
    </row>
    <row r="106" spans="1:10" ht="13.5" thickTop="1">
      <c r="A106" s="104"/>
      <c r="B106" s="29"/>
      <c r="C106" s="27"/>
      <c r="D106" s="160"/>
      <c r="E106" s="42"/>
      <c r="F106" s="42"/>
      <c r="G106" s="159"/>
      <c r="H106" s="42"/>
      <c r="I106" s="160"/>
      <c r="J106" s="146"/>
    </row>
    <row r="107" spans="1:10">
      <c r="A107" s="104"/>
      <c r="B107" s="29"/>
      <c r="C107" s="27"/>
      <c r="D107" s="160"/>
      <c r="E107" s="42"/>
      <c r="F107" s="42"/>
      <c r="G107" s="159"/>
      <c r="H107" s="42"/>
      <c r="I107" s="160"/>
      <c r="J107" s="146"/>
    </row>
    <row r="108" spans="1:10">
      <c r="A108" s="104"/>
      <c r="B108" s="29"/>
      <c r="C108" s="27"/>
      <c r="D108" s="27"/>
      <c r="E108" s="27"/>
      <c r="F108" s="27"/>
      <c r="G108" s="27"/>
      <c r="H108" s="27"/>
      <c r="I108" s="27"/>
      <c r="J108" s="161" t="s">
        <v>623</v>
      </c>
    </row>
    <row r="109" spans="1:10">
      <c r="A109" s="104"/>
      <c r="B109" s="29"/>
      <c r="C109" s="27"/>
      <c r="D109" s="27"/>
      <c r="E109" s="27"/>
      <c r="F109" s="27"/>
      <c r="G109" s="27"/>
      <c r="H109" s="27"/>
      <c r="I109" s="27"/>
      <c r="J109" s="161"/>
    </row>
    <row r="110" spans="1:10">
      <c r="A110" s="104"/>
      <c r="B110" s="29" t="s">
        <v>1</v>
      </c>
      <c r="C110" s="27"/>
      <c r="D110" s="104" t="str">
        <f>+D3</f>
        <v>Rate Formula Template - Attachment H-29A</v>
      </c>
      <c r="E110" s="27"/>
      <c r="F110" s="27"/>
      <c r="G110" s="27"/>
      <c r="H110" s="27"/>
      <c r="I110" s="102"/>
      <c r="J110" s="161" t="str">
        <f>J3</f>
        <v>For  the 12 months ended 12/31/2024</v>
      </c>
    </row>
    <row r="111" spans="1:10">
      <c r="A111" s="104"/>
      <c r="B111" s="29"/>
      <c r="C111" s="27"/>
      <c r="D111" s="30" t="s">
        <v>97</v>
      </c>
      <c r="E111" s="27"/>
      <c r="F111" s="27"/>
      <c r="G111" s="27"/>
      <c r="H111" s="27"/>
      <c r="I111" s="27"/>
      <c r="J111" s="27"/>
    </row>
    <row r="112" spans="1:10">
      <c r="A112" s="104"/>
      <c r="B112" s="34"/>
      <c r="C112" s="27"/>
      <c r="D112" s="30" t="str">
        <f>+D58</f>
        <v>Transource Pennsylvania, LLC</v>
      </c>
      <c r="E112" s="27"/>
      <c r="F112" s="27"/>
      <c r="G112" s="27"/>
      <c r="H112" s="27"/>
      <c r="I112" s="27"/>
      <c r="J112" s="27"/>
    </row>
    <row r="113" spans="1:10">
      <c r="A113" s="1241"/>
      <c r="B113" s="1241"/>
      <c r="C113" s="1241"/>
      <c r="D113" s="1241"/>
      <c r="E113" s="1241"/>
      <c r="F113" s="1241"/>
      <c r="G113" s="1241"/>
      <c r="H113" s="1241"/>
      <c r="I113" s="1241"/>
      <c r="J113" s="1241"/>
    </row>
    <row r="114" spans="1:10">
      <c r="A114" s="104"/>
      <c r="B114" s="113" t="s">
        <v>3</v>
      </c>
      <c r="C114" s="113" t="s">
        <v>4</v>
      </c>
      <c r="D114" s="113" t="s">
        <v>5</v>
      </c>
      <c r="E114" s="27" t="s">
        <v>2</v>
      </c>
      <c r="F114" s="27"/>
      <c r="G114" s="112" t="s">
        <v>6</v>
      </c>
      <c r="H114" s="27"/>
      <c r="I114" s="112" t="s">
        <v>7</v>
      </c>
      <c r="J114" s="27"/>
    </row>
    <row r="115" spans="1:10">
      <c r="A115" s="104" t="s">
        <v>8</v>
      </c>
      <c r="B115" s="29"/>
      <c r="C115" s="139"/>
      <c r="D115" s="27"/>
      <c r="E115" s="27"/>
      <c r="F115" s="27"/>
      <c r="G115" s="104"/>
      <c r="H115" s="27"/>
      <c r="I115" s="140" t="s">
        <v>16</v>
      </c>
      <c r="J115" s="140"/>
    </row>
    <row r="116" spans="1:10" ht="13.5" thickBot="1">
      <c r="A116" s="31" t="s">
        <v>10</v>
      </c>
      <c r="B116" s="29"/>
      <c r="C116" s="141" t="s">
        <v>199</v>
      </c>
      <c r="D116" s="140" t="s">
        <v>18</v>
      </c>
      <c r="E116" s="142"/>
      <c r="F116" s="140" t="s">
        <v>19</v>
      </c>
      <c r="G116" s="34"/>
      <c r="H116" s="142"/>
      <c r="I116" s="104" t="s">
        <v>20</v>
      </c>
      <c r="J116" s="140"/>
    </row>
    <row r="117" spans="1:10">
      <c r="A117" s="104"/>
      <c r="B117" s="29" t="s">
        <v>0</v>
      </c>
      <c r="C117" s="27"/>
      <c r="D117" s="27"/>
      <c r="E117" s="27"/>
      <c r="F117" s="27"/>
      <c r="G117" s="27"/>
      <c r="H117" s="27"/>
      <c r="I117" s="27"/>
      <c r="J117" s="27"/>
    </row>
    <row r="118" spans="1:10">
      <c r="A118" s="104">
        <v>1</v>
      </c>
      <c r="B118" s="29" t="s">
        <v>29</v>
      </c>
      <c r="C118" s="27" t="s">
        <v>438</v>
      </c>
      <c r="D118" s="531">
        <v>-409374.44</v>
      </c>
      <c r="E118" s="1202"/>
      <c r="F118" s="27" t="s">
        <v>15</v>
      </c>
      <c r="G118" s="164">
        <f>$I$189</f>
        <v>1</v>
      </c>
      <c r="H118" s="42"/>
      <c r="I118" s="1121">
        <f t="shared" ref="I118:I129" si="2">+G118*D118</f>
        <v>-409374.44</v>
      </c>
      <c r="J118" s="27"/>
    </row>
    <row r="119" spans="1:10">
      <c r="A119" s="123">
        <f>+A118+1</f>
        <v>2</v>
      </c>
      <c r="B119" s="162" t="s">
        <v>94</v>
      </c>
      <c r="C119" s="27" t="s">
        <v>440</v>
      </c>
      <c r="D119" s="1127">
        <v>53403.380000000005</v>
      </c>
      <c r="E119" s="1203"/>
      <c r="F119" s="152" t="str">
        <f>+F118</f>
        <v>TP</v>
      </c>
      <c r="G119" s="164">
        <f>$I$189</f>
        <v>1</v>
      </c>
      <c r="H119" s="152"/>
      <c r="I119" s="1120">
        <f>+G119*D119</f>
        <v>53403.380000000005</v>
      </c>
      <c r="J119" s="27"/>
    </row>
    <row r="120" spans="1:10">
      <c r="A120" s="123">
        <f t="shared" ref="A120:A166" si="3">+A119+1</f>
        <v>3</v>
      </c>
      <c r="B120" s="38" t="s">
        <v>30</v>
      </c>
      <c r="C120" s="27" t="s">
        <v>441</v>
      </c>
      <c r="D120" s="1127">
        <v>0</v>
      </c>
      <c r="E120" s="1202"/>
      <c r="F120" s="27" t="str">
        <f>+F119</f>
        <v>TP</v>
      </c>
      <c r="G120" s="164">
        <f>$I$189</f>
        <v>1</v>
      </c>
      <c r="H120" s="42"/>
      <c r="I120" s="1121">
        <f t="shared" si="2"/>
        <v>0</v>
      </c>
      <c r="J120" s="27"/>
    </row>
    <row r="121" spans="1:10">
      <c r="A121" s="313">
        <f t="shared" si="3"/>
        <v>4</v>
      </c>
      <c r="B121" s="29" t="s">
        <v>31</v>
      </c>
      <c r="C121" s="27" t="s">
        <v>442</v>
      </c>
      <c r="D121" s="1127">
        <v>905089.12</v>
      </c>
      <c r="E121" s="1202"/>
      <c r="F121" s="27" t="s">
        <v>23</v>
      </c>
      <c r="G121" s="164">
        <f t="shared" ref="G121:G126" si="4">$I$197</f>
        <v>1</v>
      </c>
      <c r="H121" s="42"/>
      <c r="I121" s="1121">
        <f t="shared" si="2"/>
        <v>905089.12</v>
      </c>
      <c r="J121" s="27" t="s">
        <v>2</v>
      </c>
    </row>
    <row r="122" spans="1:10">
      <c r="A122" s="313">
        <f t="shared" si="3"/>
        <v>5</v>
      </c>
      <c r="B122" s="29" t="s">
        <v>106</v>
      </c>
      <c r="C122" s="475" t="s">
        <v>713</v>
      </c>
      <c r="D122" s="1127">
        <v>0</v>
      </c>
      <c r="E122" s="1202"/>
      <c r="F122" s="27" t="s">
        <v>23</v>
      </c>
      <c r="G122" s="164">
        <f t="shared" si="4"/>
        <v>1</v>
      </c>
      <c r="H122" s="42"/>
      <c r="I122" s="1121">
        <f t="shared" si="2"/>
        <v>0</v>
      </c>
    </row>
    <row r="123" spans="1:10">
      <c r="A123" s="313">
        <f t="shared" si="3"/>
        <v>6</v>
      </c>
      <c r="B123" s="38" t="s">
        <v>558</v>
      </c>
      <c r="C123" s="475" t="s">
        <v>517</v>
      </c>
      <c r="D123" s="1127">
        <v>0</v>
      </c>
      <c r="E123" s="1202"/>
      <c r="F123" s="27" t="s">
        <v>23</v>
      </c>
      <c r="G123" s="164">
        <f t="shared" si="4"/>
        <v>1</v>
      </c>
      <c r="H123" s="42"/>
      <c r="I123" s="1121">
        <f t="shared" si="2"/>
        <v>0</v>
      </c>
      <c r="J123" s="27"/>
    </row>
    <row r="124" spans="1:10" s="308" customFormat="1">
      <c r="A124" s="313">
        <f t="shared" si="3"/>
        <v>7</v>
      </c>
      <c r="B124" s="38" t="s">
        <v>560</v>
      </c>
      <c r="C124" s="475" t="s">
        <v>517</v>
      </c>
      <c r="D124" s="1127">
        <v>12467.12</v>
      </c>
      <c r="E124" s="1202"/>
      <c r="F124" s="27" t="s">
        <v>23</v>
      </c>
      <c r="G124" s="164">
        <f t="shared" si="4"/>
        <v>1</v>
      </c>
      <c r="H124" s="42"/>
      <c r="I124" s="1121">
        <f>+G124*D124</f>
        <v>12467.12</v>
      </c>
      <c r="J124" s="27"/>
    </row>
    <row r="125" spans="1:10" s="308" customFormat="1">
      <c r="A125" s="313">
        <f t="shared" si="3"/>
        <v>8</v>
      </c>
      <c r="B125" s="38" t="s">
        <v>559</v>
      </c>
      <c r="C125" s="475" t="s">
        <v>517</v>
      </c>
      <c r="D125" s="1127">
        <v>0</v>
      </c>
      <c r="E125" s="1202"/>
      <c r="F125" s="27" t="s">
        <v>23</v>
      </c>
      <c r="G125" s="164">
        <f t="shared" si="4"/>
        <v>1</v>
      </c>
      <c r="H125" s="42"/>
      <c r="I125" s="1121">
        <f>+G125*D125</f>
        <v>0</v>
      </c>
      <c r="J125" s="27"/>
    </row>
    <row r="126" spans="1:10" s="13" customFormat="1">
      <c r="A126" s="313">
        <f t="shared" si="3"/>
        <v>9</v>
      </c>
      <c r="B126" s="38" t="s">
        <v>439</v>
      </c>
      <c r="C126" s="475" t="s">
        <v>524</v>
      </c>
      <c r="D126" s="1227">
        <f>+'7 - PBOP'!F18</f>
        <v>0</v>
      </c>
      <c r="E126" s="1204"/>
      <c r="F126" s="27" t="s">
        <v>23</v>
      </c>
      <c r="G126" s="164">
        <f t="shared" si="4"/>
        <v>1</v>
      </c>
      <c r="H126" s="42"/>
      <c r="I126" s="1121">
        <f>+G126*D126</f>
        <v>0</v>
      </c>
      <c r="J126" s="99"/>
    </row>
    <row r="127" spans="1:10">
      <c r="A127" s="313">
        <f t="shared" si="3"/>
        <v>10</v>
      </c>
      <c r="B127" s="38" t="s">
        <v>209</v>
      </c>
      <c r="C127" s="475" t="s">
        <v>518</v>
      </c>
      <c r="D127" s="1127">
        <v>12466.58</v>
      </c>
      <c r="E127" s="475"/>
      <c r="F127" s="163" t="s">
        <v>15</v>
      </c>
      <c r="G127" s="164">
        <f>$I$189</f>
        <v>1</v>
      </c>
      <c r="H127" s="42"/>
      <c r="I127" s="1121">
        <f t="shared" si="2"/>
        <v>12466.58</v>
      </c>
      <c r="J127" s="27"/>
    </row>
    <row r="128" spans="1:10" s="13" customFormat="1">
      <c r="A128" s="313">
        <f t="shared" si="3"/>
        <v>11</v>
      </c>
      <c r="B128" s="38" t="s">
        <v>206</v>
      </c>
      <c r="C128" s="475" t="s">
        <v>739</v>
      </c>
      <c r="D128" s="1227">
        <f>+'7 - PBOP'!F15</f>
        <v>-10106.432773504026</v>
      </c>
      <c r="E128" s="1204"/>
      <c r="F128" s="27" t="s">
        <v>23</v>
      </c>
      <c r="G128" s="164">
        <f>$I$197</f>
        <v>1</v>
      </c>
      <c r="H128" s="42"/>
      <c r="I128" s="1121">
        <f>+G128*D128</f>
        <v>-10106.432773504026</v>
      </c>
      <c r="J128" s="99"/>
    </row>
    <row r="129" spans="1:10" s="479" customFormat="1">
      <c r="A129" s="480">
        <f t="shared" si="3"/>
        <v>12</v>
      </c>
      <c r="B129" s="476" t="s">
        <v>564</v>
      </c>
      <c r="C129" s="475" t="s">
        <v>574</v>
      </c>
      <c r="D129" s="1123">
        <v>0</v>
      </c>
      <c r="E129" s="475"/>
      <c r="F129" s="475" t="str">
        <f>+F131</f>
        <v>DA</v>
      </c>
      <c r="G129" s="478">
        <v>1</v>
      </c>
      <c r="H129" s="477"/>
      <c r="I129" s="1123">
        <f t="shared" si="2"/>
        <v>0</v>
      </c>
      <c r="J129" s="475"/>
    </row>
    <row r="130" spans="1:10">
      <c r="A130" s="313">
        <f t="shared" si="3"/>
        <v>13</v>
      </c>
      <c r="B130" s="162" t="s">
        <v>95</v>
      </c>
      <c r="C130" s="152"/>
      <c r="D130" s="1123"/>
      <c r="E130" s="152"/>
      <c r="F130" s="152"/>
      <c r="G130" s="165"/>
      <c r="H130" s="152"/>
      <c r="I130" s="1123"/>
      <c r="J130" s="27"/>
    </row>
    <row r="131" spans="1:10">
      <c r="A131" s="313">
        <f t="shared" si="3"/>
        <v>14</v>
      </c>
      <c r="B131" s="162" t="s">
        <v>526</v>
      </c>
      <c r="C131" s="152" t="s">
        <v>525</v>
      </c>
      <c r="D131" s="147">
        <v>4.9112713895738125E-10</v>
      </c>
      <c r="E131" s="150"/>
      <c r="F131" s="150" t="s">
        <v>77</v>
      </c>
      <c r="G131" s="166">
        <v>1</v>
      </c>
      <c r="H131" s="150"/>
      <c r="I131" s="1123">
        <f>+G131*D131</f>
        <v>4.9112713895738125E-10</v>
      </c>
      <c r="J131" s="27"/>
    </row>
    <row r="132" spans="1:10">
      <c r="A132" s="313">
        <f t="shared" si="3"/>
        <v>15</v>
      </c>
      <c r="B132" s="473" t="s">
        <v>562</v>
      </c>
      <c r="C132" s="475" t="s">
        <v>711</v>
      </c>
      <c r="D132" s="531">
        <v>53403.37999999951</v>
      </c>
      <c r="E132" s="150"/>
      <c r="F132" s="150" t="s">
        <v>15</v>
      </c>
      <c r="G132" s="164">
        <f>$I$189</f>
        <v>1</v>
      </c>
      <c r="H132" s="150"/>
      <c r="I132" s="1123">
        <f>+G132*D132</f>
        <v>53403.37999999951</v>
      </c>
      <c r="J132" s="27"/>
    </row>
    <row r="133" spans="1:10" ht="13.5" thickBot="1">
      <c r="A133" s="313">
        <f t="shared" si="3"/>
        <v>16</v>
      </c>
      <c r="B133" s="162" t="s">
        <v>96</v>
      </c>
      <c r="C133" s="152" t="str">
        <f>"( Sum of line "&amp;A131&amp;" - line "&amp;A132&amp;")"" Ties to 321.97b"</f>
        <v>( Sum of line 14 - line 15)" Ties to 321.97b</v>
      </c>
      <c r="D133" s="167">
        <f>SUM(D131:D132)</f>
        <v>53403.380000000005</v>
      </c>
      <c r="E133" s="150"/>
      <c r="F133" s="150"/>
      <c r="G133" s="166"/>
      <c r="H133" s="150"/>
      <c r="I133" s="1124">
        <f>SUM(I131:I132)</f>
        <v>53403.380000000005</v>
      </c>
      <c r="J133" s="27"/>
    </row>
    <row r="134" spans="1:10">
      <c r="A134" s="313">
        <f t="shared" si="3"/>
        <v>17</v>
      </c>
      <c r="B134" s="168" t="s">
        <v>219</v>
      </c>
      <c r="C134" s="791" t="s">
        <v>561</v>
      </c>
      <c r="D134" s="16">
        <f>+D118-D119-D120+D121-D122-D123-D124-D125-D126+D127+D128+D129+D133</f>
        <v>485607.70722649602</v>
      </c>
      <c r="E134" s="155"/>
      <c r="F134" s="16"/>
      <c r="G134" s="16"/>
      <c r="H134" s="16"/>
      <c r="I134" s="1121">
        <f>+I118-I119-I120+I121-I122-I123-I124-I125-I126+I127+I128+I129+I133</f>
        <v>485607.70722649602</v>
      </c>
      <c r="J134" s="27"/>
    </row>
    <row r="135" spans="1:10">
      <c r="A135" s="313"/>
      <c r="B135" s="34"/>
      <c r="C135" s="475"/>
      <c r="D135" s="16"/>
      <c r="E135" s="155"/>
      <c r="F135" s="16"/>
      <c r="G135" s="16"/>
      <c r="H135" s="16"/>
      <c r="I135" s="1121"/>
      <c r="J135" s="27"/>
    </row>
    <row r="136" spans="1:10">
      <c r="A136" s="313">
        <f>+A134+1</f>
        <v>18</v>
      </c>
      <c r="B136" s="29" t="s">
        <v>533</v>
      </c>
      <c r="C136" s="475" t="s">
        <v>374</v>
      </c>
      <c r="D136" s="16"/>
      <c r="E136" s="155"/>
      <c r="F136" s="16"/>
      <c r="G136" s="16"/>
      <c r="H136" s="16"/>
      <c r="I136" s="1121"/>
      <c r="J136" s="27"/>
    </row>
    <row r="137" spans="1:10">
      <c r="A137" s="313">
        <f t="shared" si="3"/>
        <v>19</v>
      </c>
      <c r="B137" s="29" t="s">
        <v>29</v>
      </c>
      <c r="C137" s="792" t="s">
        <v>443</v>
      </c>
      <c r="D137" s="1127">
        <v>0</v>
      </c>
      <c r="E137" s="1120"/>
      <c r="F137" s="16" t="s">
        <v>15</v>
      </c>
      <c r="G137" s="164">
        <f>$I$189</f>
        <v>1</v>
      </c>
      <c r="H137" s="16"/>
      <c r="I137" s="1121">
        <f>+G137*D137</f>
        <v>0</v>
      </c>
      <c r="J137" s="146"/>
    </row>
    <row r="138" spans="1:10">
      <c r="A138" s="313">
        <f t="shared" si="3"/>
        <v>20</v>
      </c>
      <c r="B138" s="169" t="s">
        <v>88</v>
      </c>
      <c r="C138" s="792" t="s">
        <v>444</v>
      </c>
      <c r="D138" s="147">
        <v>146477.20000000001</v>
      </c>
      <c r="E138" s="155"/>
      <c r="F138" s="16" t="s">
        <v>23</v>
      </c>
      <c r="G138" s="164">
        <f>$I$197</f>
        <v>1</v>
      </c>
      <c r="H138" s="16"/>
      <c r="I138" s="1121">
        <f>+G138*D138</f>
        <v>146477.20000000001</v>
      </c>
      <c r="J138" s="146"/>
    </row>
    <row r="139" spans="1:10" ht="13.5" thickBot="1">
      <c r="A139" s="313">
        <f t="shared" si="3"/>
        <v>21</v>
      </c>
      <c r="B139" s="162" t="s">
        <v>91</v>
      </c>
      <c r="C139" s="475" t="s">
        <v>527</v>
      </c>
      <c r="D139" s="1128">
        <v>0</v>
      </c>
      <c r="E139" s="155"/>
      <c r="F139" s="16" t="s">
        <v>77</v>
      </c>
      <c r="G139" s="164">
        <v>1</v>
      </c>
      <c r="H139" s="16"/>
      <c r="I139" s="1126">
        <f>+G139*D139</f>
        <v>0</v>
      </c>
      <c r="J139" s="146"/>
    </row>
    <row r="140" spans="1:10">
      <c r="A140" s="313">
        <f t="shared" si="3"/>
        <v>22</v>
      </c>
      <c r="B140" s="29" t="s">
        <v>210</v>
      </c>
      <c r="C140" s="475" t="str">
        <f>"( Sum of line "&amp;A137&amp;" - line "&amp;A139&amp;")"</f>
        <v>( Sum of line 19 - line 21)</v>
      </c>
      <c r="D140" s="390">
        <f>SUM(D137:D139)</f>
        <v>146477.20000000001</v>
      </c>
      <c r="E140" s="16"/>
      <c r="F140" s="16"/>
      <c r="G140" s="164"/>
      <c r="H140" s="16"/>
      <c r="I140" s="1121">
        <f>SUM(I137:I139)</f>
        <v>146477.20000000001</v>
      </c>
      <c r="J140" s="27"/>
    </row>
    <row r="141" spans="1:10">
      <c r="A141" s="313"/>
      <c r="B141" s="29"/>
      <c r="C141" s="475"/>
      <c r="D141" s="16"/>
      <c r="E141" s="16"/>
      <c r="F141" s="16"/>
      <c r="G141" s="164"/>
      <c r="H141" s="16"/>
      <c r="I141" s="1121"/>
      <c r="J141" s="27"/>
    </row>
    <row r="142" spans="1:10">
      <c r="A142" s="313">
        <f>+A140+1</f>
        <v>23</v>
      </c>
      <c r="B142" s="29" t="s">
        <v>529</v>
      </c>
      <c r="C142" s="32"/>
      <c r="D142" s="16"/>
      <c r="E142" s="16"/>
      <c r="F142" s="16"/>
      <c r="G142" s="164"/>
      <c r="H142" s="16"/>
      <c r="I142" s="1121"/>
      <c r="J142" s="27"/>
    </row>
    <row r="143" spans="1:10">
      <c r="A143" s="313">
        <f t="shared" si="3"/>
        <v>24</v>
      </c>
      <c r="B143" s="29" t="s">
        <v>32</v>
      </c>
      <c r="C143" s="32"/>
      <c r="D143" s="16"/>
      <c r="E143" s="16"/>
      <c r="F143" s="16"/>
      <c r="G143" s="164"/>
      <c r="H143" s="16"/>
      <c r="I143" s="1121"/>
      <c r="J143" s="146"/>
    </row>
    <row r="144" spans="1:10">
      <c r="A144" s="313">
        <f t="shared" si="3"/>
        <v>25</v>
      </c>
      <c r="B144" s="29" t="s">
        <v>33</v>
      </c>
      <c r="C144" s="792" t="s">
        <v>712</v>
      </c>
      <c r="D144" s="1127">
        <v>0</v>
      </c>
      <c r="E144" s="155"/>
      <c r="F144" s="16" t="s">
        <v>23</v>
      </c>
      <c r="G144" s="164">
        <f>$I$197</f>
        <v>1</v>
      </c>
      <c r="H144" s="16"/>
      <c r="I144" s="1121">
        <f>+G144*D144</f>
        <v>0</v>
      </c>
    </row>
    <row r="145" spans="1:10">
      <c r="A145" s="313">
        <f t="shared" si="3"/>
        <v>26</v>
      </c>
      <c r="B145" s="29" t="s">
        <v>34</v>
      </c>
      <c r="C145" s="792" t="s">
        <v>712</v>
      </c>
      <c r="D145" s="1127">
        <v>0</v>
      </c>
      <c r="E145" s="155"/>
      <c r="F145" s="16" t="s">
        <v>23</v>
      </c>
      <c r="G145" s="164">
        <f>$I$197</f>
        <v>1</v>
      </c>
      <c r="H145" s="16"/>
      <c r="I145" s="1121">
        <f>+G145*D145</f>
        <v>0</v>
      </c>
    </row>
    <row r="146" spans="1:10">
      <c r="A146" s="313">
        <f t="shared" si="3"/>
        <v>27</v>
      </c>
      <c r="B146" s="29" t="s">
        <v>35</v>
      </c>
      <c r="C146" s="792" t="s">
        <v>2</v>
      </c>
      <c r="D146" s="1120"/>
      <c r="E146" s="155"/>
      <c r="F146" s="16"/>
      <c r="G146" s="164"/>
      <c r="H146" s="16"/>
      <c r="I146" s="1121"/>
    </row>
    <row r="147" spans="1:10">
      <c r="A147" s="313">
        <f t="shared" si="3"/>
        <v>28</v>
      </c>
      <c r="B147" s="29" t="s">
        <v>36</v>
      </c>
      <c r="C147" s="792" t="s">
        <v>712</v>
      </c>
      <c r="D147" s="1127">
        <v>0</v>
      </c>
      <c r="E147" s="155"/>
      <c r="F147" s="16" t="s">
        <v>28</v>
      </c>
      <c r="G147" s="316">
        <f>+$G$69</f>
        <v>1</v>
      </c>
      <c r="H147" s="16"/>
      <c r="I147" s="1121">
        <f>+G147*D147</f>
        <v>0</v>
      </c>
    </row>
    <row r="148" spans="1:10">
      <c r="A148" s="313">
        <f t="shared" si="3"/>
        <v>29</v>
      </c>
      <c r="B148" s="29" t="s">
        <v>37</v>
      </c>
      <c r="C148" s="792" t="s">
        <v>712</v>
      </c>
      <c r="D148" s="1127">
        <v>0</v>
      </c>
      <c r="E148" s="155"/>
      <c r="F148" s="155" t="s">
        <v>21</v>
      </c>
      <c r="G148" s="183" t="s">
        <v>105</v>
      </c>
      <c r="H148" s="16"/>
      <c r="I148" s="1119">
        <v>0</v>
      </c>
    </row>
    <row r="149" spans="1:10">
      <c r="A149" s="313">
        <f t="shared" si="3"/>
        <v>30</v>
      </c>
      <c r="B149" s="29" t="s">
        <v>38</v>
      </c>
      <c r="C149" s="792" t="s">
        <v>712</v>
      </c>
      <c r="D149" s="1127">
        <v>0</v>
      </c>
      <c r="E149" s="155"/>
      <c r="F149" s="16" t="s">
        <v>28</v>
      </c>
      <c r="G149" s="316">
        <f>+$G$69</f>
        <v>1</v>
      </c>
      <c r="H149" s="16"/>
      <c r="I149" s="1121">
        <f>+G149*D149</f>
        <v>0</v>
      </c>
    </row>
    <row r="150" spans="1:10" ht="13.5" thickBot="1">
      <c r="A150" s="313">
        <f t="shared" si="3"/>
        <v>31</v>
      </c>
      <c r="B150" s="29" t="s">
        <v>39</v>
      </c>
      <c r="C150" s="792" t="s">
        <v>712</v>
      </c>
      <c r="D150" s="1127">
        <v>0</v>
      </c>
      <c r="E150" s="155"/>
      <c r="F150" s="16" t="s">
        <v>28</v>
      </c>
      <c r="G150" s="316">
        <f>+$G$69</f>
        <v>1</v>
      </c>
      <c r="H150" s="16"/>
      <c r="I150" s="1126">
        <f>+G150*D150</f>
        <v>0</v>
      </c>
    </row>
    <row r="151" spans="1:10" ht="13.5" thickTop="1">
      <c r="A151" s="313">
        <f t="shared" si="3"/>
        <v>32</v>
      </c>
      <c r="B151" s="29" t="s">
        <v>211</v>
      </c>
      <c r="C151" s="475" t="str">
        <f>"( Sum of line "&amp;A144&amp;" - line "&amp;A150&amp;")"</f>
        <v>( Sum of line 25 - line 31)</v>
      </c>
      <c r="D151" s="1129">
        <f>SUM(D144:D150)</f>
        <v>0</v>
      </c>
      <c r="E151" s="16"/>
      <c r="F151" s="16"/>
      <c r="G151" s="16"/>
      <c r="H151" s="16"/>
      <c r="I151" s="1121">
        <f>SUM(I144:I150)</f>
        <v>0</v>
      </c>
      <c r="J151" s="27"/>
    </row>
    <row r="152" spans="1:10">
      <c r="A152" s="313"/>
      <c r="B152" s="29"/>
      <c r="C152" s="475"/>
      <c r="D152" s="27"/>
      <c r="E152" s="27"/>
      <c r="F152" s="27"/>
      <c r="G152" s="121"/>
      <c r="H152" s="27"/>
      <c r="I152" s="27"/>
      <c r="J152" s="27"/>
    </row>
    <row r="153" spans="1:10">
      <c r="A153" s="313">
        <f>+A151+1</f>
        <v>33</v>
      </c>
      <c r="B153" s="29" t="s">
        <v>531</v>
      </c>
      <c r="C153" s="475" t="s">
        <v>532</v>
      </c>
      <c r="D153" s="27"/>
      <c r="E153" s="27"/>
      <c r="F153" s="34"/>
      <c r="G153" s="36"/>
      <c r="H153" s="27"/>
      <c r="I153" s="34"/>
      <c r="J153" s="34"/>
    </row>
    <row r="154" spans="1:10">
      <c r="A154" s="313">
        <f t="shared" si="3"/>
        <v>34</v>
      </c>
      <c r="B154" s="37" t="s">
        <v>234</v>
      </c>
      <c r="C154" s="475"/>
      <c r="D154" s="373">
        <f>IF(D237&gt;0,1-(((1-D238)*(1-D237))/(1-D238*D237*D239))*(1-D240),0)</f>
        <v>0.27707099999999996</v>
      </c>
      <c r="E154" s="27"/>
      <c r="F154" s="34"/>
      <c r="G154" s="36"/>
      <c r="H154" s="27"/>
      <c r="I154" s="34"/>
      <c r="J154" s="34"/>
    </row>
    <row r="155" spans="1:10">
      <c r="A155" s="313">
        <f t="shared" si="3"/>
        <v>35</v>
      </c>
      <c r="B155" s="34" t="s">
        <v>41</v>
      </c>
      <c r="C155" s="475" t="str">
        <f>"WCLTD = Page 4, Line "&amp;A203&amp;", R = Page 4, Line "&amp;A206</f>
        <v>WCLTD = Page 4, Line 15, R = Page 4, Line 18</v>
      </c>
      <c r="D155" s="373">
        <f>IF(I203&gt;0,(D154/(1-D154))*(1-I203/I206),0)</f>
        <v>0.23399495433532233</v>
      </c>
      <c r="E155" s="475"/>
      <c r="F155" s="34"/>
      <c r="G155" s="36"/>
      <c r="H155" s="27"/>
      <c r="I155" s="34"/>
      <c r="J155" s="34"/>
    </row>
    <row r="156" spans="1:10">
      <c r="A156" s="313">
        <f t="shared" si="3"/>
        <v>36</v>
      </c>
      <c r="B156" s="38" t="s">
        <v>232</v>
      </c>
      <c r="C156" s="475"/>
      <c r="D156" s="27"/>
      <c r="E156" s="27"/>
      <c r="F156" s="34"/>
      <c r="G156" s="36"/>
      <c r="H156" s="27"/>
      <c r="I156" s="34"/>
      <c r="J156" s="34"/>
    </row>
    <row r="157" spans="1:10">
      <c r="A157" s="313">
        <f t="shared" si="3"/>
        <v>37</v>
      </c>
      <c r="B157" s="38"/>
      <c r="C157" s="533"/>
      <c r="D157" s="27"/>
      <c r="E157" s="27"/>
      <c r="F157" s="34"/>
      <c r="G157" s="36"/>
      <c r="H157" s="27"/>
      <c r="I157" s="34"/>
      <c r="J157" s="34"/>
    </row>
    <row r="158" spans="1:10">
      <c r="A158" s="313">
        <f>+A157+1</f>
        <v>38</v>
      </c>
      <c r="B158" s="39" t="str">
        <f>"      1 / (1 - T)  =  (from line "&amp;A154&amp;")"</f>
        <v xml:space="preserve">      1 / (1 - T)  =  (from line 34)</v>
      </c>
      <c r="C158" s="475" t="s">
        <v>565</v>
      </c>
      <c r="D158" s="373">
        <f>IF(D154=0,0,1/(1-D154))</f>
        <v>1.3832617034314572</v>
      </c>
      <c r="E158" s="27"/>
      <c r="F158" s="34"/>
      <c r="G158" s="36"/>
      <c r="H158" s="27"/>
      <c r="I158" s="16"/>
      <c r="J158" s="34"/>
    </row>
    <row r="159" spans="1:10">
      <c r="A159" s="313">
        <f t="shared" si="3"/>
        <v>39</v>
      </c>
      <c r="B159" s="38" t="s">
        <v>228</v>
      </c>
      <c r="C159" s="475" t="s">
        <v>445</v>
      </c>
      <c r="D159" s="1127">
        <v>0</v>
      </c>
      <c r="E159" s="475"/>
      <c r="F159" s="34"/>
      <c r="G159" s="36"/>
      <c r="H159" s="27"/>
      <c r="I159" s="16"/>
      <c r="J159" s="34"/>
    </row>
    <row r="160" spans="1:10">
      <c r="A160" s="313">
        <f t="shared" si="3"/>
        <v>40</v>
      </c>
      <c r="B160" s="38" t="s">
        <v>1014</v>
      </c>
      <c r="C160" s="475" t="str">
        <f>"Attachment 4d, Line "&amp;'4d - ADIT Amortization'!A26&amp;" &amp; line "&amp;'4d - ADIT Amortization'!A68&amp;", Col (h)"</f>
        <v>Attachment 4d, Line 14 &amp; line 46, Col (h)</v>
      </c>
      <c r="D160" s="531">
        <f>'4d - ADIT Amortization'!I26+'4d - ADIT Amortization'!I68</f>
        <v>0</v>
      </c>
      <c r="E160" s="475"/>
      <c r="F160" s="34"/>
      <c r="G160" s="40"/>
      <c r="H160" s="27"/>
      <c r="I160" s="16"/>
    </row>
    <row r="161" spans="1:10">
      <c r="A161" s="313">
        <f t="shared" si="3"/>
        <v>41</v>
      </c>
      <c r="B161" s="38" t="s">
        <v>264</v>
      </c>
      <c r="C161" s="475" t="s">
        <v>817</v>
      </c>
      <c r="D161" s="1127">
        <v>0</v>
      </c>
      <c r="E161" s="475"/>
      <c r="F161" s="34"/>
      <c r="G161" s="36"/>
      <c r="H161" s="27"/>
      <c r="I161" s="16"/>
      <c r="J161" s="34"/>
    </row>
    <row r="162" spans="1:10">
      <c r="A162" s="313">
        <f t="shared" si="3"/>
        <v>42</v>
      </c>
      <c r="B162" s="39" t="s">
        <v>229</v>
      </c>
      <c r="C162" s="41" t="str">
        <f>"(Line "&amp;A155&amp;" times Line "&amp;A169&amp;")"</f>
        <v>(Line 35 times Line 48)</v>
      </c>
      <c r="D162" s="255">
        <f>+D155*D169</f>
        <v>2030988.2045221608</v>
      </c>
      <c r="E162" s="42"/>
      <c r="F162" s="42" t="s">
        <v>21</v>
      </c>
      <c r="G162" s="43"/>
      <c r="H162" s="42"/>
      <c r="I162" s="255">
        <f>+D155*I169</f>
        <v>2030964.1506073272</v>
      </c>
      <c r="J162" s="120" t="s">
        <v>2</v>
      </c>
    </row>
    <row r="163" spans="1:10">
      <c r="A163" s="123">
        <f t="shared" si="3"/>
        <v>43</v>
      </c>
      <c r="B163" s="32" t="s">
        <v>230</v>
      </c>
      <c r="C163" s="41" t="str">
        <f>"(Line "&amp;A158&amp;" times Line "&amp;A159&amp;")"</f>
        <v>(Line 38 times Line 39)</v>
      </c>
      <c r="D163" s="1130">
        <f>+D$158*D159</f>
        <v>0</v>
      </c>
      <c r="E163" s="42"/>
      <c r="F163" s="44" t="s">
        <v>27</v>
      </c>
      <c r="G163" s="148">
        <f>+$G$83</f>
        <v>1</v>
      </c>
      <c r="H163" s="42"/>
      <c r="I163" s="1130">
        <f>+G163*D163</f>
        <v>0</v>
      </c>
      <c r="J163" s="120"/>
    </row>
    <row r="164" spans="1:10">
      <c r="A164" s="123">
        <f t="shared" si="3"/>
        <v>44</v>
      </c>
      <c r="B164" s="32" t="s">
        <v>1015</v>
      </c>
      <c r="C164" s="41" t="str">
        <f>"(Line "&amp;A158&amp;" times Line "&amp;A160&amp;")"</f>
        <v>(Line 38 times Line 40)</v>
      </c>
      <c r="D164" s="1130">
        <f>+D$158*D160</f>
        <v>0</v>
      </c>
      <c r="E164" s="42"/>
      <c r="F164" s="44" t="s">
        <v>27</v>
      </c>
      <c r="G164" s="148">
        <f>+$G$83</f>
        <v>1</v>
      </c>
      <c r="H164" s="42"/>
      <c r="I164" s="1130">
        <f>+G164*D164</f>
        <v>0</v>
      </c>
      <c r="J164" s="120"/>
    </row>
    <row r="165" spans="1:10" ht="13.5" thickBot="1">
      <c r="A165" s="123">
        <f t="shared" si="3"/>
        <v>45</v>
      </c>
      <c r="B165" s="32" t="s">
        <v>107</v>
      </c>
      <c r="C165" s="41" t="str">
        <f>"(Line "&amp;A158&amp;" times Line "&amp;A161&amp;")"</f>
        <v>(Line 38 times Line 41)</v>
      </c>
      <c r="D165" s="1131">
        <f>+D$158*D161</f>
        <v>0</v>
      </c>
      <c r="E165" s="42"/>
      <c r="F165" s="44" t="s">
        <v>27</v>
      </c>
      <c r="G165" s="148">
        <f>+$G$83</f>
        <v>1</v>
      </c>
      <c r="H165" s="42"/>
      <c r="I165" s="1131">
        <f>+G165*D165</f>
        <v>0</v>
      </c>
      <c r="J165" s="120"/>
    </row>
    <row r="166" spans="1:10">
      <c r="A166" s="123">
        <f t="shared" si="3"/>
        <v>46</v>
      </c>
      <c r="B166" s="45" t="s">
        <v>231</v>
      </c>
      <c r="C166" s="475" t="str">
        <f>"( Sum of line "&amp;A162&amp;" - line "&amp;A165&amp;")"</f>
        <v>( Sum of line 42 - line 45)</v>
      </c>
      <c r="D166" s="170">
        <f>SUM(D162:D165)</f>
        <v>2030988.2045221608</v>
      </c>
      <c r="E166" s="42"/>
      <c r="F166" s="42" t="s">
        <v>2</v>
      </c>
      <c r="G166" s="43" t="s">
        <v>2</v>
      </c>
      <c r="H166" s="42"/>
      <c r="I166" s="170">
        <f>SUM(I162:I165)</f>
        <v>2030964.1506073272</v>
      </c>
      <c r="J166" s="27"/>
    </row>
    <row r="167" spans="1:10">
      <c r="A167" s="123"/>
      <c r="B167" s="34"/>
      <c r="C167" s="171"/>
      <c r="D167" s="16"/>
      <c r="E167" s="27"/>
      <c r="F167" s="27"/>
      <c r="G167" s="121"/>
      <c r="H167" s="27"/>
      <c r="I167" s="16"/>
      <c r="J167" s="27"/>
    </row>
    <row r="168" spans="1:10">
      <c r="A168" s="123">
        <f>+A166+1</f>
        <v>47</v>
      </c>
      <c r="B168" s="29" t="s">
        <v>43</v>
      </c>
      <c r="J168" s="34"/>
    </row>
    <row r="169" spans="1:10">
      <c r="A169" s="123">
        <f>A168+1</f>
        <v>48</v>
      </c>
      <c r="B169" s="173" t="s">
        <v>269</v>
      </c>
      <c r="C169" s="37" t="str">
        <f>"(Page 2, line " &amp;A105&amp;" times Page 4, Line 18)"</f>
        <v>(Page 2, line 35 times Page 4, Line 18)</v>
      </c>
      <c r="D169" s="16">
        <f>+$I206*D105</f>
        <v>8679623.9273248985</v>
      </c>
      <c r="E169" s="42"/>
      <c r="F169" s="42" t="s">
        <v>21</v>
      </c>
      <c r="G169" s="172"/>
      <c r="H169" s="42"/>
      <c r="I169" s="390">
        <f>+$I206*I105</f>
        <v>8679521.1306004915</v>
      </c>
      <c r="J169" s="146"/>
    </row>
    <row r="170" spans="1:10">
      <c r="A170" s="123"/>
      <c r="B170" s="29"/>
      <c r="C170" s="34"/>
      <c r="D170" s="40"/>
      <c r="E170" s="42"/>
      <c r="F170" s="42"/>
      <c r="G170" s="172"/>
      <c r="H170" s="42"/>
      <c r="I170" s="40"/>
      <c r="J170" s="146"/>
    </row>
    <row r="171" spans="1:10" ht="13.5" thickBot="1">
      <c r="A171" s="123">
        <f>A169+1</f>
        <v>49</v>
      </c>
      <c r="B171" s="29" t="s">
        <v>208</v>
      </c>
      <c r="C171" s="27" t="str">
        <f>"( Sum of line  "&amp;A134&amp;","&amp;A140&amp;", "&amp;A151&amp;", "&amp;A166&amp;", "&amp;A169&amp;")"</f>
        <v>( Sum of line  17,22, 32, 46, 48)</v>
      </c>
      <c r="D171" s="174">
        <f>+D169+D166+D151+D140+D134</f>
        <v>11342697.039073555</v>
      </c>
      <c r="E171" s="42"/>
      <c r="F171" s="42"/>
      <c r="G171" s="160"/>
      <c r="H171" s="42"/>
      <c r="I171" s="174">
        <f>+I169+I166+I151+I140+I134</f>
        <v>11342570.188434314</v>
      </c>
      <c r="J171" s="109"/>
    </row>
    <row r="172" spans="1:10" ht="13.5" thickTop="1">
      <c r="A172" s="123"/>
      <c r="B172" s="29"/>
      <c r="C172" s="27"/>
      <c r="D172" s="160"/>
      <c r="E172" s="42"/>
      <c r="F172" s="42"/>
      <c r="G172" s="160"/>
      <c r="H172" s="42"/>
      <c r="I172" s="40"/>
      <c r="J172" s="109"/>
    </row>
    <row r="173" spans="1:10">
      <c r="A173" s="104"/>
      <c r="B173" s="34"/>
      <c r="C173" s="34"/>
      <c r="D173" s="34"/>
      <c r="E173" s="34"/>
      <c r="F173" s="34"/>
      <c r="G173" s="34"/>
      <c r="H173" s="34"/>
      <c r="I173" s="34"/>
      <c r="J173" s="161" t="s">
        <v>626</v>
      </c>
    </row>
    <row r="174" spans="1:10">
      <c r="A174" s="104"/>
      <c r="B174" s="34"/>
      <c r="C174" s="34"/>
      <c r="D174" s="34"/>
      <c r="E174" s="34"/>
      <c r="F174" s="34"/>
      <c r="G174" s="34"/>
      <c r="H174" s="34"/>
      <c r="I174" s="34"/>
      <c r="J174" s="27"/>
    </row>
    <row r="175" spans="1:10">
      <c r="A175" s="104"/>
      <c r="B175" s="29" t="s">
        <v>1</v>
      </c>
      <c r="C175" s="34"/>
      <c r="D175" s="104" t="str">
        <f>+D3</f>
        <v>Rate Formula Template - Attachment H-29A</v>
      </c>
      <c r="E175" s="34"/>
      <c r="F175" s="34"/>
      <c r="G175" s="34"/>
      <c r="H175" s="34"/>
      <c r="I175" s="102"/>
      <c r="J175" s="175" t="str">
        <f>J3</f>
        <v>For  the 12 months ended 12/31/2024</v>
      </c>
    </row>
    <row r="176" spans="1:10">
      <c r="A176" s="104"/>
      <c r="B176" s="29"/>
      <c r="C176" s="34"/>
      <c r="D176" s="204" t="s">
        <v>97</v>
      </c>
      <c r="E176" s="34"/>
      <c r="F176" s="34"/>
      <c r="G176" s="34"/>
      <c r="H176" s="34"/>
      <c r="I176" s="34"/>
      <c r="J176" s="27"/>
    </row>
    <row r="177" spans="1:10">
      <c r="A177" s="104"/>
      <c r="B177" s="34"/>
      <c r="C177" s="34"/>
      <c r="D177" s="204" t="str">
        <f>+D112</f>
        <v>Transource Pennsylvania, LLC</v>
      </c>
      <c r="E177" s="34"/>
      <c r="F177" s="34"/>
      <c r="G177" s="34"/>
      <c r="H177" s="34"/>
      <c r="I177" s="34"/>
      <c r="J177" s="27"/>
    </row>
    <row r="178" spans="1:10">
      <c r="A178" s="1241"/>
      <c r="B178" s="1241"/>
      <c r="C178" s="1241"/>
      <c r="D178" s="1241"/>
      <c r="E178" s="1241"/>
      <c r="F178" s="1241"/>
      <c r="G178" s="1241"/>
      <c r="H178" s="1241"/>
      <c r="I178" s="1241"/>
      <c r="J178" s="1241"/>
    </row>
    <row r="179" spans="1:10" s="13" customFormat="1">
      <c r="A179" s="176"/>
      <c r="B179" s="113" t="s">
        <v>3</v>
      </c>
      <c r="C179" s="113" t="s">
        <v>4</v>
      </c>
      <c r="D179" s="113" t="s">
        <v>5</v>
      </c>
      <c r="E179" s="27" t="s">
        <v>2</v>
      </c>
      <c r="F179" s="27"/>
      <c r="G179" s="112" t="s">
        <v>6</v>
      </c>
      <c r="H179" s="27"/>
      <c r="I179" s="112" t="s">
        <v>7</v>
      </c>
      <c r="J179" s="99"/>
    </row>
    <row r="180" spans="1:10">
      <c r="A180" s="104"/>
      <c r="B180" s="34"/>
      <c r="C180" s="29"/>
      <c r="D180" s="29"/>
      <c r="E180" s="29"/>
      <c r="F180" s="29"/>
      <c r="G180" s="29"/>
      <c r="H180" s="29"/>
      <c r="I180" s="29"/>
      <c r="J180" s="29"/>
    </row>
    <row r="181" spans="1:10">
      <c r="A181" s="104"/>
      <c r="B181" s="34"/>
      <c r="C181" s="143" t="s">
        <v>44</v>
      </c>
      <c r="D181" s="34"/>
      <c r="E181" s="109"/>
      <c r="F181" s="109"/>
      <c r="G181" s="109"/>
      <c r="H181" s="109"/>
      <c r="I181" s="109"/>
      <c r="J181" s="27"/>
    </row>
    <row r="182" spans="1:10">
      <c r="A182" s="104" t="s">
        <v>8</v>
      </c>
      <c r="B182" s="143"/>
      <c r="C182" s="109"/>
      <c r="D182" s="109"/>
      <c r="E182" s="109"/>
      <c r="F182" s="109"/>
      <c r="G182" s="109"/>
      <c r="H182" s="109"/>
      <c r="I182" s="109"/>
      <c r="J182" s="27"/>
    </row>
    <row r="183" spans="1:10" ht="13.5" thickBot="1">
      <c r="A183" s="31" t="s">
        <v>10</v>
      </c>
      <c r="B183" s="105" t="s">
        <v>45</v>
      </c>
      <c r="C183" s="117"/>
      <c r="D183" s="117"/>
      <c r="E183" s="117"/>
      <c r="F183" s="117"/>
      <c r="G183" s="117"/>
      <c r="H183" s="32"/>
      <c r="I183" s="32"/>
      <c r="J183" s="27"/>
    </row>
    <row r="184" spans="1:10">
      <c r="A184" s="104">
        <v>1</v>
      </c>
      <c r="B184" s="106" t="s">
        <v>221</v>
      </c>
      <c r="C184" s="117" t="s">
        <v>274</v>
      </c>
      <c r="D184" s="35"/>
      <c r="E184" s="35"/>
      <c r="F184" s="35"/>
      <c r="G184" s="35"/>
      <c r="H184" s="35"/>
      <c r="I184" s="1120">
        <f>D66</f>
        <v>0</v>
      </c>
      <c r="J184" s="27"/>
    </row>
    <row r="185" spans="1:10">
      <c r="A185" s="286">
        <f>+A184+1</f>
        <v>2</v>
      </c>
      <c r="B185" s="106" t="s">
        <v>222</v>
      </c>
      <c r="C185" s="32" t="s">
        <v>539</v>
      </c>
      <c r="D185" s="32"/>
      <c r="E185" s="32"/>
      <c r="F185" s="32"/>
      <c r="G185" s="32"/>
      <c r="H185" s="32"/>
      <c r="I185" s="1122">
        <v>0</v>
      </c>
      <c r="J185" s="27"/>
    </row>
    <row r="186" spans="1:10" ht="13.5" thickBot="1">
      <c r="A186" s="286">
        <f>+A185+1</f>
        <v>3</v>
      </c>
      <c r="B186" s="177" t="s">
        <v>540</v>
      </c>
      <c r="C186" s="178" t="s">
        <v>542</v>
      </c>
      <c r="D186" s="102"/>
      <c r="E186" s="35"/>
      <c r="F186" s="35"/>
      <c r="G186" s="179"/>
      <c r="H186" s="35"/>
      <c r="I186" s="1132">
        <v>0</v>
      </c>
      <c r="J186" s="27"/>
    </row>
    <row r="187" spans="1:10">
      <c r="A187" s="286">
        <f t="shared" ref="A187:A206" si="5">+A186+1</f>
        <v>4</v>
      </c>
      <c r="B187" s="106" t="s">
        <v>224</v>
      </c>
      <c r="C187" s="117" t="s">
        <v>223</v>
      </c>
      <c r="D187" s="35"/>
      <c r="E187" s="35"/>
      <c r="F187" s="35"/>
      <c r="G187" s="179"/>
      <c r="H187" s="35"/>
      <c r="I187" s="155">
        <f>I184-I185-I186</f>
        <v>0</v>
      </c>
      <c r="J187" s="27"/>
    </row>
    <row r="188" spans="1:10">
      <c r="A188" s="286"/>
      <c r="B188" s="32"/>
      <c r="C188" s="117"/>
      <c r="D188" s="35"/>
      <c r="E188" s="35"/>
      <c r="F188" s="35"/>
      <c r="G188" s="179"/>
      <c r="H188" s="35"/>
      <c r="I188" s="155"/>
      <c r="J188" s="27"/>
    </row>
    <row r="189" spans="1:10">
      <c r="A189" s="286">
        <f>+A187+1</f>
        <v>5</v>
      </c>
      <c r="B189" s="106" t="s">
        <v>225</v>
      </c>
      <c r="C189" s="180" t="s">
        <v>385</v>
      </c>
      <c r="D189" s="181"/>
      <c r="E189" s="181"/>
      <c r="F189" s="181"/>
      <c r="G189" s="182"/>
      <c r="H189" s="35" t="s">
        <v>46</v>
      </c>
      <c r="I189" s="183">
        <f>IF(I184&gt;0,I187/I184,1)</f>
        <v>1</v>
      </c>
      <c r="J189" s="27"/>
    </row>
    <row r="190" spans="1:10">
      <c r="A190" s="286"/>
      <c r="B190" s="34"/>
      <c r="C190" s="34"/>
      <c r="D190" s="34"/>
      <c r="E190" s="34"/>
      <c r="F190" s="34"/>
      <c r="G190" s="34"/>
      <c r="H190" s="34"/>
      <c r="I190" s="34"/>
      <c r="J190" s="34"/>
    </row>
    <row r="191" spans="1:10">
      <c r="A191" s="286">
        <f>+A189+1</f>
        <v>6</v>
      </c>
      <c r="B191" s="29" t="s">
        <v>108</v>
      </c>
      <c r="C191" s="27"/>
      <c r="D191" s="27"/>
      <c r="E191" s="27"/>
      <c r="F191" s="27"/>
      <c r="G191" s="27"/>
      <c r="H191" s="27"/>
      <c r="I191" s="27"/>
      <c r="J191" s="27"/>
    </row>
    <row r="192" spans="1:10" ht="13.5" thickBot="1">
      <c r="A192" s="286"/>
      <c r="B192" s="29"/>
      <c r="C192" s="184" t="s">
        <v>47</v>
      </c>
      <c r="D192" s="28" t="s">
        <v>48</v>
      </c>
      <c r="E192" s="28" t="s">
        <v>15</v>
      </c>
      <c r="F192" s="27"/>
      <c r="G192" s="28" t="s">
        <v>49</v>
      </c>
      <c r="H192" s="27"/>
      <c r="I192" s="27"/>
      <c r="J192" s="27"/>
    </row>
    <row r="193" spans="1:10">
      <c r="A193" s="286">
        <f>+A191+1</f>
        <v>7</v>
      </c>
      <c r="B193" s="29" t="s">
        <v>246</v>
      </c>
      <c r="C193" s="27" t="s">
        <v>50</v>
      </c>
      <c r="D193" s="1122">
        <v>0</v>
      </c>
      <c r="E193" s="1228">
        <v>0</v>
      </c>
      <c r="F193" s="185"/>
      <c r="G193" s="1121">
        <f>D193*E193</f>
        <v>0</v>
      </c>
      <c r="H193" s="42"/>
      <c r="I193" s="42"/>
      <c r="J193" s="27"/>
    </row>
    <row r="194" spans="1:10">
      <c r="A194" s="286">
        <f t="shared" si="5"/>
        <v>8</v>
      </c>
      <c r="B194" s="29" t="s">
        <v>22</v>
      </c>
      <c r="C194" s="27" t="s">
        <v>258</v>
      </c>
      <c r="D194" s="1122">
        <v>0</v>
      </c>
      <c r="E194" s="1228">
        <f>+I189</f>
        <v>1</v>
      </c>
      <c r="F194" s="185"/>
      <c r="G194" s="1121">
        <f>D194*E194</f>
        <v>0</v>
      </c>
      <c r="H194" s="42"/>
      <c r="I194" s="42"/>
      <c r="J194" s="27"/>
    </row>
    <row r="195" spans="1:10">
      <c r="A195" s="286">
        <f t="shared" si="5"/>
        <v>9</v>
      </c>
      <c r="B195" s="29" t="s">
        <v>247</v>
      </c>
      <c r="C195" s="27" t="s">
        <v>93</v>
      </c>
      <c r="D195" s="1122">
        <v>0</v>
      </c>
      <c r="E195" s="1228">
        <v>0</v>
      </c>
      <c r="F195" s="185"/>
      <c r="G195" s="1121">
        <f>D195*E195</f>
        <v>0</v>
      </c>
      <c r="H195" s="42"/>
      <c r="I195" s="186" t="s">
        <v>51</v>
      </c>
      <c r="J195" s="27"/>
    </row>
    <row r="196" spans="1:10" ht="13.5" thickBot="1">
      <c r="A196" s="286">
        <f t="shared" si="5"/>
        <v>10</v>
      </c>
      <c r="B196" s="29" t="s">
        <v>52</v>
      </c>
      <c r="C196" s="27" t="s">
        <v>259</v>
      </c>
      <c r="D196" s="1132">
        <v>0</v>
      </c>
      <c r="E196" s="1228">
        <v>0</v>
      </c>
      <c r="F196" s="185"/>
      <c r="G196" s="1126">
        <f>D196*E196</f>
        <v>0</v>
      </c>
      <c r="H196" s="42"/>
      <c r="I196" s="187" t="s">
        <v>53</v>
      </c>
      <c r="J196" s="27"/>
    </row>
    <row r="197" spans="1:10">
      <c r="A197" s="286">
        <f t="shared" si="5"/>
        <v>11</v>
      </c>
      <c r="B197" s="38" t="s">
        <v>326</v>
      </c>
      <c r="C197" s="27" t="str">
        <f>"( Sum of line "&amp;A193&amp;" - line "&amp;A196&amp;")"</f>
        <v>( Sum of line 7 - line 10)</v>
      </c>
      <c r="D197" s="1121">
        <f>SUM(D193:D196)</f>
        <v>0</v>
      </c>
      <c r="E197" s="27"/>
      <c r="F197" s="27"/>
      <c r="G197" s="1121">
        <f>SUM(G193:G196)</f>
        <v>0</v>
      </c>
      <c r="H197" s="188" t="s">
        <v>54</v>
      </c>
      <c r="I197" s="148">
        <f>IF(D197=0,1,G197/D197)</f>
        <v>1</v>
      </c>
      <c r="J197" s="27" t="s">
        <v>55</v>
      </c>
    </row>
    <row r="198" spans="1:10">
      <c r="A198" s="286"/>
      <c r="B198" s="29" t="s">
        <v>2</v>
      </c>
      <c r="C198" s="27" t="s">
        <v>2</v>
      </c>
      <c r="D198" s="34"/>
      <c r="E198" s="27"/>
      <c r="F198" s="27"/>
      <c r="G198" s="34"/>
      <c r="H198" s="34"/>
      <c r="I198" s="34"/>
      <c r="J198" s="27"/>
    </row>
    <row r="199" spans="1:10">
      <c r="A199" s="286"/>
      <c r="B199" s="29"/>
      <c r="C199" s="27"/>
      <c r="D199" s="34"/>
      <c r="E199" s="27"/>
      <c r="F199" s="27"/>
      <c r="G199" s="27"/>
      <c r="H199" s="27"/>
      <c r="I199" s="27"/>
      <c r="J199" s="27"/>
    </row>
    <row r="200" spans="1:10" ht="13.5" thickBot="1">
      <c r="A200" s="286">
        <f>+A197+1</f>
        <v>12</v>
      </c>
      <c r="B200" s="26" t="s">
        <v>56</v>
      </c>
      <c r="C200" s="27"/>
      <c r="D200" s="27"/>
      <c r="E200" s="27"/>
      <c r="F200" s="27"/>
      <c r="G200" s="27"/>
      <c r="H200" s="27"/>
      <c r="I200" s="28" t="s">
        <v>48</v>
      </c>
      <c r="J200" s="27"/>
    </row>
    <row r="201" spans="1:10">
      <c r="A201" s="286">
        <f>+A200+1</f>
        <v>13</v>
      </c>
      <c r="B201" s="29"/>
      <c r="C201" s="27"/>
      <c r="D201" s="27"/>
      <c r="E201" s="27"/>
      <c r="F201" s="27"/>
      <c r="H201" s="27"/>
      <c r="I201" s="27"/>
      <c r="J201" s="27"/>
    </row>
    <row r="202" spans="1:10" ht="13.5" thickBot="1">
      <c r="A202" s="286">
        <f t="shared" si="5"/>
        <v>14</v>
      </c>
      <c r="B202" s="29"/>
      <c r="C202" s="27"/>
      <c r="D202" s="31" t="s">
        <v>48</v>
      </c>
      <c r="E202" s="31" t="s">
        <v>58</v>
      </c>
      <c r="F202" s="27"/>
      <c r="G202" s="30" t="s">
        <v>57</v>
      </c>
      <c r="H202" s="27"/>
      <c r="I202" s="31" t="s">
        <v>59</v>
      </c>
      <c r="J202" s="27"/>
    </row>
    <row r="203" spans="1:10">
      <c r="A203" s="286">
        <f t="shared" si="5"/>
        <v>15</v>
      </c>
      <c r="B203" s="26" t="s">
        <v>227</v>
      </c>
      <c r="C203" s="32" t="s">
        <v>452</v>
      </c>
      <c r="D203" s="190">
        <f>+'5-Return'!F19</f>
        <v>51507692.307692304</v>
      </c>
      <c r="E203" s="744">
        <f>+'5-Return'!G19</f>
        <v>0.50241438584610965</v>
      </c>
      <c r="F203" s="25"/>
      <c r="G203" s="354">
        <f>'5-Return'!H19</f>
        <v>6.5704584080047784E-2</v>
      </c>
      <c r="H203" s="25"/>
      <c r="I203" s="207">
        <f>E203*G203</f>
        <v>3.3010928257851284E-2</v>
      </c>
      <c r="J203" s="34"/>
    </row>
    <row r="204" spans="1:10">
      <c r="A204" s="286">
        <f t="shared" si="5"/>
        <v>16</v>
      </c>
      <c r="B204" s="26" t="s">
        <v>109</v>
      </c>
      <c r="C204" s="32" t="s">
        <v>452</v>
      </c>
      <c r="D204" s="1120">
        <f>+'5-Return'!F20</f>
        <v>0</v>
      </c>
      <c r="E204" s="744">
        <f>+'5-Return'!G20</f>
        <v>0</v>
      </c>
      <c r="F204" s="25"/>
      <c r="G204" s="354">
        <f>+'5-Return'!H20</f>
        <v>0</v>
      </c>
      <c r="H204" s="25"/>
      <c r="I204" s="207">
        <f>E204*G204</f>
        <v>0</v>
      </c>
      <c r="J204" s="34"/>
    </row>
    <row r="205" spans="1:10" ht="13.5" thickBot="1">
      <c r="A205" s="286">
        <f t="shared" si="5"/>
        <v>17</v>
      </c>
      <c r="B205" s="26" t="s">
        <v>262</v>
      </c>
      <c r="C205" s="32" t="s">
        <v>544</v>
      </c>
      <c r="D205" s="190">
        <f>+'5-Return'!F21</f>
        <v>51012645.005000003</v>
      </c>
      <c r="E205" s="745">
        <f>+'5-Return'!G21</f>
        <v>0.4975856141538903</v>
      </c>
      <c r="F205" s="33"/>
      <c r="G205" s="761">
        <f>0.099+0.005</f>
        <v>0.10400000000000001</v>
      </c>
      <c r="H205" s="34"/>
      <c r="I205" s="319">
        <f>E205*G205</f>
        <v>5.1748903872004592E-2</v>
      </c>
      <c r="J205" s="34"/>
    </row>
    <row r="206" spans="1:10">
      <c r="A206" s="286">
        <f t="shared" si="5"/>
        <v>18</v>
      </c>
      <c r="B206" s="29" t="s">
        <v>220</v>
      </c>
      <c r="C206" s="27" t="str">
        <f>"( Sum of line "&amp;A203&amp;" - line "&amp;A205&amp;")"</f>
        <v>( Sum of line 15 - line 17)</v>
      </c>
      <c r="D206" s="640">
        <f>SUM(D203:D205)</f>
        <v>102520337.31269231</v>
      </c>
      <c r="E206" s="27" t="s">
        <v>2</v>
      </c>
      <c r="F206" s="27"/>
      <c r="G206" s="27"/>
      <c r="H206" s="27"/>
      <c r="I206" s="207">
        <f>SUM(I203:I205)</f>
        <v>8.4759832129855883E-2</v>
      </c>
      <c r="J206" s="34"/>
    </row>
    <row r="207" spans="1:10">
      <c r="A207" s="286"/>
      <c r="B207" s="34"/>
      <c r="C207" s="34"/>
      <c r="D207" s="34"/>
      <c r="E207" s="27"/>
      <c r="F207" s="27"/>
      <c r="G207" s="27"/>
      <c r="H207" s="27"/>
      <c r="I207" s="34"/>
      <c r="J207" s="34"/>
    </row>
    <row r="208" spans="1:10">
      <c r="A208" s="286">
        <f>+A206+1</f>
        <v>19</v>
      </c>
      <c r="B208" s="26" t="s">
        <v>110</v>
      </c>
      <c r="C208" s="108"/>
      <c r="D208" s="108"/>
      <c r="E208" s="108"/>
      <c r="F208" s="108"/>
      <c r="G208" s="108"/>
      <c r="H208" s="108"/>
      <c r="I208" s="108"/>
      <c r="J208" s="108"/>
    </row>
    <row r="209" spans="1:10" ht="13.5" thickBot="1">
      <c r="A209" s="286"/>
      <c r="B209" s="26"/>
      <c r="C209" s="26"/>
      <c r="D209" s="26"/>
      <c r="E209" s="26"/>
      <c r="F209" s="26"/>
      <c r="G209" s="26"/>
      <c r="H209" s="26"/>
      <c r="I209" s="31"/>
      <c r="J209" s="34"/>
    </row>
    <row r="210" spans="1:10">
      <c r="A210" s="286">
        <f>+A208+1</f>
        <v>20</v>
      </c>
      <c r="B210" s="26" t="s">
        <v>207</v>
      </c>
      <c r="C210" s="530" t="str">
        <f>"Attachment 12, line "&amp;'12 - Revenue Credits'!A14&amp;" (Note U)"</f>
        <v>Attachment 12, line 8 (Note U)</v>
      </c>
      <c r="D210" s="34"/>
      <c r="E210" s="108"/>
      <c r="F210" s="108"/>
      <c r="G210" s="191"/>
      <c r="H210" s="108"/>
      <c r="I210" s="1120">
        <f>+'12 - Revenue Credits'!F14</f>
        <v>0</v>
      </c>
      <c r="J210" s="192"/>
    </row>
    <row r="211" spans="1:10">
      <c r="A211" s="286"/>
      <c r="B211" s="34"/>
      <c r="C211" s="106"/>
      <c r="D211" s="108"/>
      <c r="E211" s="108"/>
      <c r="F211" s="108"/>
      <c r="G211" s="108"/>
      <c r="H211" s="108"/>
      <c r="I211" s="1229"/>
      <c r="J211" s="192"/>
    </row>
    <row r="212" spans="1:10">
      <c r="A212" s="286">
        <f>+A210+1</f>
        <v>21</v>
      </c>
      <c r="B212" s="26" t="s">
        <v>800</v>
      </c>
      <c r="C212" s="530" t="str">
        <f>"Attachment 12, line "&amp;'12 - Revenue Credits'!A34&amp;" (Note A)"</f>
        <v>Attachment 12, line 21 (Note A)</v>
      </c>
      <c r="D212" s="108"/>
      <c r="E212" s="108"/>
      <c r="F212" s="108"/>
      <c r="G212" s="108"/>
      <c r="H212" s="108"/>
      <c r="I212" s="1120">
        <f>+'12 - Revenue Credits'!F32</f>
        <v>0</v>
      </c>
      <c r="J212" s="193"/>
    </row>
    <row r="213" spans="1:10">
      <c r="A213" s="104"/>
      <c r="B213" s="196"/>
      <c r="C213" s="104"/>
      <c r="D213" s="27"/>
      <c r="E213" s="27"/>
      <c r="F213" s="27"/>
      <c r="G213" s="27"/>
      <c r="H213" s="108"/>
      <c r="I213" s="197"/>
      <c r="J213" s="195"/>
    </row>
    <row r="214" spans="1:10">
      <c r="A214" s="104"/>
      <c r="B214" s="29"/>
      <c r="C214" s="109"/>
      <c r="D214" s="27"/>
      <c r="E214" s="27"/>
      <c r="F214" s="27"/>
      <c r="G214" s="27"/>
      <c r="H214" s="109"/>
      <c r="I214" s="27"/>
      <c r="J214" s="161" t="s">
        <v>627</v>
      </c>
    </row>
    <row r="215" spans="1:10">
      <c r="A215" s="104"/>
      <c r="B215" s="29"/>
      <c r="C215" s="109"/>
      <c r="D215" s="27"/>
      <c r="E215" s="27"/>
      <c r="F215" s="27"/>
      <c r="G215" s="27"/>
      <c r="H215" s="109"/>
      <c r="I215" s="27"/>
      <c r="J215" s="27"/>
    </row>
    <row r="216" spans="1:10">
      <c r="A216" s="104"/>
      <c r="B216" s="196" t="s">
        <v>1</v>
      </c>
      <c r="C216" s="104"/>
      <c r="D216" s="104" t="str">
        <f>+D3</f>
        <v>Rate Formula Template - Attachment H-29A</v>
      </c>
      <c r="E216" s="27"/>
      <c r="F216" s="27"/>
      <c r="G216" s="27"/>
      <c r="H216" s="108"/>
      <c r="I216" s="102"/>
      <c r="J216" s="198" t="str">
        <f>J3</f>
        <v>For  the 12 months ended 12/31/2024</v>
      </c>
    </row>
    <row r="217" spans="1:10">
      <c r="A217" s="104"/>
      <c r="B217" s="196"/>
      <c r="C217" s="104"/>
      <c r="D217" s="30" t="s">
        <v>97</v>
      </c>
      <c r="E217" s="27"/>
      <c r="F217" s="27"/>
      <c r="G217" s="27"/>
      <c r="H217" s="108"/>
      <c r="I217" s="199"/>
      <c r="J217" s="195"/>
    </row>
    <row r="218" spans="1:10">
      <c r="A218" s="104"/>
      <c r="B218" s="196"/>
      <c r="C218" s="104"/>
      <c r="D218" s="30" t="str">
        <f>+D177</f>
        <v>Transource Pennsylvania, LLC</v>
      </c>
      <c r="E218" s="27"/>
      <c r="F218" s="27"/>
      <c r="G218" s="27"/>
      <c r="H218" s="108"/>
      <c r="I218" s="199"/>
      <c r="J218" s="195"/>
    </row>
    <row r="219" spans="1:10">
      <c r="A219" s="1241"/>
      <c r="B219" s="1241"/>
      <c r="C219" s="1241"/>
      <c r="D219" s="1241"/>
      <c r="E219" s="1241"/>
      <c r="F219" s="1241"/>
      <c r="G219" s="1241"/>
      <c r="H219" s="1241"/>
      <c r="I219" s="1241"/>
      <c r="J219" s="1241"/>
    </row>
    <row r="220" spans="1:10">
      <c r="A220" s="104"/>
      <c r="B220" s="26" t="s">
        <v>400</v>
      </c>
      <c r="C220" s="104"/>
      <c r="D220" s="27"/>
      <c r="E220" s="27"/>
      <c r="F220" s="27"/>
      <c r="G220" s="27"/>
      <c r="H220" s="108"/>
      <c r="I220" s="27"/>
      <c r="J220" s="27"/>
    </row>
    <row r="221" spans="1:10">
      <c r="A221" s="104"/>
      <c r="B221" s="194" t="s">
        <v>111</v>
      </c>
      <c r="C221" s="104"/>
      <c r="D221" s="27"/>
      <c r="E221" s="27"/>
      <c r="F221" s="27"/>
      <c r="G221" s="27"/>
      <c r="H221" s="108"/>
      <c r="I221" s="27"/>
      <c r="J221" s="27"/>
    </row>
    <row r="222" spans="1:10">
      <c r="A222" s="104"/>
      <c r="B222" s="26"/>
      <c r="C222" s="108"/>
      <c r="D222" s="27"/>
      <c r="E222" s="27"/>
      <c r="F222" s="27"/>
      <c r="G222" s="27"/>
      <c r="H222" s="108"/>
      <c r="I222" s="27"/>
      <c r="J222" s="27"/>
    </row>
    <row r="223" spans="1:10" ht="13.5" thickBot="1">
      <c r="A223" s="31" t="s">
        <v>523</v>
      </c>
      <c r="B223" s="1243"/>
      <c r="C223" s="1243"/>
      <c r="D223" s="200"/>
      <c r="E223" s="200"/>
      <c r="F223" s="200"/>
      <c r="G223" s="200"/>
      <c r="H223" s="201"/>
      <c r="I223" s="200"/>
      <c r="J223" s="200"/>
    </row>
    <row r="224" spans="1:10" ht="30.75" customHeight="1">
      <c r="A224" s="765" t="s">
        <v>177</v>
      </c>
      <c r="B224" s="1244" t="s">
        <v>793</v>
      </c>
      <c r="C224" s="1245"/>
      <c r="D224" s="1245"/>
      <c r="E224" s="1245"/>
      <c r="F224" s="1245"/>
      <c r="G224" s="1245"/>
      <c r="H224" s="1245"/>
      <c r="I224" s="1245"/>
      <c r="J224" s="1245"/>
    </row>
    <row r="225" spans="1:10">
      <c r="A225" s="765" t="s">
        <v>178</v>
      </c>
      <c r="B225" s="1242" t="s">
        <v>270</v>
      </c>
      <c r="C225" s="1242"/>
      <c r="D225" s="1242"/>
      <c r="E225" s="1242"/>
      <c r="F225" s="1242"/>
      <c r="G225" s="1242"/>
      <c r="H225" s="1242"/>
      <c r="I225" s="1242"/>
      <c r="J225" s="1242"/>
    </row>
    <row r="226" spans="1:10" s="13" customFormat="1" ht="22.5" customHeight="1">
      <c r="A226" s="766" t="s">
        <v>64</v>
      </c>
      <c r="B226" s="258" t="s">
        <v>528</v>
      </c>
      <c r="C226" s="247"/>
      <c r="D226" s="247"/>
      <c r="E226" s="247"/>
      <c r="F226" s="247"/>
      <c r="G226" s="247"/>
      <c r="H226" s="248"/>
      <c r="I226" s="249"/>
      <c r="J226" s="250"/>
    </row>
    <row r="227" spans="1:10" ht="44.25" customHeight="1">
      <c r="A227" s="765" t="s">
        <v>511</v>
      </c>
      <c r="B227" s="1242" t="s">
        <v>945</v>
      </c>
      <c r="C227" s="1242"/>
      <c r="D227" s="1242"/>
      <c r="E227" s="1242"/>
      <c r="F227" s="1242"/>
      <c r="G227" s="1242"/>
      <c r="H227" s="1242"/>
      <c r="I227" s="1242"/>
      <c r="J227" s="1242"/>
    </row>
    <row r="228" spans="1:10" s="13" customFormat="1" ht="37.5" customHeight="1">
      <c r="A228" s="766" t="s">
        <v>66</v>
      </c>
      <c r="B228" s="1239" t="s">
        <v>789</v>
      </c>
      <c r="C228" s="1239"/>
      <c r="D228" s="1239"/>
      <c r="E228" s="1239"/>
      <c r="F228" s="1239"/>
      <c r="G228" s="1239"/>
      <c r="H228" s="1239"/>
      <c r="I228" s="1239"/>
      <c r="J228" s="1239"/>
    </row>
    <row r="229" spans="1:10" ht="30.75" customHeight="1">
      <c r="A229" s="766" t="s">
        <v>67</v>
      </c>
      <c r="B229" s="1246" t="s">
        <v>628</v>
      </c>
      <c r="C229" s="1246"/>
      <c r="D229" s="1246"/>
      <c r="E229" s="1246"/>
      <c r="F229" s="1246"/>
      <c r="G229" s="1246"/>
      <c r="H229" s="1246"/>
      <c r="I229" s="1246"/>
      <c r="J229" s="1246"/>
    </row>
    <row r="230" spans="1:10" ht="19.5" customHeight="1">
      <c r="A230" s="765" t="s">
        <v>68</v>
      </c>
      <c r="B230" s="1242" t="s">
        <v>576</v>
      </c>
      <c r="C230" s="1242"/>
      <c r="D230" s="1242"/>
      <c r="E230" s="1242"/>
      <c r="F230" s="1242"/>
      <c r="G230" s="1242"/>
      <c r="H230" s="1242"/>
      <c r="I230" s="1242"/>
      <c r="J230" s="1242"/>
    </row>
    <row r="231" spans="1:10" ht="39" customHeight="1">
      <c r="A231" s="765" t="s">
        <v>69</v>
      </c>
      <c r="B231" s="1242" t="s">
        <v>515</v>
      </c>
      <c r="C231" s="1242"/>
      <c r="D231" s="1242"/>
      <c r="E231" s="1242"/>
      <c r="F231" s="1242"/>
      <c r="G231" s="1242"/>
      <c r="H231" s="1242"/>
      <c r="I231" s="1242"/>
      <c r="J231" s="1242"/>
    </row>
    <row r="232" spans="1:10" ht="35.25" customHeight="1">
      <c r="A232" s="767" t="s">
        <v>70</v>
      </c>
      <c r="B232" s="1242" t="s">
        <v>718</v>
      </c>
      <c r="C232" s="1242"/>
      <c r="D232" s="1242"/>
      <c r="E232" s="1242"/>
      <c r="F232" s="1242"/>
      <c r="G232" s="1242"/>
      <c r="H232" s="1242"/>
      <c r="I232" s="1242"/>
      <c r="J232" s="1242"/>
    </row>
    <row r="233" spans="1:10" s="209" customFormat="1" ht="28.5" customHeight="1">
      <c r="A233" s="765" t="s">
        <v>71</v>
      </c>
      <c r="B233" s="1242" t="s">
        <v>839</v>
      </c>
      <c r="C233" s="1242"/>
      <c r="D233" s="1242"/>
      <c r="E233" s="1242"/>
      <c r="F233" s="1242"/>
      <c r="G233" s="1242"/>
      <c r="H233" s="1242"/>
      <c r="I233" s="1242"/>
      <c r="J233" s="1242"/>
    </row>
    <row r="234" spans="1:10" s="209" customFormat="1" ht="18.75" customHeight="1">
      <c r="A234" s="765" t="s">
        <v>99</v>
      </c>
      <c r="B234" s="246" t="s">
        <v>520</v>
      </c>
      <c r="C234" s="790"/>
      <c r="D234" s="790"/>
      <c r="E234" s="790"/>
      <c r="F234" s="790"/>
      <c r="G234" s="790"/>
      <c r="H234" s="790"/>
      <c r="I234" s="790"/>
      <c r="J234" s="790"/>
    </row>
    <row r="235" spans="1:10" ht="49.5" customHeight="1">
      <c r="A235" s="767" t="s">
        <v>116</v>
      </c>
      <c r="B235" s="1242" t="s">
        <v>791</v>
      </c>
      <c r="C235" s="1242"/>
      <c r="D235" s="1242"/>
      <c r="E235" s="1242"/>
      <c r="F235" s="1242"/>
      <c r="G235" s="1242"/>
      <c r="H235" s="1242"/>
      <c r="I235" s="1242"/>
      <c r="J235" s="1242"/>
    </row>
    <row r="236" spans="1:10" ht="51" customHeight="1">
      <c r="A236" s="1247" t="s">
        <v>530</v>
      </c>
      <c r="B236" s="1242" t="s">
        <v>179</v>
      </c>
      <c r="C236" s="1242"/>
      <c r="D236" s="1242"/>
      <c r="E236" s="1242"/>
      <c r="F236" s="1242"/>
      <c r="G236" s="1242"/>
      <c r="H236" s="1242"/>
      <c r="I236" s="1242"/>
      <c r="J236" s="1242"/>
    </row>
    <row r="237" spans="1:10">
      <c r="A237" s="1247"/>
      <c r="B237" s="246" t="s">
        <v>72</v>
      </c>
      <c r="C237" s="246" t="s">
        <v>663</v>
      </c>
      <c r="D237" s="830">
        <v>0.21</v>
      </c>
      <c r="E237" s="246" t="s">
        <v>333</v>
      </c>
      <c r="F237" s="246"/>
      <c r="G237" s="246"/>
      <c r="H237" s="246"/>
      <c r="I237" s="246"/>
      <c r="J237" s="246"/>
    </row>
    <row r="238" spans="1:10">
      <c r="A238" s="1247"/>
      <c r="B238" s="246"/>
      <c r="C238" s="246" t="s">
        <v>73</v>
      </c>
      <c r="D238" s="829">
        <v>8.4900000000000003E-2</v>
      </c>
      <c r="E238" s="246" t="s">
        <v>112</v>
      </c>
      <c r="F238" s="246"/>
      <c r="G238" s="246"/>
      <c r="H238" s="246"/>
      <c r="I238" s="246"/>
      <c r="J238" s="246"/>
    </row>
    <row r="239" spans="1:10">
      <c r="A239" s="1247"/>
      <c r="B239" s="246"/>
      <c r="C239" s="246" t="s">
        <v>74</v>
      </c>
      <c r="D239" s="372">
        <v>0</v>
      </c>
      <c r="E239" s="246" t="s">
        <v>113</v>
      </c>
      <c r="F239" s="246"/>
      <c r="G239" s="246"/>
      <c r="H239" s="246"/>
      <c r="I239" s="246"/>
      <c r="J239" s="246"/>
    </row>
    <row r="240" spans="1:10">
      <c r="A240" s="1247"/>
      <c r="B240" s="246"/>
      <c r="C240" s="246" t="s">
        <v>114</v>
      </c>
      <c r="D240" s="372">
        <v>0</v>
      </c>
      <c r="E240" s="246" t="s">
        <v>115</v>
      </c>
      <c r="F240" s="246"/>
      <c r="G240" s="246"/>
      <c r="H240" s="246"/>
      <c r="I240" s="246"/>
      <c r="J240" s="246"/>
    </row>
    <row r="241" spans="1:10" ht="47.25" customHeight="1">
      <c r="A241" s="802" t="s">
        <v>538</v>
      </c>
      <c r="B241" s="1250" t="s">
        <v>843</v>
      </c>
      <c r="C241" s="1250"/>
      <c r="D241" s="1250"/>
      <c r="E241" s="1250"/>
      <c r="F241" s="1250"/>
      <c r="G241" s="1250"/>
      <c r="H241" s="1250"/>
      <c r="I241" s="1250"/>
      <c r="J241" s="1250"/>
    </row>
    <row r="242" spans="1:10" ht="19.5" customHeight="1">
      <c r="A242" s="765" t="s">
        <v>118</v>
      </c>
      <c r="B242" s="1242" t="s">
        <v>117</v>
      </c>
      <c r="C242" s="1242"/>
      <c r="D242" s="1242"/>
      <c r="E242" s="1242"/>
      <c r="F242" s="1242"/>
      <c r="G242" s="1242"/>
      <c r="H242" s="1242"/>
      <c r="I242" s="1242"/>
      <c r="J242" s="1242"/>
    </row>
    <row r="243" spans="1:10" s="533" customFormat="1" ht="99" customHeight="1">
      <c r="A243" s="765" t="s">
        <v>119</v>
      </c>
      <c r="B243" s="1248" t="s">
        <v>846</v>
      </c>
      <c r="C243" s="1248"/>
      <c r="D243" s="1248"/>
      <c r="E243" s="1248"/>
      <c r="F243" s="1248"/>
      <c r="G243" s="1248"/>
      <c r="H243" s="1248"/>
      <c r="I243" s="1248"/>
      <c r="J243" s="1248"/>
    </row>
    <row r="244" spans="1:10" s="209" customFormat="1" ht="30.75" customHeight="1">
      <c r="A244" s="766" t="s">
        <v>120</v>
      </c>
      <c r="B244" s="1249" t="s">
        <v>787</v>
      </c>
      <c r="C244" s="1249"/>
      <c r="D244" s="1249"/>
      <c r="E244" s="1249"/>
      <c r="F244" s="1249"/>
      <c r="G244" s="1249"/>
      <c r="H244" s="1249"/>
      <c r="I244" s="1249"/>
      <c r="J244" s="1249"/>
    </row>
    <row r="245" spans="1:10" s="209" customFormat="1" ht="31.5" customHeight="1">
      <c r="A245" s="766" t="s">
        <v>541</v>
      </c>
      <c r="B245" s="1242" t="s">
        <v>547</v>
      </c>
      <c r="C245" s="1242"/>
      <c r="D245" s="1242"/>
      <c r="E245" s="1242"/>
      <c r="F245" s="1242"/>
      <c r="G245" s="1242"/>
      <c r="H245" s="1242"/>
      <c r="I245" s="1242"/>
      <c r="J245" s="1242"/>
    </row>
    <row r="246" spans="1:10" ht="21" customHeight="1">
      <c r="A246" s="765" t="s">
        <v>543</v>
      </c>
      <c r="B246" s="1242" t="s">
        <v>629</v>
      </c>
      <c r="C246" s="1242"/>
      <c r="D246" s="1242"/>
      <c r="E246" s="1242"/>
      <c r="F246" s="1242"/>
      <c r="G246" s="1242"/>
      <c r="H246" s="1242"/>
      <c r="I246" s="1242"/>
      <c r="J246" s="1242"/>
    </row>
    <row r="247" spans="1:10">
      <c r="A247" s="765" t="s">
        <v>545</v>
      </c>
      <c r="B247" s="1242" t="s">
        <v>546</v>
      </c>
      <c r="C247" s="1242"/>
      <c r="D247" s="1242"/>
      <c r="E247" s="1242"/>
      <c r="F247" s="1242"/>
      <c r="G247" s="1242"/>
      <c r="H247" s="1242"/>
      <c r="I247" s="1242"/>
      <c r="J247" s="1242"/>
    </row>
    <row r="248" spans="1:10" s="308" customFormat="1">
      <c r="A248" s="768" t="s">
        <v>235</v>
      </c>
      <c r="B248" s="474" t="s">
        <v>575</v>
      </c>
      <c r="C248" s="466"/>
      <c r="D248" s="466"/>
      <c r="E248" s="466"/>
      <c r="F248" s="466"/>
      <c r="G248" s="466"/>
      <c r="H248" s="466"/>
      <c r="I248" s="466"/>
      <c r="J248" s="466"/>
    </row>
    <row r="249" spans="1:10" s="308" customFormat="1" ht="43.5" customHeight="1">
      <c r="A249" s="768" t="s">
        <v>837</v>
      </c>
      <c r="B249" s="1239" t="s">
        <v>842</v>
      </c>
      <c r="C249" s="1239"/>
      <c r="D249" s="1239"/>
      <c r="E249" s="1239"/>
      <c r="F249" s="1239"/>
      <c r="G249" s="1239"/>
      <c r="H249" s="1239"/>
      <c r="I249" s="1239"/>
      <c r="J249" s="465"/>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3"/>
    </customSheetView>
  </customSheetViews>
  <mergeCells count="25">
    <mergeCell ref="B245:J245"/>
    <mergeCell ref="B246:J246"/>
    <mergeCell ref="B247:J247"/>
    <mergeCell ref="A236:A240"/>
    <mergeCell ref="B243:J243"/>
    <mergeCell ref="B236:J236"/>
    <mergeCell ref="B242:J242"/>
    <mergeCell ref="B244:J244"/>
    <mergeCell ref="B241:J241"/>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s>
  <phoneticPr fontId="0" type="noConversion"/>
  <pageMargins left="0.25" right="0.25" top="0.5" bottom="0.5" header="0.3" footer="0.3"/>
  <pageSetup scale="55" fitToHeight="0" orientation="landscape" cellComments="asDisplayed" r:id="rId4"/>
  <rowBreaks count="4" manualBreakCount="4">
    <brk id="52" max="9" man="1"/>
    <brk id="107" max="16383" man="1"/>
    <brk id="171" max="9"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85" zoomScaleNormal="85" zoomScaleSheetLayoutView="85" workbookViewId="0">
      <selection activeCell="K44" sqref="K44"/>
    </sheetView>
  </sheetViews>
  <sheetFormatPr defaultColWidth="7.4609375" defaultRowHeight="13"/>
  <cols>
    <col min="1" max="1" width="4.69140625" style="841" customWidth="1"/>
    <col min="2" max="2" width="33.69140625" style="840" customWidth="1"/>
    <col min="3" max="3" width="28.3046875" style="840" customWidth="1"/>
    <col min="4" max="4" width="15.3046875" style="840" bestFit="1" customWidth="1"/>
    <col min="5" max="5" width="9.69140625" style="975" customWidth="1"/>
    <col min="6" max="6" width="23.4609375" style="840" customWidth="1"/>
    <col min="7" max="7" width="16.3046875" style="840" customWidth="1"/>
    <col min="8" max="8" width="13" style="840" customWidth="1"/>
    <col min="9" max="9" width="14.3046875" style="840" customWidth="1"/>
    <col min="10" max="10" width="19.53515625" style="840" customWidth="1"/>
    <col min="11" max="11" width="13.84375" style="840" customWidth="1"/>
    <col min="12" max="16384" width="7.4609375" style="840"/>
  </cols>
  <sheetData>
    <row r="1" spans="1:11" ht="20">
      <c r="A1" s="1274" t="s">
        <v>963</v>
      </c>
      <c r="B1" s="1274"/>
      <c r="C1" s="1274"/>
      <c r="D1" s="1274"/>
      <c r="E1" s="1274"/>
      <c r="F1" s="1274"/>
      <c r="G1" s="1274"/>
      <c r="H1" s="1274"/>
      <c r="I1" s="1274"/>
      <c r="J1" s="1274"/>
      <c r="K1" s="1070"/>
    </row>
    <row r="2" spans="1:11" ht="20">
      <c r="A2" s="1274" t="str">
        <f>'Attachment H-29A'!D5</f>
        <v>Transource Pennsylvania, LLC</v>
      </c>
      <c r="B2" s="1274"/>
      <c r="C2" s="1274"/>
      <c r="D2" s="1274"/>
      <c r="E2" s="1274"/>
      <c r="F2" s="1274"/>
      <c r="G2" s="1274"/>
      <c r="H2" s="1274"/>
      <c r="I2" s="1274"/>
      <c r="J2" s="1274"/>
      <c r="K2" s="1070"/>
    </row>
    <row r="3" spans="1:11" ht="20">
      <c r="A3" s="1274" t="str">
        <f>'Attachment H-29A'!J3</f>
        <v>For  the 12 months ended 12/31/2024</v>
      </c>
      <c r="B3" s="1274"/>
      <c r="C3" s="1274"/>
      <c r="D3" s="1274"/>
      <c r="E3" s="1274"/>
      <c r="F3" s="1274"/>
      <c r="G3" s="1274"/>
      <c r="H3" s="1274"/>
      <c r="I3" s="1274"/>
      <c r="J3" s="1274"/>
      <c r="K3" s="1070"/>
    </row>
    <row r="4" spans="1:11" ht="20">
      <c r="A4" s="909"/>
      <c r="B4" s="847"/>
      <c r="C4" s="847"/>
      <c r="D4" s="1009"/>
      <c r="E4" s="1016"/>
      <c r="F4" s="913"/>
      <c r="G4" s="913"/>
      <c r="H4" s="913"/>
      <c r="I4" s="936"/>
      <c r="J4" s="937"/>
      <c r="K4" s="938"/>
    </row>
    <row r="5" spans="1:11">
      <c r="A5" s="845"/>
      <c r="B5" s="939" t="s">
        <v>964</v>
      </c>
      <c r="C5" s="1071" t="s">
        <v>1018</v>
      </c>
      <c r="D5" s="882"/>
      <c r="E5" s="882"/>
      <c r="F5" s="847"/>
      <c r="G5" s="847"/>
      <c r="H5" s="847"/>
      <c r="I5" s="849"/>
      <c r="J5" s="849"/>
      <c r="K5" s="847"/>
    </row>
    <row r="6" spans="1:11">
      <c r="A6" s="845"/>
      <c r="B6" s="939"/>
      <c r="C6" s="847"/>
      <c r="D6" s="847"/>
      <c r="E6" s="882"/>
      <c r="F6" s="847"/>
      <c r="G6" s="847"/>
      <c r="H6" s="847"/>
      <c r="I6" s="849"/>
      <c r="J6" s="849"/>
      <c r="K6" s="847"/>
    </row>
    <row r="7" spans="1:11">
      <c r="A7" s="845"/>
      <c r="B7" s="850" t="s">
        <v>190</v>
      </c>
      <c r="C7" s="850" t="s">
        <v>191</v>
      </c>
      <c r="D7" s="850" t="s">
        <v>192</v>
      </c>
      <c r="E7" s="850"/>
      <c r="F7" s="850" t="s">
        <v>193</v>
      </c>
      <c r="G7" s="850" t="s">
        <v>195</v>
      </c>
      <c r="H7" s="850" t="s">
        <v>194</v>
      </c>
      <c r="I7" s="850" t="s">
        <v>196</v>
      </c>
      <c r="J7" s="850" t="s">
        <v>197</v>
      </c>
      <c r="K7" s="850"/>
    </row>
    <row r="8" spans="1:11">
      <c r="A8" s="845"/>
      <c r="B8" s="850"/>
      <c r="C8" s="847"/>
      <c r="D8" s="850"/>
      <c r="E8" s="850"/>
      <c r="G8" s="850" t="s">
        <v>965</v>
      </c>
      <c r="H8" s="847"/>
      <c r="I8" s="852" t="s">
        <v>13</v>
      </c>
      <c r="J8" s="850" t="s">
        <v>966</v>
      </c>
      <c r="K8" s="850"/>
    </row>
    <row r="9" spans="1:11">
      <c r="A9" s="845" t="s">
        <v>8</v>
      </c>
      <c r="B9" s="850"/>
      <c r="C9" s="847"/>
      <c r="D9" s="850" t="s">
        <v>967</v>
      </c>
      <c r="E9" s="850"/>
      <c r="F9" s="852" t="s">
        <v>965</v>
      </c>
      <c r="G9" s="850" t="s">
        <v>11</v>
      </c>
      <c r="H9" s="850" t="s">
        <v>968</v>
      </c>
      <c r="I9" s="850" t="s">
        <v>969</v>
      </c>
      <c r="J9" s="850" t="s">
        <v>937</v>
      </c>
      <c r="K9" s="850"/>
    </row>
    <row r="10" spans="1:11">
      <c r="A10" s="845" t="s">
        <v>10</v>
      </c>
      <c r="B10" s="856" t="s">
        <v>970</v>
      </c>
      <c r="C10" s="856" t="s">
        <v>199</v>
      </c>
      <c r="D10" s="856" t="s">
        <v>937</v>
      </c>
      <c r="E10" s="856"/>
      <c r="F10" s="850" t="s">
        <v>971</v>
      </c>
      <c r="G10" s="856" t="s">
        <v>972</v>
      </c>
      <c r="H10" s="856" t="s">
        <v>973</v>
      </c>
      <c r="I10" s="856" t="s">
        <v>974</v>
      </c>
      <c r="J10" s="856" t="s">
        <v>975</v>
      </c>
      <c r="K10" s="856"/>
    </row>
    <row r="11" spans="1:11">
      <c r="A11" s="845"/>
      <c r="B11" s="847"/>
      <c r="C11" s="847"/>
      <c r="D11" s="847"/>
      <c r="E11" s="882"/>
      <c r="F11" s="847"/>
      <c r="G11" s="847"/>
      <c r="H11" s="883"/>
      <c r="I11" s="883"/>
      <c r="J11" s="847"/>
      <c r="K11" s="847"/>
    </row>
    <row r="12" spans="1:11">
      <c r="A12" s="845">
        <v>1</v>
      </c>
      <c r="B12" s="1072" t="s">
        <v>916</v>
      </c>
      <c r="C12" s="847"/>
      <c r="D12" s="847"/>
      <c r="E12" s="1084"/>
      <c r="F12" s="847"/>
      <c r="G12" s="847"/>
      <c r="H12" s="883"/>
      <c r="I12" s="883"/>
      <c r="J12" s="847"/>
      <c r="K12" s="847"/>
    </row>
    <row r="13" spans="1:11">
      <c r="A13" s="845">
        <f>A12+1</f>
        <v>2</v>
      </c>
      <c r="B13" s="1073" t="s">
        <v>976</v>
      </c>
      <c r="C13" s="1074" t="s">
        <v>977</v>
      </c>
      <c r="D13" s="1075">
        <v>0</v>
      </c>
      <c r="E13" s="1076"/>
      <c r="F13" s="847"/>
      <c r="G13" s="847"/>
      <c r="H13" s="883"/>
      <c r="I13" s="883"/>
      <c r="J13" s="847"/>
      <c r="K13" s="847"/>
    </row>
    <row r="14" spans="1:11">
      <c r="A14" s="845">
        <f t="shared" ref="A14:A17" si="0">A13+1</f>
        <v>3</v>
      </c>
      <c r="B14" s="1073" t="s">
        <v>978</v>
      </c>
      <c r="C14" s="1074" t="s">
        <v>979</v>
      </c>
      <c r="D14" s="1107">
        <v>0</v>
      </c>
      <c r="E14" s="1076"/>
      <c r="F14" s="847"/>
      <c r="G14" s="847"/>
      <c r="H14" s="883"/>
      <c r="I14" s="883"/>
      <c r="J14" s="847"/>
      <c r="K14" s="847"/>
    </row>
    <row r="15" spans="1:11">
      <c r="A15" s="845">
        <f t="shared" si="0"/>
        <v>4</v>
      </c>
      <c r="B15" s="1077" t="s">
        <v>992</v>
      </c>
      <c r="C15" s="1078" t="s">
        <v>993</v>
      </c>
      <c r="D15" s="1075">
        <f>-D13</f>
        <v>0</v>
      </c>
      <c r="E15" s="1076"/>
      <c r="F15" s="847"/>
      <c r="G15" s="847"/>
      <c r="H15" s="883"/>
      <c r="I15" s="883"/>
      <c r="J15" s="847"/>
      <c r="K15" s="847"/>
    </row>
    <row r="16" spans="1:11" ht="13.5" thickBot="1">
      <c r="A16" s="845">
        <f t="shared" si="0"/>
        <v>5</v>
      </c>
      <c r="B16" s="1077" t="s">
        <v>994</v>
      </c>
      <c r="C16" s="1078" t="s">
        <v>995</v>
      </c>
      <c r="D16" s="1112">
        <f>D14</f>
        <v>0</v>
      </c>
      <c r="E16" s="1080"/>
      <c r="F16" s="1081"/>
      <c r="G16" s="847"/>
      <c r="H16" s="883"/>
      <c r="I16" s="883"/>
      <c r="J16" s="847"/>
      <c r="K16" s="847"/>
    </row>
    <row r="17" spans="1:11">
      <c r="A17" s="845">
        <f t="shared" si="0"/>
        <v>6</v>
      </c>
      <c r="B17" s="1082">
        <v>190.1</v>
      </c>
      <c r="C17" s="1083" t="s">
        <v>980</v>
      </c>
      <c r="D17" s="1093">
        <f>D13-D14+D15+D16</f>
        <v>0</v>
      </c>
      <c r="E17" s="1084"/>
      <c r="F17" s="1109">
        <v>0.50050050050050054</v>
      </c>
      <c r="G17" s="961">
        <f>D17*F17</f>
        <v>0</v>
      </c>
      <c r="H17" s="1108">
        <v>0</v>
      </c>
      <c r="I17" s="1093">
        <f>G17+H17</f>
        <v>0</v>
      </c>
      <c r="J17" s="1093">
        <f>D17+H17</f>
        <v>0</v>
      </c>
      <c r="K17" s="847"/>
    </row>
    <row r="18" spans="1:11">
      <c r="A18" s="845"/>
      <c r="B18" s="1082"/>
      <c r="C18" s="1083"/>
      <c r="D18" s="1081"/>
      <c r="E18" s="882"/>
      <c r="F18" s="847"/>
      <c r="G18" s="847"/>
      <c r="H18" s="883"/>
      <c r="I18" s="883"/>
      <c r="J18" s="1093"/>
      <c r="K18" s="847"/>
    </row>
    <row r="19" spans="1:11">
      <c r="A19" s="845">
        <f>A17+1</f>
        <v>7</v>
      </c>
      <c r="B19" s="1072" t="s">
        <v>917</v>
      </c>
      <c r="C19" s="847"/>
      <c r="D19" s="847"/>
      <c r="E19" s="882"/>
      <c r="F19" s="847"/>
      <c r="G19" s="847"/>
      <c r="H19" s="883"/>
      <c r="I19" s="883"/>
      <c r="J19" s="1093"/>
      <c r="K19" s="847"/>
    </row>
    <row r="20" spans="1:11">
      <c r="A20" s="845">
        <f>A19+1</f>
        <v>8</v>
      </c>
      <c r="B20" s="1073" t="s">
        <v>976</v>
      </c>
      <c r="C20" s="1074" t="s">
        <v>981</v>
      </c>
      <c r="D20" s="1107">
        <v>0</v>
      </c>
      <c r="E20" s="1113"/>
      <c r="F20" s="847"/>
      <c r="G20" s="847"/>
      <c r="H20" s="883"/>
      <c r="I20" s="883"/>
      <c r="J20" s="1093"/>
      <c r="K20" s="847"/>
    </row>
    <row r="21" spans="1:11">
      <c r="A21" s="845">
        <f t="shared" ref="A21:A24" si="1">A20+1</f>
        <v>9</v>
      </c>
      <c r="B21" s="1073" t="s">
        <v>978</v>
      </c>
      <c r="C21" s="1074" t="s">
        <v>979</v>
      </c>
      <c r="D21" s="1107">
        <v>0</v>
      </c>
      <c r="E21" s="1113"/>
      <c r="F21" s="847"/>
      <c r="G21" s="847"/>
      <c r="H21" s="883"/>
      <c r="I21" s="883"/>
      <c r="J21" s="1093"/>
      <c r="K21" s="847"/>
    </row>
    <row r="22" spans="1:11">
      <c r="A22" s="845">
        <f t="shared" si="1"/>
        <v>10</v>
      </c>
      <c r="B22" s="1077"/>
      <c r="C22" s="1078"/>
      <c r="D22" s="1107">
        <v>0</v>
      </c>
      <c r="E22" s="1113"/>
      <c r="F22" s="847"/>
      <c r="G22" s="847"/>
      <c r="H22" s="883"/>
      <c r="I22" s="883"/>
      <c r="J22" s="1093"/>
      <c r="K22" s="847"/>
    </row>
    <row r="23" spans="1:11" ht="13.5" thickBot="1">
      <c r="A23" s="845">
        <f t="shared" si="1"/>
        <v>11</v>
      </c>
      <c r="B23" s="1077"/>
      <c r="C23" s="1078"/>
      <c r="D23" s="1112">
        <v>0</v>
      </c>
      <c r="E23" s="961"/>
      <c r="F23" s="1081"/>
      <c r="G23" s="847"/>
      <c r="H23" s="883"/>
      <c r="I23" s="883"/>
      <c r="J23" s="1093"/>
      <c r="K23" s="847"/>
    </row>
    <row r="24" spans="1:11">
      <c r="A24" s="845">
        <f t="shared" si="1"/>
        <v>12</v>
      </c>
      <c r="B24" s="1082" t="s">
        <v>982</v>
      </c>
      <c r="C24" s="1083" t="s">
        <v>980</v>
      </c>
      <c r="D24" s="1093">
        <f>-(D20-D21+D22+D23)</f>
        <v>0</v>
      </c>
      <c r="E24" s="883">
        <v>0</v>
      </c>
      <c r="F24" s="1109">
        <v>0.50050050050050054</v>
      </c>
      <c r="G24" s="961">
        <f>D24*F24</f>
        <v>0</v>
      </c>
      <c r="H24" s="1108">
        <v>0</v>
      </c>
      <c r="I24" s="1093">
        <f>G24+H24</f>
        <v>0</v>
      </c>
      <c r="J24" s="1093">
        <f>D24+H24</f>
        <v>0</v>
      </c>
      <c r="K24" s="847"/>
    </row>
    <row r="25" spans="1:11">
      <c r="A25" s="845"/>
      <c r="B25" s="1082"/>
      <c r="C25" s="1083"/>
      <c r="D25" s="1081"/>
      <c r="E25" s="882"/>
      <c r="F25" s="847"/>
      <c r="G25" s="847"/>
      <c r="H25" s="883"/>
      <c r="I25" s="883"/>
      <c r="J25" s="847"/>
      <c r="K25" s="847"/>
    </row>
    <row r="26" spans="1:11">
      <c r="A26" s="845">
        <f>A24+1</f>
        <v>13</v>
      </c>
      <c r="B26" s="1072" t="s">
        <v>900</v>
      </c>
      <c r="C26" s="847"/>
      <c r="D26" s="847"/>
      <c r="E26" s="882"/>
      <c r="F26" s="847"/>
      <c r="G26" s="847"/>
      <c r="H26" s="883"/>
      <c r="I26" s="883"/>
      <c r="J26" s="847"/>
      <c r="K26" s="847"/>
    </row>
    <row r="27" spans="1:11">
      <c r="A27" s="845">
        <f>A26+1</f>
        <v>14</v>
      </c>
      <c r="B27" s="1073" t="s">
        <v>976</v>
      </c>
      <c r="C27" s="1083" t="s">
        <v>983</v>
      </c>
      <c r="D27" s="1075">
        <v>0</v>
      </c>
      <c r="E27" s="1076"/>
      <c r="F27" s="847"/>
      <c r="G27" s="847"/>
      <c r="H27" s="883"/>
      <c r="I27" s="883"/>
      <c r="J27" s="847"/>
      <c r="K27" s="847"/>
    </row>
    <row r="28" spans="1:11">
      <c r="A28" s="845">
        <f t="shared" ref="A28:A31" si="2">A27+1</f>
        <v>15</v>
      </c>
      <c r="B28" s="1073" t="s">
        <v>978</v>
      </c>
      <c r="C28" s="1074" t="s">
        <v>979</v>
      </c>
      <c r="D28" s="1107">
        <v>0</v>
      </c>
      <c r="E28" s="1076"/>
      <c r="F28" s="847"/>
      <c r="G28" s="847"/>
      <c r="H28" s="883"/>
      <c r="I28" s="883"/>
      <c r="J28" s="847"/>
      <c r="K28" s="847"/>
    </row>
    <row r="29" spans="1:11">
      <c r="A29" s="845">
        <f t="shared" si="2"/>
        <v>16</v>
      </c>
      <c r="B29" s="1110" t="s">
        <v>992</v>
      </c>
      <c r="C29" s="1111" t="s">
        <v>996</v>
      </c>
      <c r="D29" s="1107">
        <f>-D27</f>
        <v>0</v>
      </c>
      <c r="E29" s="1076"/>
      <c r="F29" s="847"/>
      <c r="G29" s="847"/>
      <c r="H29" s="883"/>
      <c r="I29" s="883"/>
      <c r="J29" s="847"/>
      <c r="K29" s="847"/>
    </row>
    <row r="30" spans="1:11" ht="13.5" thickBot="1">
      <c r="A30" s="845">
        <f t="shared" si="2"/>
        <v>17</v>
      </c>
      <c r="B30" s="1110" t="s">
        <v>994</v>
      </c>
      <c r="C30" s="1111" t="s">
        <v>997</v>
      </c>
      <c r="D30" s="1112">
        <v>0</v>
      </c>
      <c r="E30" s="1080"/>
      <c r="F30" s="1081"/>
      <c r="G30" s="847"/>
      <c r="H30" s="883"/>
      <c r="I30" s="883"/>
      <c r="J30" s="1081"/>
      <c r="K30" s="847"/>
    </row>
    <row r="31" spans="1:11">
      <c r="A31" s="845">
        <f t="shared" si="2"/>
        <v>18</v>
      </c>
      <c r="B31" s="1082" t="s">
        <v>982</v>
      </c>
      <c r="C31" s="1083" t="s">
        <v>980</v>
      </c>
      <c r="D31" s="1093">
        <f>-(D27-D28+D29+D30)</f>
        <v>0</v>
      </c>
      <c r="E31" s="1084"/>
      <c r="F31" s="1109">
        <v>0.50050050050050054</v>
      </c>
      <c r="G31" s="961">
        <f>D31*F31</f>
        <v>0</v>
      </c>
      <c r="H31" s="1108">
        <v>0</v>
      </c>
      <c r="I31" s="1093">
        <f>G31+H31</f>
        <v>0</v>
      </c>
      <c r="J31" s="1093">
        <f>D31+H31</f>
        <v>0</v>
      </c>
      <c r="K31" s="847"/>
    </row>
    <row r="32" spans="1:11">
      <c r="A32" s="845"/>
      <c r="B32" s="847"/>
      <c r="C32" s="847"/>
      <c r="D32" s="883"/>
      <c r="E32" s="882"/>
      <c r="F32" s="847"/>
      <c r="G32" s="847"/>
      <c r="H32" s="847"/>
      <c r="I32" s="847"/>
      <c r="J32" s="847"/>
    </row>
    <row r="33" spans="1:10">
      <c r="A33" s="845">
        <f>A31+1</f>
        <v>19</v>
      </c>
      <c r="B33" s="1072" t="s">
        <v>914</v>
      </c>
      <c r="C33" s="847"/>
      <c r="D33" s="847"/>
      <c r="E33" s="882"/>
      <c r="F33" s="847"/>
      <c r="G33" s="847"/>
      <c r="H33" s="883"/>
      <c r="I33" s="883"/>
      <c r="J33" s="847"/>
    </row>
    <row r="34" spans="1:10">
      <c r="A34" s="845">
        <f>A33+1</f>
        <v>20</v>
      </c>
      <c r="B34" s="1073" t="s">
        <v>976</v>
      </c>
      <c r="C34" s="1074" t="s">
        <v>984</v>
      </c>
      <c r="D34" s="1075">
        <v>0</v>
      </c>
      <c r="E34" s="1076"/>
      <c r="F34" s="847"/>
      <c r="G34" s="847"/>
      <c r="H34" s="883"/>
      <c r="I34" s="883"/>
      <c r="J34" s="847"/>
    </row>
    <row r="35" spans="1:10">
      <c r="A35" s="845">
        <f t="shared" ref="A35:A38" si="3">A34+1</f>
        <v>21</v>
      </c>
      <c r="B35" s="1073" t="s">
        <v>978</v>
      </c>
      <c r="C35" s="1074" t="s">
        <v>979</v>
      </c>
      <c r="D35" s="1075">
        <v>0</v>
      </c>
      <c r="E35" s="1076"/>
      <c r="F35" s="847"/>
      <c r="G35" s="847"/>
      <c r="H35" s="883"/>
      <c r="I35" s="883"/>
      <c r="J35" s="847"/>
    </row>
    <row r="36" spans="1:10">
      <c r="A36" s="845">
        <f t="shared" si="3"/>
        <v>22</v>
      </c>
      <c r="B36" s="1110" t="s">
        <v>992</v>
      </c>
      <c r="C36" s="1111" t="s">
        <v>998</v>
      </c>
      <c r="D36" s="1075">
        <v>0</v>
      </c>
      <c r="E36" s="1076"/>
      <c r="F36" s="847"/>
      <c r="G36" s="847"/>
      <c r="H36" s="883"/>
      <c r="I36" s="883"/>
      <c r="J36" s="847"/>
    </row>
    <row r="37" spans="1:10" ht="13.5" thickBot="1">
      <c r="A37" s="845">
        <f t="shared" si="3"/>
        <v>23</v>
      </c>
      <c r="B37" s="1110" t="s">
        <v>999</v>
      </c>
      <c r="C37" s="1111" t="s">
        <v>979</v>
      </c>
      <c r="D37" s="1079">
        <v>0</v>
      </c>
      <c r="E37" s="1080"/>
      <c r="F37" s="1081"/>
      <c r="G37" s="847"/>
      <c r="H37" s="883"/>
      <c r="I37" s="883"/>
      <c r="J37" s="847"/>
    </row>
    <row r="38" spans="1:10">
      <c r="A38" s="845">
        <f t="shared" si="3"/>
        <v>24</v>
      </c>
      <c r="B38" s="1082" t="s">
        <v>985</v>
      </c>
      <c r="C38" s="1083" t="s">
        <v>980</v>
      </c>
      <c r="D38" s="1081">
        <f>-(D34-D35+D36+D37)</f>
        <v>0</v>
      </c>
      <c r="E38" s="1084"/>
      <c r="F38" s="1109">
        <v>0.50050050050050054</v>
      </c>
      <c r="G38" s="1080">
        <f>D38*F38</f>
        <v>0</v>
      </c>
      <c r="H38" s="1108">
        <v>0</v>
      </c>
      <c r="I38" s="1081">
        <f>G38+H38</f>
        <v>0</v>
      </c>
      <c r="J38" s="1081">
        <f>D38+H38</f>
        <v>0</v>
      </c>
    </row>
    <row r="39" spans="1:10">
      <c r="A39" s="845"/>
      <c r="B39" s="847"/>
      <c r="C39" s="847"/>
      <c r="D39" s="847"/>
      <c r="E39" s="882"/>
      <c r="F39" s="847"/>
      <c r="G39" s="847"/>
      <c r="H39" s="847"/>
      <c r="I39" s="847"/>
      <c r="J39" s="847"/>
    </row>
    <row r="40" spans="1:10" ht="13.5" thickBot="1">
      <c r="A40" s="845">
        <f>A38+1</f>
        <v>25</v>
      </c>
      <c r="B40" s="847" t="s">
        <v>13</v>
      </c>
      <c r="C40" s="847"/>
      <c r="D40" s="1085">
        <f t="shared" ref="D40" si="4">D17+D24+D31+D38</f>
        <v>0</v>
      </c>
      <c r="E40" s="882"/>
      <c r="F40" s="847"/>
      <c r="G40" s="1085">
        <f t="shared" ref="G40:I40" si="5">G17+G24+G31+G38</f>
        <v>0</v>
      </c>
      <c r="H40" s="1114">
        <f t="shared" si="5"/>
        <v>0</v>
      </c>
      <c r="I40" s="1085">
        <f t="shared" si="5"/>
        <v>0</v>
      </c>
      <c r="J40" s="1085">
        <f>J17+J24+J31+J38</f>
        <v>0</v>
      </c>
    </row>
    <row r="41" spans="1:10" ht="13.5" thickTop="1"/>
    <row r="42" spans="1:10">
      <c r="B42" s="847" t="s">
        <v>986</v>
      </c>
    </row>
    <row r="43" spans="1:10" ht="12.75" customHeight="1">
      <c r="B43" s="847" t="s">
        <v>987</v>
      </c>
    </row>
    <row r="44" spans="1:10">
      <c r="B44" s="847" t="s">
        <v>988</v>
      </c>
    </row>
  </sheetData>
  <mergeCells count="3">
    <mergeCell ref="A1:J1"/>
    <mergeCell ref="A2:J2"/>
    <mergeCell ref="A3:J3"/>
  </mergeCells>
  <pageMargins left="0.7" right="0.7" top="0.75" bottom="0.75" header="0.3" footer="0.3"/>
  <pageSetup scale="48"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4"/>
  <sheetViews>
    <sheetView view="pageBreakPreview" zoomScale="90" zoomScaleNormal="100" zoomScaleSheetLayoutView="90" workbookViewId="0">
      <selection activeCell="D92" sqref="D92"/>
    </sheetView>
  </sheetViews>
  <sheetFormatPr defaultColWidth="14" defaultRowHeight="13"/>
  <cols>
    <col min="1" max="1" width="5.84375" style="98" bestFit="1" customWidth="1"/>
    <col min="2" max="2" width="20.84375" style="308" customWidth="1"/>
    <col min="3" max="3" width="14.3046875" style="308" customWidth="1"/>
    <col min="4" max="4" width="14" style="308" customWidth="1"/>
    <col min="5" max="5" width="12.53515625" style="308" customWidth="1"/>
    <col min="6" max="6" width="13.3046875" style="308" customWidth="1"/>
    <col min="7" max="7" width="12.84375" style="308" customWidth="1"/>
    <col min="8" max="9" width="8.53515625" style="308" customWidth="1"/>
    <col min="10" max="10" width="13.69140625" style="308" bestFit="1" customWidth="1"/>
    <col min="11" max="11" width="12.53515625" style="308" bestFit="1" customWidth="1"/>
    <col min="12" max="12" width="11.07421875" style="308" bestFit="1" customWidth="1"/>
    <col min="13" max="13" width="12.84375" style="308" customWidth="1"/>
    <col min="14" max="14" width="14" style="308"/>
    <col min="15" max="15" width="10" style="308" bestFit="1" customWidth="1"/>
    <col min="16" max="16384" width="14" style="308"/>
  </cols>
  <sheetData>
    <row r="1" spans="1:15">
      <c r="A1" s="1265" t="s">
        <v>184</v>
      </c>
      <c r="B1" s="1265"/>
      <c r="C1" s="1265"/>
      <c r="D1" s="1265"/>
      <c r="E1" s="1265"/>
      <c r="F1" s="1265"/>
      <c r="G1" s="1265"/>
      <c r="H1" s="1265"/>
      <c r="I1" s="1265"/>
      <c r="J1" s="1265"/>
    </row>
    <row r="2" spans="1:15" ht="15" customHeight="1">
      <c r="A2" s="1291" t="s">
        <v>451</v>
      </c>
      <c r="B2" s="1291"/>
      <c r="C2" s="1291"/>
      <c r="D2" s="1291"/>
      <c r="E2" s="1291"/>
      <c r="F2" s="1291"/>
      <c r="G2" s="1291"/>
      <c r="H2" s="1291"/>
      <c r="I2" s="1291"/>
      <c r="J2" s="1291"/>
    </row>
    <row r="3" spans="1:15">
      <c r="A3" s="1267" t="str">
        <f>+'Attachment H-29A'!$D$5</f>
        <v>Transource Pennsylvania, LLC</v>
      </c>
      <c r="B3" s="1267"/>
      <c r="C3" s="1267"/>
      <c r="D3" s="1267"/>
      <c r="E3" s="1267"/>
      <c r="F3" s="1267"/>
      <c r="G3" s="1267"/>
      <c r="H3" s="1267"/>
      <c r="I3" s="1267"/>
      <c r="J3" s="1267"/>
      <c r="K3" s="511"/>
      <c r="L3" s="511"/>
      <c r="M3" s="511"/>
      <c r="N3" s="511"/>
    </row>
    <row r="4" spans="1:15">
      <c r="B4" s="509"/>
    </row>
    <row r="5" spans="1:15">
      <c r="A5" s="252"/>
      <c r="B5" s="26" t="s">
        <v>437</v>
      </c>
      <c r="C5" s="509"/>
      <c r="F5" s="509"/>
      <c r="G5" s="509"/>
      <c r="H5" s="509"/>
      <c r="I5" s="509"/>
      <c r="J5" s="509"/>
      <c r="K5" s="260"/>
      <c r="L5" s="509"/>
      <c r="N5" s="100"/>
      <c r="O5" s="100"/>
    </row>
    <row r="6" spans="1:15" ht="16" thickBot="1">
      <c r="A6" s="252"/>
      <c r="B6" s="26"/>
      <c r="C6" s="509"/>
      <c r="D6" s="261"/>
      <c r="E6" s="261"/>
      <c r="F6" s="378" t="s">
        <v>48</v>
      </c>
      <c r="G6" s="261"/>
      <c r="H6" s="261"/>
      <c r="I6" s="261"/>
      <c r="K6" s="260"/>
      <c r="L6" s="509"/>
      <c r="N6" s="100"/>
      <c r="O6" s="100"/>
    </row>
    <row r="7" spans="1:15" ht="15.5">
      <c r="A7" s="252">
        <v>1</v>
      </c>
      <c r="B7" s="26" t="s">
        <v>721</v>
      </c>
      <c r="C7" s="26"/>
      <c r="F7" s="312">
        <v>3260521.1999999997</v>
      </c>
      <c r="G7" s="261"/>
      <c r="H7" s="261"/>
      <c r="I7" s="261"/>
      <c r="N7" s="101"/>
      <c r="O7" s="101"/>
    </row>
    <row r="8" spans="1:15" ht="15.5">
      <c r="A8" s="252"/>
      <c r="B8" s="26"/>
      <c r="C8" s="26"/>
      <c r="F8" s="155"/>
      <c r="G8" s="261"/>
      <c r="H8" s="261"/>
      <c r="I8" s="261"/>
      <c r="N8" s="101"/>
      <c r="O8" s="101"/>
    </row>
    <row r="9" spans="1:15" ht="15.5">
      <c r="A9" s="252">
        <f>+A7+1</f>
        <v>2</v>
      </c>
      <c r="B9" s="26" t="s">
        <v>275</v>
      </c>
      <c r="C9" s="26"/>
      <c r="F9" s="1122">
        <v>0</v>
      </c>
      <c r="G9" s="261"/>
      <c r="H9" s="261"/>
      <c r="I9" s="262"/>
      <c r="N9" s="100"/>
      <c r="O9" s="100"/>
    </row>
    <row r="10" spans="1:15" ht="15.5">
      <c r="A10" s="252"/>
      <c r="B10" s="26"/>
      <c r="C10" s="26"/>
      <c r="F10" s="390"/>
      <c r="G10" s="261"/>
      <c r="H10" s="261"/>
      <c r="I10" s="261"/>
      <c r="N10" s="100"/>
      <c r="O10" s="100"/>
    </row>
    <row r="11" spans="1:15" ht="15.5">
      <c r="A11" s="252">
        <f>+A9+1</f>
        <v>3</v>
      </c>
      <c r="B11" s="105" t="s">
        <v>715</v>
      </c>
      <c r="C11" s="105"/>
      <c r="F11" s="155">
        <f>+E40</f>
        <v>51012645.005000003</v>
      </c>
      <c r="G11" s="261"/>
      <c r="H11" s="261"/>
      <c r="I11" s="261"/>
    </row>
    <row r="12" spans="1:15" ht="15.5">
      <c r="A12" s="252">
        <f t="shared" ref="A12:A22" si="0">+A11+1</f>
        <v>4</v>
      </c>
      <c r="B12" s="105" t="s">
        <v>825</v>
      </c>
      <c r="C12" s="105"/>
      <c r="F12" s="1172">
        <f>-D40</f>
        <v>0</v>
      </c>
      <c r="G12" s="261"/>
      <c r="H12" s="261"/>
      <c r="I12" s="261"/>
    </row>
    <row r="13" spans="1:15" ht="15.5">
      <c r="A13" s="252">
        <f t="shared" si="0"/>
        <v>5</v>
      </c>
      <c r="B13" s="105" t="s">
        <v>716</v>
      </c>
      <c r="C13" s="105"/>
      <c r="F13" s="1172">
        <f>-F40</f>
        <v>0</v>
      </c>
      <c r="G13" s="261"/>
      <c r="H13" s="261"/>
      <c r="I13" s="261"/>
    </row>
    <row r="14" spans="1:15" ht="16" thickBot="1">
      <c r="A14" s="252">
        <f t="shared" si="0"/>
        <v>6</v>
      </c>
      <c r="B14" s="105" t="s">
        <v>717</v>
      </c>
      <c r="C14" s="105"/>
      <c r="F14" s="1124">
        <f>-G40</f>
        <v>0</v>
      </c>
      <c r="G14" s="261"/>
      <c r="H14" s="261"/>
      <c r="I14" s="261"/>
    </row>
    <row r="15" spans="1:15" ht="15.5">
      <c r="A15" s="252">
        <f t="shared" si="0"/>
        <v>7</v>
      </c>
      <c r="B15" s="105" t="s">
        <v>277</v>
      </c>
      <c r="C15" s="32" t="s">
        <v>458</v>
      </c>
      <c r="F15" s="513">
        <f>+SUM(F11:F14)</f>
        <v>51012645.005000003</v>
      </c>
      <c r="G15" s="263"/>
      <c r="H15" s="264"/>
      <c r="I15" s="263"/>
    </row>
    <row r="16" spans="1:15">
      <c r="A16" s="252"/>
      <c r="B16" s="105"/>
      <c r="C16" s="475"/>
      <c r="J16" s="390"/>
    </row>
    <row r="17" spans="1:10">
      <c r="A17" s="252"/>
      <c r="B17" s="511"/>
      <c r="C17" s="475"/>
      <c r="F17" s="509"/>
      <c r="G17" s="509"/>
      <c r="I17" s="509"/>
      <c r="J17" s="509"/>
    </row>
    <row r="18" spans="1:10" ht="13.5" thickBot="1">
      <c r="A18" s="252"/>
      <c r="B18" s="511"/>
      <c r="C18" s="475"/>
      <c r="F18" s="31" t="s">
        <v>48</v>
      </c>
      <c r="G18" s="31" t="s">
        <v>58</v>
      </c>
      <c r="H18" s="31" t="s">
        <v>57</v>
      </c>
      <c r="I18" s="31" t="s">
        <v>59</v>
      </c>
      <c r="J18" s="509"/>
    </row>
    <row r="19" spans="1:10">
      <c r="A19" s="252">
        <f>+A15+1</f>
        <v>8</v>
      </c>
      <c r="B19" s="105" t="s">
        <v>227</v>
      </c>
      <c r="C19" s="32" t="s">
        <v>760</v>
      </c>
      <c r="F19" s="190">
        <f>+C40</f>
        <v>51507692.307692304</v>
      </c>
      <c r="G19" s="274">
        <f>1-G21</f>
        <v>0.50241438584610965</v>
      </c>
      <c r="H19" s="354">
        <f>'9- Cost of Debt True-up'!D35</f>
        <v>6.5704584080047784E-2</v>
      </c>
      <c r="I19" s="207">
        <f>G19*H19</f>
        <v>3.3010928257851284E-2</v>
      </c>
      <c r="J19" s="189" t="s">
        <v>60</v>
      </c>
    </row>
    <row r="20" spans="1:10">
      <c r="A20" s="252">
        <f t="shared" si="0"/>
        <v>9</v>
      </c>
      <c r="B20" s="105" t="s">
        <v>455</v>
      </c>
      <c r="C20" s="32" t="s">
        <v>761</v>
      </c>
      <c r="F20" s="190">
        <f>+D40</f>
        <v>0</v>
      </c>
      <c r="G20" s="274">
        <v>0</v>
      </c>
      <c r="H20" s="354">
        <f>IFERROR(+F9/F20,0)</f>
        <v>0</v>
      </c>
      <c r="I20" s="207">
        <f>G20*H20</f>
        <v>0</v>
      </c>
      <c r="J20" s="509"/>
    </row>
    <row r="21" spans="1:10" ht="13.5" thickBot="1">
      <c r="A21" s="252">
        <f t="shared" si="0"/>
        <v>10</v>
      </c>
      <c r="B21" s="26" t="s">
        <v>262</v>
      </c>
      <c r="C21" s="34" t="s">
        <v>762</v>
      </c>
      <c r="F21" s="270">
        <f>+F15</f>
        <v>51012645.005000003</v>
      </c>
      <c r="G21" s="274">
        <f>IF(F21/F22&gt;50%,50%,F21/F22)</f>
        <v>0.4975856141538903</v>
      </c>
      <c r="H21" s="354">
        <f>+'Attachment H-29A'!G205</f>
        <v>0.10400000000000001</v>
      </c>
      <c r="I21" s="319">
        <f>G21*H21</f>
        <v>5.1748903872004592E-2</v>
      </c>
      <c r="J21" s="509"/>
    </row>
    <row r="22" spans="1:10">
      <c r="A22" s="252">
        <f t="shared" si="0"/>
        <v>11</v>
      </c>
      <c r="B22" s="510" t="s">
        <v>220</v>
      </c>
      <c r="C22" s="34" t="s">
        <v>457</v>
      </c>
      <c r="F22" s="190">
        <f>SUM(F19:F21)</f>
        <v>102520337.31269231</v>
      </c>
      <c r="G22" s="509" t="s">
        <v>2</v>
      </c>
      <c r="H22" s="475"/>
      <c r="I22" s="207">
        <f>SUM(I19:I21)</f>
        <v>8.4759832129855883E-2</v>
      </c>
      <c r="J22" s="189" t="s">
        <v>61</v>
      </c>
    </row>
    <row r="23" spans="1:10">
      <c r="A23" s="252"/>
    </row>
    <row r="24" spans="1:10">
      <c r="A24" s="245"/>
    </row>
    <row r="25" spans="1:10">
      <c r="C25" s="210" t="s">
        <v>190</v>
      </c>
      <c r="D25" s="210" t="s">
        <v>191</v>
      </c>
      <c r="E25" s="363" t="s">
        <v>450</v>
      </c>
      <c r="F25" s="210" t="s">
        <v>193</v>
      </c>
      <c r="G25" s="210" t="s">
        <v>195</v>
      </c>
    </row>
    <row r="26" spans="1:10" ht="45.75" customHeight="1">
      <c r="A26" s="355"/>
      <c r="B26" s="357" t="s">
        <v>446</v>
      </c>
      <c r="C26" s="362" t="s">
        <v>726</v>
      </c>
      <c r="D26" s="758" t="s">
        <v>706</v>
      </c>
      <c r="E26" s="362" t="s">
        <v>276</v>
      </c>
      <c r="F26" s="346" t="s">
        <v>453</v>
      </c>
      <c r="G26" s="346" t="s">
        <v>454</v>
      </c>
    </row>
    <row r="27" spans="1:10">
      <c r="A27" s="356">
        <f>+A22+1</f>
        <v>12</v>
      </c>
      <c r="B27" s="358" t="s">
        <v>447</v>
      </c>
      <c r="C27" s="826">
        <v>47200000</v>
      </c>
      <c r="D27" s="1173">
        <v>0</v>
      </c>
      <c r="E27" s="826">
        <v>45987223.285000004</v>
      </c>
      <c r="F27" s="1173">
        <v>0</v>
      </c>
      <c r="G27" s="1173">
        <v>0</v>
      </c>
    </row>
    <row r="28" spans="1:10">
      <c r="A28" s="356">
        <f>+A27+1</f>
        <v>13</v>
      </c>
      <c r="B28" s="359" t="s">
        <v>85</v>
      </c>
      <c r="C28" s="826">
        <v>47200000</v>
      </c>
      <c r="D28" s="1173">
        <v>0</v>
      </c>
      <c r="E28" s="826">
        <v>46382022.065000005</v>
      </c>
      <c r="F28" s="1173">
        <v>0</v>
      </c>
      <c r="G28" s="1173">
        <v>0</v>
      </c>
    </row>
    <row r="29" spans="1:10">
      <c r="A29" s="356">
        <f t="shared" ref="A29:A40" si="1">+A28+1</f>
        <v>14</v>
      </c>
      <c r="B29" s="360" t="s">
        <v>84</v>
      </c>
      <c r="C29" s="826">
        <v>47200000</v>
      </c>
      <c r="D29" s="1173">
        <v>0</v>
      </c>
      <c r="E29" s="826">
        <v>46795495.195000023</v>
      </c>
      <c r="F29" s="1173">
        <v>0</v>
      </c>
      <c r="G29" s="1173">
        <v>0</v>
      </c>
    </row>
    <row r="30" spans="1:10">
      <c r="A30" s="356">
        <f t="shared" si="1"/>
        <v>15</v>
      </c>
      <c r="B30" s="360" t="s">
        <v>83</v>
      </c>
      <c r="C30" s="826">
        <v>47200000</v>
      </c>
      <c r="D30" s="1173">
        <v>0</v>
      </c>
      <c r="E30" s="826">
        <v>47291096.314999998</v>
      </c>
      <c r="F30" s="1173">
        <v>0</v>
      </c>
      <c r="G30" s="1173">
        <v>0</v>
      </c>
    </row>
    <row r="31" spans="1:10">
      <c r="A31" s="356">
        <f t="shared" si="1"/>
        <v>16</v>
      </c>
      <c r="B31" s="359" t="s">
        <v>76</v>
      </c>
      <c r="C31" s="826">
        <v>47200000</v>
      </c>
      <c r="D31" s="1173">
        <v>0</v>
      </c>
      <c r="E31" s="826">
        <v>48032532.215000004</v>
      </c>
      <c r="F31" s="1173">
        <v>0</v>
      </c>
      <c r="G31" s="1173">
        <v>0</v>
      </c>
    </row>
    <row r="32" spans="1:10">
      <c r="A32" s="356">
        <f t="shared" si="1"/>
        <v>17</v>
      </c>
      <c r="B32" s="360" t="s">
        <v>75</v>
      </c>
      <c r="C32" s="826">
        <v>47200000</v>
      </c>
      <c r="D32" s="1173">
        <v>0</v>
      </c>
      <c r="E32" s="826">
        <v>48426543.225000009</v>
      </c>
      <c r="F32" s="1173">
        <v>0</v>
      </c>
      <c r="G32" s="1173">
        <v>0</v>
      </c>
    </row>
    <row r="33" spans="1:13">
      <c r="A33" s="356">
        <f t="shared" si="1"/>
        <v>18</v>
      </c>
      <c r="B33" s="360" t="s">
        <v>448</v>
      </c>
      <c r="C33" s="826">
        <v>51200000</v>
      </c>
      <c r="D33" s="1173">
        <v>0</v>
      </c>
      <c r="E33" s="826">
        <v>48623720.984999999</v>
      </c>
      <c r="F33" s="1173">
        <v>0</v>
      </c>
      <c r="G33" s="1173">
        <v>0</v>
      </c>
    </row>
    <row r="34" spans="1:13">
      <c r="A34" s="356">
        <f t="shared" si="1"/>
        <v>19</v>
      </c>
      <c r="B34" s="359" t="s">
        <v>82</v>
      </c>
      <c r="C34" s="826">
        <v>51200000</v>
      </c>
      <c r="D34" s="1173">
        <v>0</v>
      </c>
      <c r="E34" s="826">
        <v>49057081.175000004</v>
      </c>
      <c r="F34" s="1173">
        <v>0</v>
      </c>
      <c r="G34" s="1173">
        <v>0</v>
      </c>
    </row>
    <row r="35" spans="1:13">
      <c r="A35" s="356">
        <f t="shared" si="1"/>
        <v>20</v>
      </c>
      <c r="B35" s="360" t="s">
        <v>81</v>
      </c>
      <c r="C35" s="826">
        <v>51200000</v>
      </c>
      <c r="D35" s="1173">
        <v>0</v>
      </c>
      <c r="E35" s="826">
        <v>54518862.885000005</v>
      </c>
      <c r="F35" s="1173">
        <v>0</v>
      </c>
      <c r="G35" s="1173">
        <v>0</v>
      </c>
    </row>
    <row r="36" spans="1:13">
      <c r="A36" s="356">
        <f t="shared" si="1"/>
        <v>21</v>
      </c>
      <c r="B36" s="360" t="s">
        <v>80</v>
      </c>
      <c r="C36" s="826">
        <v>56700000</v>
      </c>
      <c r="D36" s="1173">
        <v>0</v>
      </c>
      <c r="E36" s="826">
        <v>54929829.164999984</v>
      </c>
      <c r="F36" s="1173">
        <v>0</v>
      </c>
      <c r="G36" s="1173">
        <v>0</v>
      </c>
    </row>
    <row r="37" spans="1:13">
      <c r="A37" s="356">
        <f t="shared" si="1"/>
        <v>22</v>
      </c>
      <c r="B37" s="359" t="s">
        <v>449</v>
      </c>
      <c r="C37" s="826">
        <v>56700000</v>
      </c>
      <c r="D37" s="1173">
        <v>0</v>
      </c>
      <c r="E37" s="826">
        <v>55470968.705000006</v>
      </c>
      <c r="F37" s="1173">
        <v>0</v>
      </c>
      <c r="G37" s="1173">
        <v>0</v>
      </c>
    </row>
    <row r="38" spans="1:13">
      <c r="A38" s="356">
        <f t="shared" si="1"/>
        <v>23</v>
      </c>
      <c r="B38" s="359" t="s">
        <v>79</v>
      </c>
      <c r="C38" s="826">
        <v>59200000</v>
      </c>
      <c r="D38" s="1173">
        <v>0</v>
      </c>
      <c r="E38" s="826">
        <v>58005371.284999996</v>
      </c>
      <c r="F38" s="1173">
        <v>0</v>
      </c>
      <c r="G38" s="1173">
        <v>0</v>
      </c>
    </row>
    <row r="39" spans="1:13">
      <c r="A39" s="356">
        <f t="shared" si="1"/>
        <v>24</v>
      </c>
      <c r="B39" s="360" t="s">
        <v>78</v>
      </c>
      <c r="C39" s="826">
        <v>60200000</v>
      </c>
      <c r="D39" s="1174">
        <v>0</v>
      </c>
      <c r="E39" s="826">
        <v>59643638.564999998</v>
      </c>
      <c r="F39" s="1173">
        <v>0</v>
      </c>
      <c r="G39" s="1173">
        <v>0</v>
      </c>
    </row>
    <row r="40" spans="1:13">
      <c r="A40" s="356">
        <f t="shared" si="1"/>
        <v>25</v>
      </c>
      <c r="B40" s="361" t="s">
        <v>566</v>
      </c>
      <c r="C40" s="553">
        <f>+SUM(C27:C39)/13</f>
        <v>51507692.307692304</v>
      </c>
      <c r="D40" s="1175">
        <f>+SUM(D27:D39)/13</f>
        <v>0</v>
      </c>
      <c r="E40" s="553">
        <f>+SUM(E27:E39)/13</f>
        <v>51012645.005000003</v>
      </c>
      <c r="F40" s="1161">
        <f>+SUM(F27:F39)/13</f>
        <v>0</v>
      </c>
      <c r="G40" s="1161">
        <f>+SUM(G27:G39)/13</f>
        <v>0</v>
      </c>
    </row>
    <row r="41" spans="1:13">
      <c r="C41" s="1090"/>
    </row>
    <row r="42" spans="1:13">
      <c r="A42" s="620" t="s">
        <v>523</v>
      </c>
    </row>
    <row r="43" spans="1:13" ht="15" customHeight="1">
      <c r="A43" s="253" t="s">
        <v>62</v>
      </c>
      <c r="B43" s="1253" t="s">
        <v>456</v>
      </c>
      <c r="C43" s="1253"/>
      <c r="D43" s="1253"/>
      <c r="E43" s="1253"/>
      <c r="F43" s="1253"/>
      <c r="G43" s="1253"/>
      <c r="H43" s="1253"/>
      <c r="I43" s="1253"/>
    </row>
    <row r="44" spans="1:13" s="533" customFormat="1">
      <c r="B44" s="1253"/>
      <c r="C44" s="1253"/>
      <c r="D44" s="1253"/>
      <c r="E44" s="1253"/>
      <c r="F44" s="1253"/>
      <c r="G44" s="1253"/>
      <c r="H44" s="1253"/>
      <c r="I44" s="1253"/>
    </row>
    <row r="45" spans="1:13" s="533" customFormat="1">
      <c r="A45" s="253" t="s">
        <v>63</v>
      </c>
      <c r="B45" s="533" t="s">
        <v>376</v>
      </c>
    </row>
    <row r="46" spans="1:13" s="533" customFormat="1">
      <c r="A46" s="253" t="s">
        <v>64</v>
      </c>
      <c r="B46" s="533" t="s">
        <v>459</v>
      </c>
    </row>
    <row r="47" spans="1:13" s="533" customFormat="1" ht="39.75" customHeight="1">
      <c r="A47" s="311" t="s">
        <v>65</v>
      </c>
      <c r="B47" s="1239" t="s">
        <v>813</v>
      </c>
      <c r="C47" s="1239"/>
      <c r="D47" s="1239"/>
      <c r="E47" s="1239"/>
      <c r="F47" s="1239"/>
      <c r="G47" s="1239"/>
      <c r="H47" s="1239"/>
      <c r="I47" s="1239"/>
      <c r="J47" s="803"/>
      <c r="K47" s="803"/>
      <c r="L47" s="803"/>
      <c r="M47" s="757"/>
    </row>
    <row r="48" spans="1:13" s="533" customFormat="1">
      <c r="A48" s="311"/>
      <c r="B48" s="621"/>
      <c r="C48" s="621"/>
      <c r="D48" s="621"/>
      <c r="E48" s="621"/>
      <c r="F48" s="621"/>
      <c r="G48" s="621"/>
      <c r="H48" s="621"/>
      <c r="I48" s="621"/>
      <c r="J48" s="621"/>
      <c r="K48" s="621"/>
      <c r="L48" s="621"/>
      <c r="M48" s="621"/>
    </row>
    <row r="49" spans="1:13" s="533" customFormat="1">
      <c r="A49" s="311"/>
      <c r="B49" s="621"/>
      <c r="C49" s="621"/>
      <c r="D49" s="621"/>
      <c r="E49" s="621"/>
      <c r="F49" s="621"/>
      <c r="G49" s="621"/>
      <c r="H49" s="621"/>
      <c r="I49" s="621"/>
      <c r="J49" s="621"/>
      <c r="K49" s="621"/>
      <c r="L49" s="621"/>
      <c r="M49" s="621"/>
    </row>
    <row r="50" spans="1:13" s="533" customFormat="1">
      <c r="A50" s="311"/>
      <c r="B50" s="621"/>
      <c r="C50" s="621"/>
      <c r="D50" s="621"/>
      <c r="E50" s="621"/>
      <c r="F50" s="621"/>
      <c r="G50" s="621"/>
      <c r="H50" s="621"/>
      <c r="I50" s="621"/>
      <c r="J50" s="621"/>
      <c r="K50" s="621"/>
      <c r="L50" s="621"/>
      <c r="M50" s="621"/>
    </row>
    <row r="51" spans="1:13" s="533" customFormat="1">
      <c r="A51" s="311"/>
      <c r="B51" s="621"/>
      <c r="C51" s="621"/>
      <c r="D51" s="621"/>
      <c r="E51" s="621"/>
      <c r="F51" s="621"/>
      <c r="G51" s="621"/>
      <c r="H51" s="621"/>
      <c r="I51" s="621"/>
      <c r="J51" s="621"/>
      <c r="K51" s="621"/>
      <c r="L51" s="621"/>
      <c r="M51" s="621"/>
    </row>
    <row r="52" spans="1:13" s="533" customFormat="1">
      <c r="A52" s="311"/>
      <c r="B52" s="621"/>
      <c r="C52" s="621"/>
      <c r="D52" s="621"/>
      <c r="E52" s="621"/>
      <c r="F52" s="621"/>
      <c r="G52" s="621"/>
      <c r="H52" s="621"/>
      <c r="I52" s="621"/>
      <c r="J52" s="621"/>
      <c r="K52" s="621"/>
      <c r="L52" s="621"/>
      <c r="M52" s="621"/>
    </row>
    <row r="53" spans="1:13" s="533" customFormat="1">
      <c r="A53" s="311"/>
      <c r="B53" s="621"/>
      <c r="C53" s="621"/>
      <c r="D53" s="621"/>
      <c r="E53" s="621"/>
      <c r="F53" s="621"/>
      <c r="G53" s="621"/>
      <c r="H53" s="621"/>
      <c r="I53" s="621"/>
      <c r="J53" s="621"/>
      <c r="K53" s="621"/>
      <c r="L53" s="621"/>
      <c r="M53" s="621"/>
    </row>
    <row r="54" spans="1:13" s="533" customFormat="1">
      <c r="A54" s="311"/>
      <c r="B54" s="621"/>
      <c r="C54" s="621"/>
      <c r="D54" s="621"/>
      <c r="E54" s="621"/>
      <c r="F54" s="621"/>
      <c r="G54" s="621"/>
      <c r="H54" s="621"/>
      <c r="I54" s="621"/>
      <c r="J54" s="621"/>
      <c r="K54" s="621"/>
      <c r="L54" s="621"/>
      <c r="M54" s="621"/>
    </row>
  </sheetData>
  <customSheetViews>
    <customSheetView guid="{F04A2B9A-C6FE-4FEB-AD1E-2CF9AC309BE4}" fitToPage="1">
      <selection activeCell="G20" sqref="G20"/>
      <pageMargins left="0.7" right="0.7"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5" orientation="landscape" r:id="rId4"/>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3"/>
  <sheetViews>
    <sheetView view="pageBreakPreview" zoomScale="80" zoomScaleNormal="80" zoomScaleSheetLayoutView="80" workbookViewId="0">
      <selection activeCell="D9" sqref="D9"/>
    </sheetView>
  </sheetViews>
  <sheetFormatPr defaultColWidth="8.84375" defaultRowHeight="15.5"/>
  <cols>
    <col min="1" max="1" width="21.84375" style="578" customWidth="1"/>
    <col min="2" max="2" width="26.3046875" style="578" customWidth="1"/>
    <col min="3" max="3" width="2.3046875" style="578" customWidth="1"/>
    <col min="4" max="4" width="18.84375" style="578" customWidth="1"/>
    <col min="5" max="5" width="1.84375" style="578" customWidth="1"/>
    <col min="6" max="6" width="18.69140625" style="578" customWidth="1"/>
    <col min="7" max="7" width="12.84375" style="578" customWidth="1"/>
    <col min="8" max="8" width="15" style="578" customWidth="1"/>
    <col min="9" max="9" width="15.84375" style="578" customWidth="1"/>
    <col min="10" max="10" width="1.4609375" style="578" customWidth="1"/>
    <col min="11" max="11" width="22.07421875" style="578" bestFit="1" customWidth="1"/>
    <col min="12" max="12" width="8.84375" style="578"/>
    <col min="13" max="13" width="8.4609375" style="578" bestFit="1" customWidth="1"/>
    <col min="14" max="16384" width="8.84375" style="578"/>
  </cols>
  <sheetData>
    <row r="1" spans="1:11" s="576" customFormat="1">
      <c r="A1" s="1265" t="s">
        <v>185</v>
      </c>
      <c r="B1" s="1265"/>
      <c r="C1" s="1265"/>
      <c r="D1" s="1265"/>
      <c r="E1" s="1265"/>
      <c r="F1" s="1265"/>
      <c r="G1" s="1265"/>
      <c r="H1" s="1265"/>
      <c r="I1" s="1265"/>
      <c r="J1" s="1265"/>
      <c r="K1" s="1265"/>
    </row>
    <row r="2" spans="1:11" s="576" customFormat="1">
      <c r="A2" s="1266" t="s">
        <v>619</v>
      </c>
      <c r="B2" s="1266"/>
      <c r="C2" s="1266"/>
      <c r="D2" s="1266"/>
      <c r="E2" s="1266"/>
      <c r="F2" s="1266"/>
      <c r="G2" s="1266"/>
      <c r="H2" s="1266"/>
      <c r="I2" s="1266"/>
      <c r="J2" s="1266"/>
      <c r="K2" s="1266"/>
    </row>
    <row r="3" spans="1:11" s="576" customFormat="1" ht="18" customHeight="1">
      <c r="A3" s="1267" t="str">
        <f>+'Attachment H-29A'!D5</f>
        <v>Transource Pennsylvania, LLC</v>
      </c>
      <c r="B3" s="1267"/>
      <c r="C3" s="1267"/>
      <c r="D3" s="1267"/>
      <c r="E3" s="1267"/>
      <c r="F3" s="1267"/>
      <c r="G3" s="1267"/>
      <c r="H3" s="1267"/>
      <c r="I3" s="1267"/>
      <c r="J3" s="1267"/>
      <c r="K3" s="1267"/>
    </row>
    <row r="4" spans="1:11">
      <c r="A4" s="577"/>
      <c r="B4" s="577"/>
      <c r="C4" s="577"/>
      <c r="D4" s="577"/>
      <c r="E4" s="577"/>
      <c r="F4" s="577"/>
      <c r="G4" s="577"/>
      <c r="H4" s="577"/>
      <c r="I4" s="577"/>
      <c r="J4" s="577"/>
      <c r="K4" s="577"/>
    </row>
    <row r="5" spans="1:11">
      <c r="A5" s="577"/>
      <c r="B5" s="577"/>
      <c r="C5" s="577"/>
      <c r="D5" s="577"/>
      <c r="E5" s="577"/>
      <c r="F5" s="577"/>
      <c r="G5" s="577"/>
      <c r="H5" s="577"/>
      <c r="I5" s="577"/>
      <c r="J5" s="577"/>
      <c r="K5" s="577"/>
    </row>
    <row r="6" spans="1:11" s="532" customFormat="1" ht="13.5" thickBot="1">
      <c r="A6" s="587">
        <v>2024</v>
      </c>
      <c r="B6" s="588"/>
      <c r="C6" s="588"/>
      <c r="D6" s="746">
        <f>+A6</f>
        <v>2024</v>
      </c>
      <c r="E6" s="589"/>
      <c r="F6" s="589"/>
      <c r="G6" s="589"/>
      <c r="H6" s="589"/>
      <c r="J6" s="589"/>
      <c r="K6" s="589"/>
    </row>
    <row r="7" spans="1:11" s="532" customFormat="1" ht="26">
      <c r="A7" s="590" t="s">
        <v>693</v>
      </c>
      <c r="B7" s="589"/>
      <c r="C7" s="589"/>
      <c r="D7" s="590" t="s">
        <v>692</v>
      </c>
      <c r="E7" s="589"/>
      <c r="F7" s="589"/>
      <c r="G7" s="590" t="s">
        <v>602</v>
      </c>
      <c r="J7" s="589"/>
      <c r="K7" s="589"/>
    </row>
    <row r="8" spans="1:11" s="532" customFormat="1" ht="13">
      <c r="A8" s="591"/>
      <c r="B8" s="589"/>
      <c r="C8" s="589"/>
      <c r="D8" s="591"/>
      <c r="E8" s="589"/>
      <c r="F8" s="589"/>
      <c r="G8" s="592"/>
      <c r="J8" s="589"/>
      <c r="K8" s="589"/>
    </row>
    <row r="9" spans="1:11" s="532" customFormat="1" ht="13.5" thickBot="1">
      <c r="A9" s="743">
        <v>10192166.75272483</v>
      </c>
      <c r="B9" s="594" t="s">
        <v>603</v>
      </c>
      <c r="C9" s="595"/>
      <c r="D9" s="593">
        <f>'3-Project True-up'!H29</f>
        <v>11342570.188434316</v>
      </c>
      <c r="E9" s="596"/>
      <c r="F9" s="594" t="s">
        <v>604</v>
      </c>
      <c r="G9" s="597">
        <f>IF(D9=0,0,A9-D9)</f>
        <v>-1150403.4357094858</v>
      </c>
      <c r="J9" s="589"/>
      <c r="K9" s="589"/>
    </row>
    <row r="10" spans="1:11" s="532" customFormat="1" ht="13">
      <c r="A10" s="596"/>
      <c r="B10" s="595"/>
      <c r="C10" s="595"/>
      <c r="D10" s="596"/>
      <c r="E10" s="596"/>
      <c r="F10" s="595"/>
      <c r="G10" s="596"/>
      <c r="H10" s="589"/>
      <c r="I10" s="589"/>
      <c r="J10" s="589"/>
      <c r="K10" s="589"/>
    </row>
    <row r="11" spans="1:11" s="532" customFormat="1" ht="13">
      <c r="A11" s="596" t="s">
        <v>763</v>
      </c>
      <c r="B11" s="595"/>
      <c r="C11" s="595"/>
      <c r="D11" s="596"/>
      <c r="E11" s="596"/>
      <c r="F11" s="595"/>
      <c r="G11" s="596"/>
      <c r="H11" s="589"/>
      <c r="I11" s="589"/>
      <c r="J11" s="589"/>
      <c r="K11" s="589"/>
    </row>
    <row r="12" spans="1:11" s="532" customFormat="1" ht="13">
      <c r="A12" s="596" t="s">
        <v>764</v>
      </c>
      <c r="B12" s="595"/>
      <c r="C12" s="595"/>
      <c r="D12" s="596"/>
      <c r="E12" s="596"/>
      <c r="F12" s="595"/>
      <c r="G12" s="596"/>
      <c r="H12" s="589"/>
      <c r="I12" s="589"/>
      <c r="J12" s="589"/>
      <c r="K12" s="589"/>
    </row>
    <row r="13" spans="1:11" s="532" customFormat="1" ht="13">
      <c r="A13" s="596"/>
      <c r="B13" s="595"/>
      <c r="C13" s="595"/>
      <c r="D13" s="596"/>
      <c r="E13" s="596"/>
      <c r="F13" s="595"/>
      <c r="G13" s="596"/>
      <c r="H13" s="589"/>
      <c r="I13" s="589"/>
      <c r="J13" s="589"/>
      <c r="K13" s="589"/>
    </row>
    <row r="14" spans="1:11" s="532" customFormat="1" ht="13.5" thickBot="1">
      <c r="A14" s="598"/>
      <c r="B14" s="599"/>
      <c r="C14" s="599"/>
      <c r="D14" s="598"/>
      <c r="E14" s="598"/>
      <c r="F14" s="599"/>
      <c r="G14" s="598"/>
      <c r="H14" s="600"/>
      <c r="I14" s="600"/>
      <c r="J14" s="600"/>
      <c r="K14" s="600"/>
    </row>
    <row r="15" spans="1:11" s="532" customFormat="1" ht="8.25" customHeight="1">
      <c r="A15" s="601"/>
      <c r="B15" s="595"/>
      <c r="C15" s="595"/>
      <c r="D15" s="596"/>
      <c r="E15" s="596"/>
      <c r="F15" s="595"/>
      <c r="G15" s="596"/>
      <c r="H15" s="589"/>
      <c r="I15" s="589"/>
      <c r="J15" s="589"/>
      <c r="K15" s="589"/>
    </row>
    <row r="16" spans="1:11" s="532" customFormat="1" ht="53.25" customHeight="1">
      <c r="A16" s="602" t="s">
        <v>605</v>
      </c>
      <c r="B16" s="595"/>
      <c r="C16" s="595"/>
      <c r="D16" s="603" t="s">
        <v>606</v>
      </c>
      <c r="E16" s="596"/>
      <c r="F16" s="603" t="s">
        <v>675</v>
      </c>
      <c r="G16" s="594" t="s">
        <v>607</v>
      </c>
      <c r="H16" s="604" t="s">
        <v>608</v>
      </c>
      <c r="I16" s="603" t="s">
        <v>609</v>
      </c>
      <c r="J16" s="605"/>
      <c r="K16" s="603" t="s">
        <v>610</v>
      </c>
    </row>
    <row r="17" spans="1:11" s="532" customFormat="1" ht="13">
      <c r="A17" s="602"/>
      <c r="B17" s="595"/>
      <c r="C17" s="595"/>
      <c r="D17" s="589"/>
      <c r="E17" s="606"/>
      <c r="F17" s="607">
        <f>+'6a - True-up Interest Rate'!E33</f>
        <v>6.8237499999999974E-3</v>
      </c>
      <c r="G17" s="596"/>
      <c r="H17" s="589"/>
      <c r="I17" s="589"/>
      <c r="J17" s="589"/>
      <c r="K17" s="589"/>
    </row>
    <row r="18" spans="1:11" s="532" customFormat="1" ht="13">
      <c r="A18" s="602"/>
      <c r="B18" s="595"/>
      <c r="C18" s="595"/>
      <c r="D18" s="589"/>
      <c r="E18" s="606"/>
      <c r="F18" s="606"/>
      <c r="G18" s="596"/>
      <c r="H18" s="589"/>
      <c r="I18" s="589"/>
      <c r="J18" s="589"/>
      <c r="K18" s="589"/>
    </row>
    <row r="19" spans="1:11" s="532" customFormat="1" ht="13">
      <c r="A19" s="602" t="s">
        <v>611</v>
      </c>
      <c r="B19" s="595"/>
      <c r="C19" s="595"/>
      <c r="D19" s="589"/>
      <c r="E19" s="606"/>
      <c r="F19" s="606"/>
      <c r="G19" s="596"/>
      <c r="H19" s="589"/>
      <c r="I19" s="589"/>
      <c r="J19" s="589"/>
      <c r="K19" s="589"/>
    </row>
    <row r="20" spans="1:11" s="532" customFormat="1" ht="13">
      <c r="A20" s="608" t="s">
        <v>2</v>
      </c>
      <c r="B20" s="595"/>
      <c r="C20" s="595"/>
      <c r="D20" s="595"/>
      <c r="E20" s="595"/>
      <c r="F20" s="595" t="s">
        <v>2</v>
      </c>
      <c r="G20" s="589"/>
      <c r="H20" s="589"/>
      <c r="I20" s="589"/>
      <c r="J20" s="589"/>
      <c r="K20" s="589"/>
    </row>
    <row r="21" spans="1:11" s="532" customFormat="1" ht="13">
      <c r="A21" s="609"/>
      <c r="B21" s="595"/>
      <c r="C21" s="595"/>
      <c r="D21" s="595"/>
      <c r="E21" s="595"/>
      <c r="F21" s="589"/>
      <c r="G21" s="589"/>
      <c r="H21" s="594"/>
      <c r="I21" s="595"/>
      <c r="J21" s="595"/>
      <c r="K21" s="595"/>
    </row>
    <row r="22" spans="1:11" s="532" customFormat="1" ht="13">
      <c r="A22" s="609" t="s">
        <v>612</v>
      </c>
      <c r="B22" s="595"/>
      <c r="C22" s="595"/>
      <c r="D22" s="595"/>
      <c r="E22" s="595"/>
      <c r="F22" s="589"/>
      <c r="G22" s="589"/>
      <c r="H22" s="594" t="s">
        <v>613</v>
      </c>
      <c r="I22" s="595"/>
      <c r="J22" s="595"/>
      <c r="K22" s="595"/>
    </row>
    <row r="23" spans="1:11" s="532" customFormat="1" ht="13">
      <c r="A23" s="589" t="s">
        <v>85</v>
      </c>
      <c r="B23" s="610" t="str">
        <f>"Year "&amp;A6</f>
        <v>Year 2024</v>
      </c>
      <c r="C23" s="589"/>
      <c r="D23" s="777">
        <f>+G9/12</f>
        <v>-95866.952975790482</v>
      </c>
      <c r="E23" s="611"/>
      <c r="F23" s="612">
        <f>+F17</f>
        <v>6.8237499999999974E-3</v>
      </c>
      <c r="G23" s="611">
        <v>12</v>
      </c>
      <c r="H23" s="777">
        <f>F23*D23*G23*-1</f>
        <v>7850.0654444226002</v>
      </c>
      <c r="I23" s="777"/>
      <c r="J23" s="777"/>
      <c r="K23" s="777">
        <f>(-H23+D23)*-1</f>
        <v>103717.01842021308</v>
      </c>
    </row>
    <row r="24" spans="1:11" s="532" customFormat="1" ht="13">
      <c r="A24" s="589" t="s">
        <v>84</v>
      </c>
      <c r="B24" s="610" t="str">
        <f>+B23</f>
        <v>Year 2024</v>
      </c>
      <c r="C24" s="589"/>
      <c r="D24" s="777">
        <f>+D23</f>
        <v>-95866.952975790482</v>
      </c>
      <c r="E24" s="611"/>
      <c r="F24" s="612">
        <f>+F23</f>
        <v>6.8237499999999974E-3</v>
      </c>
      <c r="G24" s="350">
        <f t="shared" ref="G24:G34" si="0">+G23-1</f>
        <v>11</v>
      </c>
      <c r="H24" s="777">
        <f t="shared" ref="H24:H34" si="1">F24*D24*G24*-1</f>
        <v>7195.8933240540509</v>
      </c>
      <c r="I24" s="777"/>
      <c r="J24" s="777"/>
      <c r="K24" s="777">
        <f t="shared" ref="K24:K34" si="2">(-H24+D24)*-1</f>
        <v>103062.84629984453</v>
      </c>
    </row>
    <row r="25" spans="1:11" s="532" customFormat="1" ht="13">
      <c r="A25" s="589" t="s">
        <v>83</v>
      </c>
      <c r="B25" s="610" t="str">
        <f t="shared" ref="B25:B34" si="3">+B24</f>
        <v>Year 2024</v>
      </c>
      <c r="C25" s="589"/>
      <c r="D25" s="777">
        <f t="shared" ref="D25:D34" si="4">+D24</f>
        <v>-95866.952975790482</v>
      </c>
      <c r="E25" s="611"/>
      <c r="F25" s="612">
        <f t="shared" ref="F25:F34" si="5">+F24</f>
        <v>6.8237499999999974E-3</v>
      </c>
      <c r="G25" s="350">
        <f t="shared" si="0"/>
        <v>10</v>
      </c>
      <c r="H25" s="777">
        <f t="shared" si="1"/>
        <v>6541.7212036855008</v>
      </c>
      <c r="I25" s="777"/>
      <c r="J25" s="777"/>
      <c r="K25" s="777">
        <f t="shared" si="2"/>
        <v>102408.67417947599</v>
      </c>
    </row>
    <row r="26" spans="1:11" s="532" customFormat="1" ht="13">
      <c r="A26" s="589" t="s">
        <v>76</v>
      </c>
      <c r="B26" s="610" t="str">
        <f t="shared" si="3"/>
        <v>Year 2024</v>
      </c>
      <c r="C26" s="589"/>
      <c r="D26" s="777">
        <f t="shared" si="4"/>
        <v>-95866.952975790482</v>
      </c>
      <c r="E26" s="611"/>
      <c r="F26" s="612">
        <f t="shared" si="5"/>
        <v>6.8237499999999974E-3</v>
      </c>
      <c r="G26" s="350">
        <f t="shared" si="0"/>
        <v>9</v>
      </c>
      <c r="H26" s="777">
        <f t="shared" si="1"/>
        <v>5887.5490833169506</v>
      </c>
      <c r="I26" s="777"/>
      <c r="J26" s="777"/>
      <c r="K26" s="777">
        <f t="shared" si="2"/>
        <v>101754.50205910743</v>
      </c>
    </row>
    <row r="27" spans="1:11" s="532" customFormat="1" ht="13">
      <c r="A27" s="589" t="s">
        <v>75</v>
      </c>
      <c r="B27" s="610" t="str">
        <f t="shared" si="3"/>
        <v>Year 2024</v>
      </c>
      <c r="C27" s="589"/>
      <c r="D27" s="777">
        <f t="shared" si="4"/>
        <v>-95866.952975790482</v>
      </c>
      <c r="E27" s="611"/>
      <c r="F27" s="612">
        <f t="shared" si="5"/>
        <v>6.8237499999999974E-3</v>
      </c>
      <c r="G27" s="350">
        <f t="shared" si="0"/>
        <v>8</v>
      </c>
      <c r="H27" s="777">
        <f t="shared" si="1"/>
        <v>5233.3769629484004</v>
      </c>
      <c r="I27" s="777"/>
      <c r="J27" s="777"/>
      <c r="K27" s="777">
        <f t="shared" si="2"/>
        <v>101100.32993873888</v>
      </c>
    </row>
    <row r="28" spans="1:11" s="532" customFormat="1" ht="13">
      <c r="A28" s="589" t="s">
        <v>92</v>
      </c>
      <c r="B28" s="610" t="str">
        <f t="shared" si="3"/>
        <v>Year 2024</v>
      </c>
      <c r="C28" s="589"/>
      <c r="D28" s="777">
        <f t="shared" si="4"/>
        <v>-95866.952975790482</v>
      </c>
      <c r="E28" s="611"/>
      <c r="F28" s="612">
        <f t="shared" si="5"/>
        <v>6.8237499999999974E-3</v>
      </c>
      <c r="G28" s="350">
        <f t="shared" si="0"/>
        <v>7</v>
      </c>
      <c r="H28" s="777">
        <f t="shared" si="1"/>
        <v>4579.2048425798503</v>
      </c>
      <c r="I28" s="777"/>
      <c r="J28" s="777"/>
      <c r="K28" s="777">
        <f t="shared" si="2"/>
        <v>100446.15781837034</v>
      </c>
    </row>
    <row r="29" spans="1:11" s="532" customFormat="1" ht="13">
      <c r="A29" s="589" t="s">
        <v>82</v>
      </c>
      <c r="B29" s="610" t="str">
        <f t="shared" si="3"/>
        <v>Year 2024</v>
      </c>
      <c r="C29" s="589"/>
      <c r="D29" s="777">
        <f t="shared" si="4"/>
        <v>-95866.952975790482</v>
      </c>
      <c r="E29" s="611"/>
      <c r="F29" s="612">
        <f t="shared" si="5"/>
        <v>6.8237499999999974E-3</v>
      </c>
      <c r="G29" s="350">
        <f t="shared" si="0"/>
        <v>6</v>
      </c>
      <c r="H29" s="777">
        <f t="shared" si="1"/>
        <v>3925.0327222113001</v>
      </c>
      <c r="I29" s="777"/>
      <c r="J29" s="777"/>
      <c r="K29" s="777">
        <f t="shared" si="2"/>
        <v>99791.985698001779</v>
      </c>
    </row>
    <row r="30" spans="1:11" s="532" customFormat="1" ht="13">
      <c r="A30" s="589" t="s">
        <v>81</v>
      </c>
      <c r="B30" s="610" t="str">
        <f t="shared" si="3"/>
        <v>Year 2024</v>
      </c>
      <c r="C30" s="589"/>
      <c r="D30" s="777">
        <f t="shared" si="4"/>
        <v>-95866.952975790482</v>
      </c>
      <c r="E30" s="611"/>
      <c r="F30" s="612">
        <f t="shared" si="5"/>
        <v>6.8237499999999974E-3</v>
      </c>
      <c r="G30" s="350">
        <f t="shared" si="0"/>
        <v>5</v>
      </c>
      <c r="H30" s="777">
        <f t="shared" si="1"/>
        <v>3270.8606018427504</v>
      </c>
      <c r="I30" s="777"/>
      <c r="J30" s="777"/>
      <c r="K30" s="777">
        <f t="shared" si="2"/>
        <v>99137.813577633235</v>
      </c>
    </row>
    <row r="31" spans="1:11" s="532" customFormat="1" ht="13">
      <c r="A31" s="589" t="s">
        <v>80</v>
      </c>
      <c r="B31" s="610" t="str">
        <f t="shared" si="3"/>
        <v>Year 2024</v>
      </c>
      <c r="C31" s="589"/>
      <c r="D31" s="777">
        <f t="shared" si="4"/>
        <v>-95866.952975790482</v>
      </c>
      <c r="E31" s="611"/>
      <c r="F31" s="612">
        <f t="shared" si="5"/>
        <v>6.8237499999999974E-3</v>
      </c>
      <c r="G31" s="350">
        <f t="shared" si="0"/>
        <v>4</v>
      </c>
      <c r="H31" s="777">
        <f t="shared" si="1"/>
        <v>2616.6884814742002</v>
      </c>
      <c r="I31" s="777"/>
      <c r="J31" s="777"/>
      <c r="K31" s="777">
        <f t="shared" si="2"/>
        <v>98483.641457264675</v>
      </c>
    </row>
    <row r="32" spans="1:11" s="532" customFormat="1" ht="13">
      <c r="A32" s="589" t="s">
        <v>86</v>
      </c>
      <c r="B32" s="610" t="str">
        <f t="shared" si="3"/>
        <v>Year 2024</v>
      </c>
      <c r="C32" s="589"/>
      <c r="D32" s="777">
        <f t="shared" si="4"/>
        <v>-95866.952975790482</v>
      </c>
      <c r="E32" s="611"/>
      <c r="F32" s="612">
        <f t="shared" si="5"/>
        <v>6.8237499999999974E-3</v>
      </c>
      <c r="G32" s="350">
        <f t="shared" si="0"/>
        <v>3</v>
      </c>
      <c r="H32" s="777">
        <f t="shared" si="1"/>
        <v>1962.51636110565</v>
      </c>
      <c r="I32" s="777"/>
      <c r="J32" s="777"/>
      <c r="K32" s="777">
        <f t="shared" si="2"/>
        <v>97829.469336896131</v>
      </c>
    </row>
    <row r="33" spans="1:13" s="532" customFormat="1" ht="13">
      <c r="A33" s="589" t="s">
        <v>79</v>
      </c>
      <c r="B33" s="610" t="str">
        <f t="shared" si="3"/>
        <v>Year 2024</v>
      </c>
      <c r="C33" s="589"/>
      <c r="D33" s="777">
        <f t="shared" si="4"/>
        <v>-95866.952975790482</v>
      </c>
      <c r="E33" s="611"/>
      <c r="F33" s="612">
        <f t="shared" si="5"/>
        <v>6.8237499999999974E-3</v>
      </c>
      <c r="G33" s="350">
        <f t="shared" si="0"/>
        <v>2</v>
      </c>
      <c r="H33" s="777">
        <f t="shared" si="1"/>
        <v>1308.3442407371001</v>
      </c>
      <c r="I33" s="777"/>
      <c r="J33" s="777"/>
      <c r="K33" s="777">
        <f t="shared" si="2"/>
        <v>97175.297216527586</v>
      </c>
    </row>
    <row r="34" spans="1:13" s="532" customFormat="1" ht="13">
      <c r="A34" s="589" t="s">
        <v>78</v>
      </c>
      <c r="B34" s="610" t="str">
        <f t="shared" si="3"/>
        <v>Year 2024</v>
      </c>
      <c r="C34" s="589"/>
      <c r="D34" s="777">
        <f t="shared" si="4"/>
        <v>-95866.952975790482</v>
      </c>
      <c r="E34" s="611"/>
      <c r="F34" s="612">
        <f t="shared" si="5"/>
        <v>6.8237499999999974E-3</v>
      </c>
      <c r="G34" s="350">
        <f t="shared" si="0"/>
        <v>1</v>
      </c>
      <c r="H34" s="779">
        <f t="shared" si="1"/>
        <v>654.17212036855005</v>
      </c>
      <c r="I34" s="777"/>
      <c r="J34" s="777"/>
      <c r="K34" s="777">
        <f t="shared" si="2"/>
        <v>96521.125096159027</v>
      </c>
    </row>
    <row r="35" spans="1:13" s="532" customFormat="1" ht="13">
      <c r="A35" s="589"/>
      <c r="B35" s="589"/>
      <c r="C35" s="589"/>
      <c r="D35" s="777"/>
      <c r="E35" s="611"/>
      <c r="F35" s="612"/>
      <c r="G35" s="350"/>
      <c r="H35" s="777">
        <f>SUM(H23:H34)</f>
        <v>51025.425388746902</v>
      </c>
      <c r="I35" s="777"/>
      <c r="J35" s="777"/>
      <c r="K35" s="778">
        <f>SUM(K23:K34)</f>
        <v>1201428.8610982327</v>
      </c>
    </row>
    <row r="36" spans="1:13" s="532" customFormat="1" ht="13">
      <c r="A36" s="589"/>
      <c r="B36" s="589"/>
      <c r="C36" s="589"/>
      <c r="D36" s="777"/>
      <c r="E36" s="611"/>
      <c r="F36" s="612"/>
      <c r="G36" s="611"/>
      <c r="H36" s="611"/>
      <c r="I36" s="611" t="s">
        <v>2</v>
      </c>
      <c r="J36" s="611"/>
      <c r="K36" s="534"/>
    </row>
    <row r="37" spans="1:13" s="532" customFormat="1" ht="13">
      <c r="A37" s="589"/>
      <c r="B37" s="589"/>
      <c r="C37" s="589"/>
      <c r="D37" s="777"/>
      <c r="E37" s="596"/>
      <c r="F37" s="612"/>
      <c r="G37" s="611"/>
      <c r="H37" s="614" t="s">
        <v>614</v>
      </c>
      <c r="I37" s="611"/>
      <c r="J37" s="611"/>
      <c r="K37" s="611"/>
    </row>
    <row r="38" spans="1:13" s="532" customFormat="1" ht="13">
      <c r="A38" s="589" t="s">
        <v>708</v>
      </c>
      <c r="B38" s="610" t="str">
        <f>"Year "&amp;$A$6+1</f>
        <v>Year 2025</v>
      </c>
      <c r="C38" s="589"/>
      <c r="D38" s="777">
        <f>K35</f>
        <v>1201428.8610982327</v>
      </c>
      <c r="E38" s="596"/>
      <c r="F38" s="612">
        <f>+F34</f>
        <v>6.8237499999999974E-3</v>
      </c>
      <c r="G38" s="611">
        <v>12</v>
      </c>
      <c r="H38" s="611">
        <f>+G38*F38*D38</f>
        <v>98379.002291028752</v>
      </c>
      <c r="I38" s="611"/>
      <c r="J38" s="611"/>
      <c r="K38" s="613">
        <f>+D38+H38</f>
        <v>1299807.8633892615</v>
      </c>
    </row>
    <row r="39" spans="1:13" s="532" customFormat="1" ht="13">
      <c r="A39" s="589"/>
      <c r="B39" s="589"/>
      <c r="C39" s="589"/>
      <c r="D39" s="777"/>
      <c r="E39" s="596"/>
      <c r="F39" s="612"/>
      <c r="G39" s="589"/>
      <c r="H39" s="611"/>
      <c r="I39" s="611"/>
      <c r="J39" s="611"/>
      <c r="K39" s="611"/>
    </row>
    <row r="40" spans="1:13" s="532" customFormat="1" ht="13">
      <c r="A40" s="615" t="s">
        <v>615</v>
      </c>
      <c r="B40" s="589"/>
      <c r="C40" s="589"/>
      <c r="D40" s="777"/>
      <c r="E40" s="611"/>
      <c r="F40" s="612"/>
      <c r="G40" s="589"/>
      <c r="H40" s="614" t="s">
        <v>613</v>
      </c>
      <c r="I40" s="611"/>
      <c r="J40" s="611"/>
      <c r="K40" s="611"/>
    </row>
    <row r="41" spans="1:13" s="532" customFormat="1" ht="13">
      <c r="A41" s="589" t="s">
        <v>85</v>
      </c>
      <c r="B41" s="610" t="str">
        <f>"Year "&amp;$A$6+2</f>
        <v>Year 2026</v>
      </c>
      <c r="C41" s="589"/>
      <c r="D41" s="778">
        <f>-K38</f>
        <v>-1299807.8633892615</v>
      </c>
      <c r="E41" s="596"/>
      <c r="F41" s="612">
        <f>+F34</f>
        <v>6.8237499999999974E-3</v>
      </c>
      <c r="G41" s="589"/>
      <c r="H41" s="777">
        <f xml:space="preserve"> -F41*D41</f>
        <v>8869.5639078024706</v>
      </c>
      <c r="I41" s="777">
        <f>PMT(F41,12,K$38)</f>
        <v>-113181.56161845493</v>
      </c>
      <c r="J41" s="777"/>
      <c r="K41" s="777">
        <f>(+D41+D41*F41-I41)*-1</f>
        <v>1195495.8656786091</v>
      </c>
      <c r="L41" s="616"/>
      <c r="M41" s="617"/>
    </row>
    <row r="42" spans="1:13" s="532" customFormat="1" ht="13">
      <c r="A42" s="589" t="s">
        <v>84</v>
      </c>
      <c r="B42" s="610" t="str">
        <f>+B41</f>
        <v>Year 2026</v>
      </c>
      <c r="C42" s="589"/>
      <c r="D42" s="777">
        <f>-K41</f>
        <v>-1195495.8656786091</v>
      </c>
      <c r="E42" s="596"/>
      <c r="F42" s="612">
        <f>+F41</f>
        <v>6.8237499999999974E-3</v>
      </c>
      <c r="G42" s="589"/>
      <c r="H42" s="777">
        <f t="shared" ref="H42:H52" si="6" xml:space="preserve"> -F42*D42</f>
        <v>8157.7649134244057</v>
      </c>
      <c r="I42" s="777">
        <f>I41</f>
        <v>-113181.56161845493</v>
      </c>
      <c r="J42" s="777"/>
      <c r="K42" s="777">
        <f t="shared" ref="K42:K52" si="7">(+D42+D42*F42-I42)*-1</f>
        <v>1090472.0689735785</v>
      </c>
      <c r="L42" s="616"/>
      <c r="M42" s="617"/>
    </row>
    <row r="43" spans="1:13" s="532" customFormat="1" ht="13">
      <c r="A43" s="589" t="s">
        <v>83</v>
      </c>
      <c r="B43" s="610" t="str">
        <f>+B42</f>
        <v>Year 2026</v>
      </c>
      <c r="C43" s="589"/>
      <c r="D43" s="777">
        <f t="shared" ref="D43:D52" si="8">-K42</f>
        <v>-1090472.0689735785</v>
      </c>
      <c r="E43" s="596"/>
      <c r="F43" s="612">
        <f t="shared" ref="F43:F52" si="9">+F42</f>
        <v>6.8237499999999974E-3</v>
      </c>
      <c r="G43" s="589"/>
      <c r="H43" s="777">
        <f t="shared" si="6"/>
        <v>7441.1087806584537</v>
      </c>
      <c r="I43" s="777">
        <f t="shared" ref="I43:I52" si="10">I42</f>
        <v>-113181.56161845493</v>
      </c>
      <c r="J43" s="777"/>
      <c r="K43" s="777">
        <f t="shared" si="7"/>
        <v>984731.61613578186</v>
      </c>
      <c r="L43" s="616"/>
      <c r="M43" s="617"/>
    </row>
    <row r="44" spans="1:13" s="532" customFormat="1" ht="13">
      <c r="A44" s="589" t="s">
        <v>76</v>
      </c>
      <c r="B44" s="610" t="str">
        <f>+B43</f>
        <v>Year 2026</v>
      </c>
      <c r="C44" s="589"/>
      <c r="D44" s="777">
        <f t="shared" si="8"/>
        <v>-984731.61613578186</v>
      </c>
      <c r="E44" s="596"/>
      <c r="F44" s="612">
        <f t="shared" si="9"/>
        <v>6.8237499999999974E-3</v>
      </c>
      <c r="G44" s="589"/>
      <c r="H44" s="777">
        <f t="shared" si="6"/>
        <v>6719.5623656065391</v>
      </c>
      <c r="I44" s="777">
        <f t="shared" si="10"/>
        <v>-113181.56161845493</v>
      </c>
      <c r="J44" s="777"/>
      <c r="K44" s="777">
        <f t="shared" si="7"/>
        <v>878269.61688293354</v>
      </c>
      <c r="L44" s="616"/>
      <c r="M44" s="617"/>
    </row>
    <row r="45" spans="1:13" s="532" customFormat="1" ht="13">
      <c r="A45" s="589" t="s">
        <v>75</v>
      </c>
      <c r="B45" s="610" t="str">
        <f>+B44</f>
        <v>Year 2026</v>
      </c>
      <c r="C45" s="589"/>
      <c r="D45" s="777">
        <f t="shared" si="8"/>
        <v>-878269.61688293354</v>
      </c>
      <c r="E45" s="596"/>
      <c r="F45" s="612">
        <f t="shared" si="9"/>
        <v>6.8237499999999974E-3</v>
      </c>
      <c r="G45" s="589"/>
      <c r="H45" s="777">
        <f t="shared" si="6"/>
        <v>5993.0922982049151</v>
      </c>
      <c r="I45" s="777">
        <f t="shared" si="10"/>
        <v>-113181.56161845493</v>
      </c>
      <c r="J45" s="777"/>
      <c r="K45" s="777">
        <f t="shared" si="7"/>
        <v>771081.14756268356</v>
      </c>
      <c r="L45" s="616"/>
      <c r="M45" s="617"/>
    </row>
    <row r="46" spans="1:13" s="532" customFormat="1" ht="13">
      <c r="A46" s="589" t="s">
        <v>92</v>
      </c>
      <c r="B46" s="610" t="str">
        <f>B45</f>
        <v>Year 2026</v>
      </c>
      <c r="C46" s="589"/>
      <c r="D46" s="777">
        <f t="shared" si="8"/>
        <v>-771081.14756268356</v>
      </c>
      <c r="E46" s="596"/>
      <c r="F46" s="612">
        <f t="shared" si="9"/>
        <v>6.8237499999999974E-3</v>
      </c>
      <c r="G46" s="589"/>
      <c r="H46" s="777">
        <f t="shared" si="6"/>
        <v>5261.66498068086</v>
      </c>
      <c r="I46" s="777">
        <f t="shared" si="10"/>
        <v>-113181.56161845493</v>
      </c>
      <c r="J46" s="777"/>
      <c r="K46" s="777">
        <f t="shared" si="7"/>
        <v>663161.25092490949</v>
      </c>
      <c r="L46" s="616"/>
      <c r="M46" s="617"/>
    </row>
    <row r="47" spans="1:13" s="532" customFormat="1" ht="13">
      <c r="A47" s="589" t="s">
        <v>82</v>
      </c>
      <c r="B47" s="610" t="str">
        <f t="shared" ref="B47:B52" si="11">+B46</f>
        <v>Year 2026</v>
      </c>
      <c r="C47" s="589"/>
      <c r="D47" s="777">
        <f t="shared" si="8"/>
        <v>-663161.25092490949</v>
      </c>
      <c r="E47" s="596"/>
      <c r="F47" s="612">
        <f t="shared" si="9"/>
        <v>6.8237499999999974E-3</v>
      </c>
      <c r="G47" s="589"/>
      <c r="H47" s="777">
        <f t="shared" si="6"/>
        <v>4525.2465859988497</v>
      </c>
      <c r="I47" s="777">
        <f t="shared" si="10"/>
        <v>-113181.56161845493</v>
      </c>
      <c r="J47" s="777"/>
      <c r="K47" s="777">
        <f t="shared" si="7"/>
        <v>554504.93589245342</v>
      </c>
      <c r="L47" s="616"/>
      <c r="M47" s="617"/>
    </row>
    <row r="48" spans="1:13" s="532" customFormat="1" ht="13">
      <c r="A48" s="589" t="s">
        <v>81</v>
      </c>
      <c r="B48" s="610" t="str">
        <f t="shared" si="11"/>
        <v>Year 2026</v>
      </c>
      <c r="C48" s="589"/>
      <c r="D48" s="777">
        <f t="shared" si="8"/>
        <v>-554504.93589245342</v>
      </c>
      <c r="E48" s="596"/>
      <c r="F48" s="612">
        <f t="shared" si="9"/>
        <v>6.8237499999999974E-3</v>
      </c>
      <c r="G48" s="589"/>
      <c r="H48" s="777">
        <f t="shared" si="6"/>
        <v>3783.8030562961276</v>
      </c>
      <c r="I48" s="777">
        <f t="shared" si="10"/>
        <v>-113181.56161845493</v>
      </c>
      <c r="J48" s="777"/>
      <c r="K48" s="777">
        <f t="shared" si="7"/>
        <v>445107.17733029457</v>
      </c>
      <c r="L48" s="616"/>
      <c r="M48" s="617"/>
    </row>
    <row r="49" spans="1:13" s="532" customFormat="1" ht="13">
      <c r="A49" s="589" t="s">
        <v>80</v>
      </c>
      <c r="B49" s="610" t="str">
        <f t="shared" si="11"/>
        <v>Year 2026</v>
      </c>
      <c r="C49" s="589"/>
      <c r="D49" s="777">
        <f t="shared" si="8"/>
        <v>-445107.17733029457</v>
      </c>
      <c r="E49" s="596"/>
      <c r="F49" s="612">
        <f t="shared" si="9"/>
        <v>6.8237499999999974E-3</v>
      </c>
      <c r="G49" s="589"/>
      <c r="H49" s="777">
        <f t="shared" si="6"/>
        <v>3037.3001013075964</v>
      </c>
      <c r="I49" s="777">
        <f t="shared" si="10"/>
        <v>-113181.56161845493</v>
      </c>
      <c r="J49" s="777"/>
      <c r="K49" s="777">
        <f t="shared" si="7"/>
        <v>334962.91581314721</v>
      </c>
      <c r="L49" s="616"/>
      <c r="M49" s="617"/>
    </row>
    <row r="50" spans="1:13" s="532" customFormat="1" ht="13">
      <c r="A50" s="589" t="s">
        <v>86</v>
      </c>
      <c r="B50" s="610" t="str">
        <f t="shared" si="11"/>
        <v>Year 2026</v>
      </c>
      <c r="C50" s="589"/>
      <c r="D50" s="777">
        <f t="shared" si="8"/>
        <v>-334962.91581314721</v>
      </c>
      <c r="E50" s="596"/>
      <c r="F50" s="612">
        <f t="shared" si="9"/>
        <v>6.8237499999999974E-3</v>
      </c>
      <c r="G50" s="589"/>
      <c r="H50" s="777">
        <f t="shared" si="6"/>
        <v>2285.7031967799626</v>
      </c>
      <c r="I50" s="777">
        <f t="shared" si="10"/>
        <v>-113181.56161845493</v>
      </c>
      <c r="J50" s="777"/>
      <c r="K50" s="777">
        <f t="shared" si="7"/>
        <v>224067.05739147222</v>
      </c>
      <c r="L50" s="616"/>
      <c r="M50" s="617"/>
    </row>
    <row r="51" spans="1:13" s="532" customFormat="1" ht="13">
      <c r="A51" s="589" t="s">
        <v>79</v>
      </c>
      <c r="B51" s="610" t="str">
        <f t="shared" si="11"/>
        <v>Year 2026</v>
      </c>
      <c r="C51" s="589"/>
      <c r="D51" s="777">
        <f t="shared" si="8"/>
        <v>-224067.05739147222</v>
      </c>
      <c r="E51" s="596"/>
      <c r="F51" s="612">
        <f t="shared" si="9"/>
        <v>6.8237499999999974E-3</v>
      </c>
      <c r="G51" s="589"/>
      <c r="H51" s="777">
        <f t="shared" si="6"/>
        <v>1528.977582875058</v>
      </c>
      <c r="I51" s="777">
        <f t="shared" si="10"/>
        <v>-113181.56161845493</v>
      </c>
      <c r="J51" s="777"/>
      <c r="K51" s="777">
        <f t="shared" si="7"/>
        <v>112414.47335589235</v>
      </c>
      <c r="L51" s="616"/>
      <c r="M51" s="617"/>
    </row>
    <row r="52" spans="1:13" s="532" customFormat="1" ht="13">
      <c r="A52" s="589" t="s">
        <v>78</v>
      </c>
      <c r="B52" s="610" t="str">
        <f t="shared" si="11"/>
        <v>Year 2026</v>
      </c>
      <c r="C52" s="589"/>
      <c r="D52" s="777">
        <f t="shared" si="8"/>
        <v>-112414.47335589235</v>
      </c>
      <c r="E52" s="596"/>
      <c r="F52" s="612">
        <f t="shared" si="9"/>
        <v>6.8237499999999974E-3</v>
      </c>
      <c r="G52" s="589"/>
      <c r="H52" s="779">
        <f t="shared" si="6"/>
        <v>767.08826256227007</v>
      </c>
      <c r="I52" s="777">
        <f t="shared" si="10"/>
        <v>-113181.56161845493</v>
      </c>
      <c r="J52" s="777"/>
      <c r="K52" s="777">
        <f t="shared" si="7"/>
        <v>-3.0559021979570389E-10</v>
      </c>
      <c r="L52" s="616"/>
      <c r="M52" s="617"/>
    </row>
    <row r="53" spans="1:13" s="532" customFormat="1" ht="13">
      <c r="A53" s="589"/>
      <c r="B53" s="589"/>
      <c r="C53" s="589"/>
      <c r="D53" s="596"/>
      <c r="E53" s="596"/>
      <c r="F53" s="618"/>
      <c r="G53" s="589"/>
      <c r="H53" s="777">
        <f>SUM(H41:H52)</f>
        <v>58370.876032197513</v>
      </c>
      <c r="I53" s="777"/>
      <c r="J53" s="777"/>
      <c r="K53" s="777"/>
      <c r="L53" s="616"/>
      <c r="M53" s="617"/>
    </row>
    <row r="54" spans="1:13" s="532" customFormat="1" ht="13">
      <c r="A54" s="534"/>
      <c r="B54" s="534"/>
      <c r="C54" s="534"/>
      <c r="D54" s="534"/>
      <c r="E54" s="534"/>
      <c r="F54" s="534"/>
      <c r="G54" s="534"/>
      <c r="H54" s="534"/>
      <c r="I54" s="534"/>
      <c r="J54" s="534"/>
      <c r="K54" s="534"/>
    </row>
    <row r="55" spans="1:13" s="532" customFormat="1" ht="13">
      <c r="A55" s="589" t="s">
        <v>616</v>
      </c>
      <c r="B55" s="534"/>
      <c r="C55" s="534"/>
      <c r="D55" s="534"/>
      <c r="E55" s="534"/>
      <c r="F55" s="534"/>
      <c r="G55" s="534"/>
      <c r="H55" s="534"/>
      <c r="I55" s="619">
        <f>SUM(I41:I52)*-1</f>
        <v>1358178.7394214596</v>
      </c>
      <c r="J55" s="534"/>
      <c r="K55" s="534"/>
    </row>
    <row r="56" spans="1:13" s="532" customFormat="1" ht="13">
      <c r="A56" s="589" t="s">
        <v>617</v>
      </c>
      <c r="B56" s="534"/>
      <c r="C56" s="534"/>
      <c r="D56" s="534"/>
      <c r="E56" s="534"/>
      <c r="F56" s="534"/>
      <c r="G56" s="534"/>
      <c r="H56" s="534"/>
      <c r="I56" s="619">
        <f>+G9</f>
        <v>-1150403.4357094858</v>
      </c>
      <c r="J56" s="534"/>
      <c r="K56" s="534"/>
    </row>
    <row r="57" spans="1:13" s="532" customFormat="1" ht="13">
      <c r="A57" s="589" t="s">
        <v>618</v>
      </c>
      <c r="B57" s="534"/>
      <c r="C57" s="534"/>
      <c r="D57" s="534"/>
      <c r="E57" s="534"/>
      <c r="F57" s="534"/>
      <c r="G57" s="534"/>
      <c r="H57" s="534"/>
      <c r="I57" s="619">
        <f>(I55+I56)</f>
        <v>207775.30371197383</v>
      </c>
      <c r="J57" s="534"/>
      <c r="K57" s="534"/>
    </row>
    <row r="59" spans="1:13">
      <c r="A59" s="580"/>
      <c r="B59" s="569"/>
      <c r="C59" s="569"/>
      <c r="D59" s="569"/>
      <c r="E59" s="569"/>
      <c r="F59" s="581"/>
      <c r="G59" s="569"/>
      <c r="H59" s="569"/>
      <c r="I59" s="582"/>
      <c r="J59" s="569"/>
      <c r="K59" s="569"/>
    </row>
    <row r="60" spans="1:13">
      <c r="A60" s="579"/>
      <c r="B60" s="569"/>
      <c r="C60" s="569"/>
      <c r="D60" s="569"/>
      <c r="E60" s="569"/>
      <c r="F60" s="569"/>
      <c r="G60" s="569"/>
      <c r="H60" s="569"/>
      <c r="I60" s="569"/>
      <c r="J60" s="569"/>
      <c r="K60" s="569"/>
    </row>
    <row r="61" spans="1:13">
      <c r="A61" s="583"/>
      <c r="F61" s="584"/>
      <c r="I61" s="585"/>
    </row>
    <row r="62" spans="1:13">
      <c r="D62" s="586"/>
      <c r="F62" s="584"/>
      <c r="I62" s="585"/>
    </row>
    <row r="63" spans="1:13">
      <c r="I63" s="586"/>
    </row>
  </sheetData>
  <customSheetViews>
    <customSheetView guid="{F1DC5514-577A-46EB-866C-26F0BED2C286}" scale="80" showPageBreaks="1" fitToPage="1" view="pageBreakPreview">
      <selection sqref="A1:K1"/>
      <pageMargins left="0.75" right="0.75" top="1" bottom="1" header="0.5" footer="0.5"/>
      <printOptions horizontalCentered="1"/>
      <pageSetup scale="59" orientation="landscape" r:id="rId1"/>
      <headerFooter alignWithMargins="0"/>
    </customSheetView>
    <customSheetView guid="{63AFAF34-E340-4B5E-A289-FFB7051CA9B6}" scale="80" showPageBreaks="1" view="pageBreakPreview">
      <selection activeCell="I36" sqref="I36"/>
      <pageMargins left="0.75" right="0.75" top="1" bottom="1" header="0.5" footer="0.5"/>
      <pageSetup scale="47" orientation="portrait" r:id="rId2"/>
      <headerFooter alignWithMargins="0"/>
    </customSheetView>
  </customSheetViews>
  <mergeCells count="3">
    <mergeCell ref="A1:K1"/>
    <mergeCell ref="A2:K2"/>
    <mergeCell ref="A3:K3"/>
  </mergeCells>
  <pageMargins left="0.75" right="0.75" top="1" bottom="1" header="0.5" footer="0.5"/>
  <pageSetup scale="60" orientation="landscape"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5"/>
  <sheetViews>
    <sheetView showGridLines="0" view="pageBreakPreview" zoomScaleNormal="75" zoomScaleSheetLayoutView="100" workbookViewId="0">
      <selection activeCell="D92" sqref="D92"/>
    </sheetView>
  </sheetViews>
  <sheetFormatPr defaultColWidth="8.84375" defaultRowHeight="13"/>
  <cols>
    <col min="1" max="1" width="8.84375" style="545" customWidth="1"/>
    <col min="2" max="2" width="9.07421875" style="545" bestFit="1" customWidth="1"/>
    <col min="3" max="3" width="8.84375" style="545"/>
    <col min="4" max="4" width="16.3046875" style="545" customWidth="1"/>
    <col min="5" max="5" width="8.84375" style="545"/>
    <col min="6" max="6" width="9.3046875" style="545" bestFit="1" customWidth="1"/>
    <col min="7" max="7" width="14.07421875" style="545" bestFit="1" customWidth="1"/>
    <col min="8" max="8" width="9.84375" style="545" customWidth="1"/>
    <col min="9" max="9" width="20.4609375" style="545" bestFit="1" customWidth="1"/>
    <col min="10" max="16384" width="8.84375" style="545"/>
  </cols>
  <sheetData>
    <row r="1" spans="1:8">
      <c r="D1" s="664" t="s">
        <v>620</v>
      </c>
    </row>
    <row r="2" spans="1:8">
      <c r="D2" s="664" t="s">
        <v>424</v>
      </c>
    </row>
    <row r="3" spans="1:8">
      <c r="D3" s="664" t="str">
        <f>+'Attachment H-29A'!D5</f>
        <v>Transource Pennsylvania, LLC</v>
      </c>
    </row>
    <row r="4" spans="1:8">
      <c r="A4" s="679"/>
    </row>
    <row r="6" spans="1:8" ht="32.25" customHeight="1">
      <c r="A6" s="1292" t="s">
        <v>470</v>
      </c>
      <c r="B6" s="1292"/>
      <c r="C6" s="1292"/>
      <c r="D6" s="1292"/>
      <c r="E6" s="1292"/>
      <c r="F6" s="1292"/>
      <c r="G6" s="1292"/>
      <c r="H6" s="680"/>
    </row>
    <row r="7" spans="1:8">
      <c r="A7" s="681"/>
      <c r="B7" s="680"/>
      <c r="C7" s="680"/>
      <c r="D7" s="680"/>
      <c r="E7" s="680"/>
      <c r="F7" s="680"/>
      <c r="G7" s="682"/>
      <c r="H7" s="680"/>
    </row>
    <row r="8" spans="1:8">
      <c r="A8" s="681"/>
      <c r="B8" s="680"/>
      <c r="C8" s="680"/>
      <c r="D8" s="680"/>
      <c r="E8" s="680"/>
      <c r="F8" s="680"/>
      <c r="G8" s="682"/>
      <c r="H8" s="680"/>
    </row>
    <row r="9" spans="1:8">
      <c r="G9" s="683"/>
    </row>
    <row r="10" spans="1:8">
      <c r="A10" s="684"/>
      <c r="B10" s="685" t="s">
        <v>469</v>
      </c>
    </row>
    <row r="11" spans="1:8">
      <c r="A11" s="721">
        <v>1</v>
      </c>
      <c r="C11" s="685" t="s">
        <v>425</v>
      </c>
      <c r="D11" s="308"/>
      <c r="E11" s="686">
        <v>8.5000000000000006E-2</v>
      </c>
      <c r="F11" s="396"/>
      <c r="G11" s="396"/>
      <c r="H11" s="396"/>
    </row>
    <row r="12" spans="1:8">
      <c r="A12" s="721">
        <v>2</v>
      </c>
      <c r="C12" s="685" t="s">
        <v>426</v>
      </c>
      <c r="D12" s="308"/>
      <c r="E12" s="761">
        <v>8.5000000000000006E-2</v>
      </c>
      <c r="F12" s="396"/>
      <c r="G12" s="396"/>
      <c r="H12" s="396"/>
    </row>
    <row r="13" spans="1:8">
      <c r="A13" s="721">
        <v>3</v>
      </c>
      <c r="C13" s="685" t="s">
        <v>427</v>
      </c>
      <c r="D13" s="308"/>
      <c r="E13" s="761">
        <v>8.5000000000000006E-2</v>
      </c>
      <c r="F13" s="396"/>
      <c r="G13" s="396"/>
      <c r="H13" s="396"/>
    </row>
    <row r="14" spans="1:8">
      <c r="A14" s="721">
        <v>4</v>
      </c>
      <c r="C14" s="685" t="s">
        <v>428</v>
      </c>
      <c r="D14" s="308"/>
      <c r="E14" s="761">
        <v>8.5000000000000006E-2</v>
      </c>
      <c r="F14" s="396"/>
      <c r="G14" s="396"/>
      <c r="H14" s="396"/>
    </row>
    <row r="15" spans="1:8">
      <c r="A15" s="721">
        <v>5</v>
      </c>
      <c r="C15" s="685" t="s">
        <v>429</v>
      </c>
      <c r="D15" s="308"/>
      <c r="E15" s="761">
        <v>8.5000000000000006E-2</v>
      </c>
      <c r="F15" s="396"/>
      <c r="G15" s="396"/>
      <c r="H15" s="396"/>
    </row>
    <row r="16" spans="1:8">
      <c r="A16" s="721">
        <v>6</v>
      </c>
      <c r="C16" s="685" t="s">
        <v>430</v>
      </c>
      <c r="D16" s="308"/>
      <c r="E16" s="761">
        <v>8.5000000000000006E-2</v>
      </c>
      <c r="F16" s="396"/>
      <c r="G16" s="396"/>
      <c r="H16" s="396"/>
    </row>
    <row r="17" spans="1:8">
      <c r="A17" s="721">
        <v>7</v>
      </c>
      <c r="C17" s="685" t="s">
        <v>431</v>
      </c>
      <c r="D17" s="308"/>
      <c r="E17" s="761">
        <v>8.5000000000000006E-2</v>
      </c>
      <c r="F17" s="396"/>
      <c r="G17" s="396"/>
      <c r="H17" s="396"/>
    </row>
    <row r="18" spans="1:8">
      <c r="A18" s="721">
        <v>8</v>
      </c>
      <c r="C18" s="685" t="s">
        <v>432</v>
      </c>
      <c r="D18" s="308"/>
      <c r="E18" s="761">
        <v>8.5000000000000006E-2</v>
      </c>
      <c r="F18" s="396"/>
      <c r="G18" s="396"/>
      <c r="H18" s="396"/>
    </row>
    <row r="19" spans="1:8">
      <c r="A19" s="721">
        <v>9</v>
      </c>
      <c r="C19" s="685" t="s">
        <v>433</v>
      </c>
      <c r="D19" s="308"/>
      <c r="E19" s="761">
        <v>8.5000000000000006E-2</v>
      </c>
      <c r="F19" s="396"/>
      <c r="G19" s="396"/>
      <c r="H19" s="396"/>
    </row>
    <row r="20" spans="1:8">
      <c r="A20" s="721">
        <v>10</v>
      </c>
      <c r="C20" s="685" t="s">
        <v>434</v>
      </c>
      <c r="D20" s="308"/>
      <c r="E20" s="761">
        <v>8.5000000000000006E-2</v>
      </c>
      <c r="F20" s="396"/>
      <c r="G20" s="396"/>
      <c r="H20" s="396"/>
    </row>
    <row r="21" spans="1:8">
      <c r="A21" s="721">
        <v>11</v>
      </c>
      <c r="C21" s="685" t="s">
        <v>435</v>
      </c>
      <c r="D21" s="308"/>
      <c r="E21" s="761">
        <v>8.5000000000000006E-2</v>
      </c>
      <c r="F21" s="396"/>
      <c r="G21" s="396"/>
      <c r="H21" s="396"/>
    </row>
    <row r="22" spans="1:8">
      <c r="A22" s="721">
        <v>12</v>
      </c>
      <c r="C22" s="685" t="s">
        <v>436</v>
      </c>
      <c r="D22" s="308"/>
      <c r="E22" s="761">
        <v>8.5000000000000006E-2</v>
      </c>
      <c r="F22" s="396"/>
      <c r="G22" s="396"/>
      <c r="H22" s="396"/>
    </row>
    <row r="23" spans="1:8">
      <c r="A23" s="721">
        <f>+A22+1</f>
        <v>13</v>
      </c>
      <c r="C23" s="685" t="s">
        <v>569</v>
      </c>
      <c r="D23" s="308"/>
      <c r="E23" s="761">
        <v>8.0399999999999999E-2</v>
      </c>
      <c r="F23" s="396"/>
      <c r="G23" s="396"/>
      <c r="H23" s="396"/>
    </row>
    <row r="24" spans="1:8">
      <c r="A24" s="721">
        <f t="shared" ref="A24:A30" si="0">+A23+1</f>
        <v>14</v>
      </c>
      <c r="C24" s="685" t="s">
        <v>570</v>
      </c>
      <c r="D24" s="308"/>
      <c r="E24" s="761">
        <v>8.0399999999999999E-2</v>
      </c>
      <c r="F24" s="396"/>
      <c r="G24" s="396"/>
      <c r="H24" s="396"/>
    </row>
    <row r="25" spans="1:8">
      <c r="A25" s="721">
        <f t="shared" si="0"/>
        <v>15</v>
      </c>
      <c r="C25" s="685" t="s">
        <v>571</v>
      </c>
      <c r="D25" s="308"/>
      <c r="E25" s="761">
        <v>8.0399999999999999E-2</v>
      </c>
      <c r="F25" s="396"/>
      <c r="G25" s="396"/>
      <c r="H25" s="396"/>
    </row>
    <row r="26" spans="1:8">
      <c r="A26" s="721">
        <f t="shared" si="0"/>
        <v>16</v>
      </c>
      <c r="C26" s="685" t="s">
        <v>572</v>
      </c>
      <c r="D26" s="308"/>
      <c r="E26" s="761">
        <v>7.5499999999999998E-2</v>
      </c>
      <c r="F26" s="396"/>
      <c r="G26" s="396"/>
      <c r="H26" s="396"/>
    </row>
    <row r="27" spans="1:8">
      <c r="A27" s="721">
        <f t="shared" si="0"/>
        <v>17</v>
      </c>
      <c r="C27" s="685" t="s">
        <v>573</v>
      </c>
      <c r="D27" s="308"/>
      <c r="E27" s="761">
        <v>7.5499999999999998E-2</v>
      </c>
      <c r="F27" s="396"/>
      <c r="G27" s="396"/>
      <c r="H27" s="396"/>
    </row>
    <row r="28" spans="1:8">
      <c r="A28" s="721">
        <f t="shared" si="0"/>
        <v>18</v>
      </c>
      <c r="C28" s="685" t="s">
        <v>778</v>
      </c>
      <c r="D28" s="308"/>
      <c r="E28" s="761">
        <v>7.5499999999999998E-2</v>
      </c>
      <c r="F28" s="396"/>
      <c r="G28" s="396"/>
      <c r="H28" s="396"/>
    </row>
    <row r="29" spans="1:8">
      <c r="A29" s="721">
        <f t="shared" si="0"/>
        <v>19</v>
      </c>
      <c r="C29" s="685" t="s">
        <v>779</v>
      </c>
      <c r="D29" s="308"/>
      <c r="E29" s="761">
        <v>7.4999999999999997E-2</v>
      </c>
      <c r="F29" s="396"/>
      <c r="G29" s="396"/>
      <c r="H29" s="396"/>
    </row>
    <row r="30" spans="1:8">
      <c r="A30" s="721">
        <f t="shared" si="0"/>
        <v>20</v>
      </c>
      <c r="C30" s="685" t="s">
        <v>780</v>
      </c>
      <c r="D30" s="308"/>
      <c r="E30" s="761">
        <v>7.4999999999999997E-2</v>
      </c>
      <c r="F30" s="396"/>
      <c r="G30" s="396"/>
      <c r="H30" s="396"/>
    </row>
    <row r="31" spans="1:8">
      <c r="A31" s="721"/>
      <c r="C31" s="681"/>
      <c r="D31" s="687"/>
      <c r="E31" s="687"/>
      <c r="F31" s="396"/>
      <c r="G31" s="396"/>
      <c r="H31" s="308"/>
    </row>
    <row r="32" spans="1:8">
      <c r="A32" s="721">
        <f>+A30+1</f>
        <v>21</v>
      </c>
      <c r="B32" s="688" t="s">
        <v>568</v>
      </c>
      <c r="C32" s="680"/>
      <c r="D32" s="687"/>
      <c r="E32" s="689">
        <f>+AVERAGE(E11:E30)</f>
        <v>8.1884999999999972E-2</v>
      </c>
      <c r="F32" s="396"/>
      <c r="G32" s="396"/>
      <c r="H32" s="308"/>
    </row>
    <row r="33" spans="1:8">
      <c r="A33" s="721">
        <f>+A32+1</f>
        <v>22</v>
      </c>
      <c r="B33" s="545" t="s">
        <v>473</v>
      </c>
      <c r="E33" s="207">
        <f>+E32/12</f>
        <v>6.8237499999999974E-3</v>
      </c>
    </row>
    <row r="34" spans="1:8">
      <c r="E34" s="690"/>
    </row>
    <row r="35" spans="1:8" ht="36" customHeight="1">
      <c r="A35" s="1293" t="s">
        <v>781</v>
      </c>
      <c r="B35" s="1293"/>
      <c r="C35" s="1293"/>
      <c r="D35" s="1293"/>
      <c r="E35" s="1293"/>
      <c r="F35" s="1293"/>
      <c r="G35" s="1293"/>
      <c r="H35" s="764"/>
    </row>
  </sheetData>
  <customSheetViews>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1"/>
    </customSheetView>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2"/>
    </customSheetView>
  </customSheetViews>
  <mergeCells count="2">
    <mergeCell ref="A6:G6"/>
    <mergeCell ref="A35:G35"/>
  </mergeCells>
  <phoneticPr fontId="0" type="noConversion"/>
  <printOptions horizontalCentered="1"/>
  <pageMargins left="1" right="1" top="1" bottom="1" header="0.5" footer="0.5"/>
  <pageSetup scale="98" orientation="landscape"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4"/>
  <sheetViews>
    <sheetView view="pageBreakPreview" zoomScale="75" zoomScaleNormal="100" zoomScaleSheetLayoutView="75" workbookViewId="0">
      <selection activeCell="D92" sqref="D92"/>
    </sheetView>
  </sheetViews>
  <sheetFormatPr defaultColWidth="8.84375" defaultRowHeight="15.5"/>
  <cols>
    <col min="1" max="1" width="8.84375" style="219"/>
    <col min="2" max="2" width="43.84375" style="219" customWidth="1"/>
    <col min="3" max="3" width="20.69140625" style="219" bestFit="1" customWidth="1"/>
    <col min="4" max="5" width="13.69140625" style="219" customWidth="1"/>
    <col min="6" max="6" width="12.07421875" style="219" customWidth="1"/>
    <col min="7" max="8" width="11.84375" style="219" bestFit="1" customWidth="1"/>
    <col min="9" max="16384" width="8.84375" style="219"/>
  </cols>
  <sheetData>
    <row r="1" spans="1:9">
      <c r="A1" s="1291" t="s">
        <v>186</v>
      </c>
      <c r="B1" s="1291"/>
      <c r="C1" s="1291"/>
      <c r="D1" s="1291"/>
      <c r="E1" s="1291"/>
      <c r="F1" s="1291"/>
    </row>
    <row r="2" spans="1:9">
      <c r="A2" s="1294" t="s">
        <v>384</v>
      </c>
      <c r="B2" s="1294"/>
      <c r="C2" s="1294"/>
      <c r="D2" s="1294"/>
      <c r="E2" s="1294"/>
      <c r="F2" s="1294"/>
    </row>
    <row r="3" spans="1:9">
      <c r="A3" s="1291" t="str">
        <f>+'Attachment H-29A'!D5</f>
        <v>Transource Pennsylvania, LLC</v>
      </c>
      <c r="B3" s="1291"/>
      <c r="C3" s="1291"/>
      <c r="D3" s="1291"/>
      <c r="E3" s="1291"/>
      <c r="F3" s="1291"/>
      <c r="G3" s="657"/>
      <c r="H3" s="657"/>
    </row>
    <row r="4" spans="1:9">
      <c r="A4" s="658"/>
      <c r="C4" s="659"/>
      <c r="G4" s="657"/>
      <c r="H4" s="657"/>
    </row>
    <row r="5" spans="1:9">
      <c r="A5" s="289"/>
      <c r="B5" s="295" t="s">
        <v>263</v>
      </c>
      <c r="C5" s="296"/>
      <c r="D5" s="289"/>
      <c r="E5" s="297"/>
      <c r="F5" s="308"/>
      <c r="G5" s="660"/>
      <c r="H5" s="660"/>
    </row>
    <row r="6" spans="1:9" s="655" customFormat="1">
      <c r="A6" s="289"/>
      <c r="B6" s="295"/>
      <c r="C6" s="296"/>
      <c r="D6" s="298" t="s">
        <v>314</v>
      </c>
      <c r="E6" s="750" t="s">
        <v>315</v>
      </c>
      <c r="F6" s="299" t="s">
        <v>13</v>
      </c>
      <c r="G6" s="661"/>
      <c r="H6" s="661"/>
      <c r="I6" s="661"/>
    </row>
    <row r="7" spans="1:9">
      <c r="A7" s="467" t="s">
        <v>148</v>
      </c>
      <c r="B7" s="300"/>
      <c r="C7" s="300"/>
      <c r="D7" s="299" t="s">
        <v>190</v>
      </c>
      <c r="E7" s="751" t="s">
        <v>191</v>
      </c>
      <c r="F7" s="299" t="s">
        <v>637</v>
      </c>
      <c r="G7" s="662"/>
      <c r="H7" s="662"/>
      <c r="I7" s="656"/>
    </row>
    <row r="8" spans="1:9" ht="26.5">
      <c r="A8" s="289">
        <v>1</v>
      </c>
      <c r="B8" s="308"/>
      <c r="C8" s="290"/>
      <c r="D8" s="291" t="s">
        <v>740</v>
      </c>
      <c r="E8" s="752" t="s">
        <v>740</v>
      </c>
      <c r="F8" s="665"/>
      <c r="G8" s="306"/>
      <c r="H8" s="306"/>
      <c r="I8" s="306"/>
    </row>
    <row r="9" spans="1:9">
      <c r="A9" s="289">
        <v>2</v>
      </c>
      <c r="B9" s="292" t="s">
        <v>521</v>
      </c>
      <c r="C9" s="292" t="s">
        <v>295</v>
      </c>
      <c r="D9" s="472">
        <f>-98328251+5994383</f>
        <v>-92333868</v>
      </c>
      <c r="E9" s="472">
        <v>8386137</v>
      </c>
      <c r="F9" s="308"/>
      <c r="G9" s="282"/>
      <c r="H9" s="282"/>
      <c r="I9" s="269"/>
    </row>
    <row r="10" spans="1:9">
      <c r="A10" s="289">
        <v>3</v>
      </c>
      <c r="B10" s="292" t="s">
        <v>316</v>
      </c>
      <c r="C10" s="292" t="s">
        <v>295</v>
      </c>
      <c r="D10" s="472">
        <f>+D9*((16980+297)/(16980+17214+48+297))</f>
        <v>-46186983.91487883</v>
      </c>
      <c r="E10" s="472">
        <f>+E9*((2242+1149)/(2950+2242+1855+1149))</f>
        <v>3469666.9798682285</v>
      </c>
      <c r="F10" s="308"/>
      <c r="G10" s="282"/>
      <c r="H10" s="282"/>
      <c r="I10" s="269"/>
    </row>
    <row r="11" spans="1:9">
      <c r="A11" s="289">
        <v>4</v>
      </c>
      <c r="B11" s="292" t="s">
        <v>317</v>
      </c>
      <c r="C11" s="292" t="s">
        <v>318</v>
      </c>
      <c r="D11" s="301">
        <f>D9-D10</f>
        <v>-46146884.08512117</v>
      </c>
      <c r="E11" s="301">
        <f>E9-E10</f>
        <v>4916470.0201317715</v>
      </c>
      <c r="F11" s="308"/>
      <c r="G11" s="293"/>
      <c r="H11" s="293"/>
      <c r="I11" s="269"/>
    </row>
    <row r="12" spans="1:9">
      <c r="A12" s="289">
        <v>5</v>
      </c>
      <c r="B12" s="292" t="s">
        <v>319</v>
      </c>
      <c r="C12" s="292" t="s">
        <v>296</v>
      </c>
      <c r="D12" s="472">
        <v>1573181281</v>
      </c>
      <c r="E12" s="472">
        <f>243676962-51943652</f>
        <v>191733310</v>
      </c>
      <c r="F12" s="308"/>
      <c r="G12" s="305"/>
      <c r="H12" s="305"/>
      <c r="I12" s="513"/>
    </row>
    <row r="13" spans="1:9">
      <c r="A13" s="289">
        <v>6</v>
      </c>
      <c r="B13" s="292" t="s">
        <v>320</v>
      </c>
      <c r="C13" s="292" t="s">
        <v>321</v>
      </c>
      <c r="D13" s="302">
        <f>IFERROR(D11/D12,0)</f>
        <v>-2.9333481552607649E-2</v>
      </c>
      <c r="E13" s="302">
        <f>IFERROR(E11/E12,0)</f>
        <v>2.5642232015562511E-2</v>
      </c>
      <c r="F13" s="303"/>
      <c r="G13" s="48"/>
      <c r="H13" s="48"/>
      <c r="I13" s="513"/>
    </row>
    <row r="14" spans="1:9">
      <c r="A14" s="289">
        <v>7</v>
      </c>
      <c r="B14" s="292" t="s">
        <v>522</v>
      </c>
      <c r="C14" s="292" t="s">
        <v>374</v>
      </c>
      <c r="D14" s="839">
        <v>344535.74000000005</v>
      </c>
      <c r="E14" s="1224">
        <v>0</v>
      </c>
      <c r="F14" s="303"/>
      <c r="G14" s="507"/>
      <c r="H14" s="507"/>
      <c r="I14" s="269"/>
    </row>
    <row r="15" spans="1:9">
      <c r="A15" s="289">
        <v>8</v>
      </c>
      <c r="B15" s="292" t="s">
        <v>381</v>
      </c>
      <c r="C15" s="292" t="s">
        <v>322</v>
      </c>
      <c r="D15" s="666">
        <f>D13*D14</f>
        <v>-10106.432773504026</v>
      </c>
      <c r="E15" s="1225">
        <f>E13*E14</f>
        <v>0</v>
      </c>
      <c r="F15" s="504">
        <f>SUM(D15:E15)</f>
        <v>-10106.432773504026</v>
      </c>
      <c r="G15" s="269"/>
      <c r="H15" s="269"/>
      <c r="I15" s="269"/>
    </row>
    <row r="16" spans="1:9">
      <c r="A16" s="289">
        <v>9</v>
      </c>
      <c r="B16" s="304"/>
      <c r="C16" s="292"/>
      <c r="D16" s="292"/>
      <c r="E16" s="545"/>
      <c r="F16" s="303"/>
      <c r="G16" s="269"/>
      <c r="H16" s="269"/>
      <c r="I16" s="513"/>
    </row>
    <row r="17" spans="1:17">
      <c r="A17" s="340"/>
      <c r="B17" s="308"/>
      <c r="C17" s="308"/>
      <c r="D17" s="308"/>
      <c r="E17" s="308"/>
      <c r="F17" s="303"/>
      <c r="G17" s="656"/>
      <c r="H17" s="656"/>
      <c r="I17" s="656"/>
    </row>
    <row r="18" spans="1:17">
      <c r="A18" s="208">
        <v>10</v>
      </c>
      <c r="B18" s="304" t="s">
        <v>695</v>
      </c>
      <c r="C18" s="308"/>
      <c r="D18" s="747"/>
      <c r="E18" s="747"/>
      <c r="F18" s="1189">
        <v>0</v>
      </c>
      <c r="G18" s="507"/>
      <c r="H18" s="507"/>
      <c r="I18" s="507"/>
      <c r="J18" s="507"/>
      <c r="K18" s="507"/>
      <c r="L18" s="507"/>
      <c r="M18" s="507"/>
      <c r="N18" s="507"/>
      <c r="O18" s="507"/>
      <c r="P18" s="507"/>
      <c r="Q18" s="507"/>
    </row>
    <row r="19" spans="1:17">
      <c r="A19" s="468"/>
      <c r="B19" s="308"/>
      <c r="C19" s="308"/>
      <c r="D19" s="308"/>
      <c r="E19" s="308"/>
      <c r="F19" s="308"/>
      <c r="G19" s="507"/>
      <c r="H19" s="507"/>
      <c r="I19" s="507"/>
      <c r="J19" s="507"/>
      <c r="K19" s="507"/>
      <c r="L19" s="507"/>
      <c r="M19" s="507"/>
      <c r="N19" s="507"/>
      <c r="O19" s="507"/>
      <c r="P19" s="507"/>
      <c r="Q19" s="507"/>
    </row>
    <row r="20" spans="1:17">
      <c r="B20" s="507"/>
      <c r="C20" s="308"/>
      <c r="D20" s="308"/>
      <c r="E20" s="308"/>
      <c r="F20" s="308"/>
      <c r="G20" s="294"/>
      <c r="H20" s="294"/>
      <c r="I20" s="294"/>
      <c r="J20" s="294"/>
      <c r="K20" s="294"/>
      <c r="L20" s="294"/>
      <c r="M20" s="294"/>
      <c r="N20" s="294"/>
      <c r="O20" s="294"/>
      <c r="P20" s="294"/>
      <c r="Q20" s="294"/>
    </row>
    <row r="21" spans="1:17">
      <c r="A21" s="469" t="s">
        <v>523</v>
      </c>
      <c r="B21" s="507"/>
      <c r="C21" s="308"/>
      <c r="D21" s="308"/>
      <c r="E21" s="308"/>
      <c r="F21" s="308"/>
      <c r="G21" s="656"/>
      <c r="H21" s="656"/>
      <c r="I21" s="656"/>
    </row>
    <row r="22" spans="1:17" ht="26.25" customHeight="1">
      <c r="A22" s="529" t="s">
        <v>62</v>
      </c>
      <c r="B22" s="1251" t="s">
        <v>790</v>
      </c>
      <c r="C22" s="1251"/>
      <c r="D22" s="1251"/>
      <c r="E22" s="1251"/>
      <c r="F22" s="1251"/>
      <c r="G22" s="656"/>
      <c r="H22" s="656"/>
      <c r="I22" s="656"/>
    </row>
    <row r="23" spans="1:17">
      <c r="A23" s="670"/>
      <c r="B23" s="670"/>
      <c r="C23" s="756"/>
      <c r="D23" s="756"/>
      <c r="E23" s="756"/>
      <c r="F23" s="756"/>
      <c r="G23" s="656"/>
      <c r="H23" s="656"/>
      <c r="I23" s="656"/>
    </row>
    <row r="24" spans="1:17" ht="27.75" customHeight="1">
      <c r="A24" s="780" t="s">
        <v>63</v>
      </c>
      <c r="B24" s="1250" t="s">
        <v>816</v>
      </c>
      <c r="C24" s="1250"/>
      <c r="D24" s="1250"/>
      <c r="E24" s="1250"/>
      <c r="F24" s="1250"/>
      <c r="G24" s="656"/>
      <c r="H24" s="656"/>
      <c r="I24" s="656"/>
    </row>
    <row r="25" spans="1:17">
      <c r="A25" s="670"/>
      <c r="B25" s="670"/>
      <c r="C25" s="670"/>
      <c r="D25" s="670"/>
      <c r="E25" s="670"/>
      <c r="F25" s="670"/>
      <c r="G25" s="656"/>
      <c r="H25" s="656"/>
      <c r="I25" s="656"/>
    </row>
    <row r="26" spans="1:17">
      <c r="A26" s="780" t="s">
        <v>64</v>
      </c>
      <c r="B26" s="757" t="s">
        <v>729</v>
      </c>
      <c r="C26" s="781"/>
      <c r="D26" s="781"/>
      <c r="E26" s="670"/>
      <c r="F26" s="670"/>
      <c r="G26" s="656"/>
      <c r="H26" s="656"/>
      <c r="I26" s="656"/>
    </row>
    <row r="27" spans="1:17">
      <c r="G27" s="656"/>
      <c r="H27" s="656"/>
      <c r="I27" s="656"/>
    </row>
    <row r="28" spans="1:17">
      <c r="G28" s="656"/>
      <c r="H28" s="656"/>
      <c r="I28" s="656"/>
    </row>
    <row r="29" spans="1:17" s="655" customFormat="1">
      <c r="B29" s="663"/>
      <c r="C29" s="663"/>
      <c r="D29" s="663"/>
      <c r="G29" s="656"/>
      <c r="H29" s="656"/>
      <c r="I29" s="656"/>
    </row>
    <row r="30" spans="1:17" s="655" customFormat="1">
      <c r="B30" s="663"/>
      <c r="C30" s="663"/>
      <c r="D30" s="663"/>
      <c r="G30" s="656"/>
      <c r="H30" s="656"/>
      <c r="I30" s="656"/>
    </row>
    <row r="31" spans="1:17" s="655" customFormat="1">
      <c r="B31" s="663"/>
      <c r="C31" s="663"/>
      <c r="D31" s="663"/>
    </row>
    <row r="32" spans="1:17" s="655" customFormat="1">
      <c r="B32" s="663"/>
      <c r="C32" s="663"/>
      <c r="D32" s="663"/>
    </row>
    <row r="33" spans="2:4" s="655" customFormat="1">
      <c r="B33" s="663"/>
      <c r="C33" s="663"/>
      <c r="D33" s="663"/>
    </row>
    <row r="34" spans="2:4" s="655" customFormat="1"/>
  </sheetData>
  <customSheetViews>
    <customSheetView guid="{F1DC5514-577A-46EB-866C-26F0BED2C286}" scale="75" showPageBreaks="1" fitToPage="1" view="pageBreakPreview">
      <selection sqref="A1:F1"/>
      <pageMargins left="0.7" right="0.7" top="0.75" bottom="0.75" header="0.3" footer="0.3"/>
      <pageSetup scale="91" orientation="landscape" r:id="rId1"/>
    </customSheetView>
    <customSheetView guid="{63AFAF34-E340-4B5E-A289-FFB7051CA9B6}" showPageBreaks="1" fitToPage="1">
      <selection activeCell="D9" sqref="D9"/>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91" orientation="landscape"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33"/>
  <sheetViews>
    <sheetView view="pageBreakPreview" zoomScale="85" zoomScaleNormal="90" zoomScaleSheetLayoutView="85" workbookViewId="0">
      <selection activeCell="D92" sqref="D92"/>
    </sheetView>
  </sheetViews>
  <sheetFormatPr defaultColWidth="8.84375" defaultRowHeight="13"/>
  <cols>
    <col min="1" max="1" width="5.07421875" style="333" bestFit="1" customWidth="1"/>
    <col min="2" max="2" width="41.84375" style="334" customWidth="1"/>
    <col min="3" max="3" width="14.69140625" style="334" customWidth="1"/>
    <col min="4" max="4" width="14.3046875" style="334" customWidth="1"/>
    <col min="5" max="5" width="11.69140625" style="334" customWidth="1"/>
    <col min="6" max="6" width="14.07421875" style="334" customWidth="1"/>
    <col min="7" max="7" width="13" style="334" bestFit="1" customWidth="1"/>
    <col min="8" max="8" width="11.07421875" style="334" bestFit="1" customWidth="1"/>
    <col min="9" max="10" width="11.84375" style="334" customWidth="1"/>
    <col min="11" max="11" width="13.53515625" style="334" customWidth="1"/>
    <col min="12" max="12" width="7.07421875" style="334" customWidth="1"/>
    <col min="13" max="13" width="12.07421875" style="334" customWidth="1"/>
    <col min="14" max="14" width="8.07421875" style="334" customWidth="1"/>
    <col min="15" max="15" width="7.69140625" style="334" bestFit="1" customWidth="1"/>
    <col min="16" max="16" width="11.69140625" style="334" bestFit="1" customWidth="1"/>
    <col min="17" max="17" width="10.84375" style="334" bestFit="1" customWidth="1"/>
    <col min="18" max="16384" width="8.84375" style="334"/>
  </cols>
  <sheetData>
    <row r="1" spans="1:12" s="320" customFormat="1" ht="15" customHeight="1">
      <c r="A1" s="1296" t="s">
        <v>382</v>
      </c>
      <c r="B1" s="1296"/>
      <c r="C1" s="1296"/>
      <c r="D1" s="1296"/>
      <c r="E1" s="1296"/>
      <c r="F1" s="1296"/>
      <c r="G1" s="1296"/>
      <c r="H1" s="345"/>
      <c r="I1" s="345"/>
      <c r="J1" s="345"/>
      <c r="K1" s="345"/>
    </row>
    <row r="2" spans="1:12" s="320" customFormat="1">
      <c r="A2" s="1296" t="s">
        <v>700</v>
      </c>
      <c r="B2" s="1296"/>
      <c r="C2" s="1296"/>
      <c r="D2" s="1296"/>
      <c r="E2" s="1296"/>
      <c r="F2" s="1296"/>
      <c r="G2" s="1296"/>
      <c r="H2" s="345"/>
      <c r="I2" s="345"/>
      <c r="J2" s="345"/>
      <c r="K2" s="345"/>
    </row>
    <row r="3" spans="1:12" s="320" customFormat="1" ht="15" customHeight="1">
      <c r="A3" s="1267" t="str">
        <f>+'Attachment H-29A'!D5</f>
        <v>Transource Pennsylvania, LLC</v>
      </c>
      <c r="B3" s="1267"/>
      <c r="C3" s="1267"/>
      <c r="D3" s="1267"/>
      <c r="E3" s="1267"/>
      <c r="F3" s="1267"/>
      <c r="G3" s="1267"/>
      <c r="H3" s="38"/>
      <c r="I3" s="38"/>
      <c r="J3" s="38"/>
      <c r="K3" s="38"/>
      <c r="L3" s="321"/>
    </row>
    <row r="4" spans="1:12" s="320" customFormat="1">
      <c r="A4" s="367"/>
      <c r="L4" s="321"/>
    </row>
    <row r="5" spans="1:12" s="320" customFormat="1" ht="35.25" customHeight="1">
      <c r="A5" s="1254" t="s">
        <v>765</v>
      </c>
      <c r="B5" s="1254"/>
      <c r="C5" s="1254"/>
      <c r="D5" s="1254"/>
      <c r="E5" s="1254"/>
      <c r="F5" s="1254"/>
      <c r="G5" s="1254"/>
      <c r="H5" s="1254"/>
      <c r="I5" s="1254"/>
      <c r="J5" s="321"/>
      <c r="K5" s="321"/>
      <c r="L5" s="321"/>
    </row>
    <row r="6" spans="1:12" s="320" customFormat="1" ht="27" customHeight="1">
      <c r="A6" s="1254" t="s">
        <v>722</v>
      </c>
      <c r="B6" s="1254"/>
      <c r="C6" s="1254"/>
      <c r="D6" s="1254"/>
      <c r="E6" s="1254"/>
      <c r="F6" s="1254"/>
      <c r="G6" s="1254"/>
      <c r="H6" s="1254"/>
      <c r="I6" s="1254"/>
      <c r="J6" s="321"/>
      <c r="K6" s="321"/>
      <c r="L6" s="321"/>
    </row>
    <row r="7" spans="1:12" s="320" customFormat="1" ht="31.5" customHeight="1">
      <c r="A7" s="1297" t="s">
        <v>723</v>
      </c>
      <c r="B7" s="1297"/>
      <c r="C7" s="1297"/>
      <c r="D7" s="1297"/>
      <c r="E7" s="1297"/>
      <c r="F7" s="1297"/>
      <c r="G7" s="1297"/>
      <c r="H7" s="1297"/>
      <c r="I7" s="1297"/>
      <c r="J7" s="335"/>
      <c r="K7" s="335"/>
      <c r="L7" s="368"/>
    </row>
    <row r="8" spans="1:12" s="320" customFormat="1" ht="18.75" customHeight="1">
      <c r="A8" s="1254" t="s">
        <v>696</v>
      </c>
      <c r="B8" s="1254"/>
      <c r="C8" s="1254"/>
      <c r="D8" s="1254"/>
      <c r="E8" s="1254"/>
      <c r="F8" s="1254"/>
      <c r="G8" s="1254"/>
      <c r="H8" s="1254"/>
      <c r="I8" s="1254"/>
      <c r="J8" s="335"/>
      <c r="K8" s="335"/>
      <c r="L8" s="368"/>
    </row>
    <row r="9" spans="1:12" s="320" customFormat="1" ht="31.5" customHeight="1">
      <c r="A9" s="1254" t="s">
        <v>707</v>
      </c>
      <c r="B9" s="1254"/>
      <c r="C9" s="1254"/>
      <c r="D9" s="1254"/>
      <c r="E9" s="1254"/>
      <c r="F9" s="1254"/>
      <c r="G9" s="1254"/>
      <c r="H9" s="1254"/>
      <c r="I9" s="1254"/>
      <c r="J9" s="335"/>
      <c r="K9" s="335"/>
      <c r="L9" s="673"/>
    </row>
    <row r="10" spans="1:12" s="320" customFormat="1" ht="29.25" customHeight="1">
      <c r="A10" s="213" t="s">
        <v>189</v>
      </c>
      <c r="C10" s="321"/>
      <c r="D10" s="321"/>
      <c r="E10" s="321"/>
      <c r="F10" s="321"/>
      <c r="G10" s="323"/>
      <c r="H10" s="321"/>
      <c r="I10" s="321"/>
      <c r="J10" s="321"/>
      <c r="K10" s="321"/>
      <c r="L10" s="321"/>
    </row>
    <row r="11" spans="1:12" s="320" customFormat="1" ht="16.5" customHeight="1">
      <c r="A11" s="369">
        <v>1</v>
      </c>
      <c r="B11" s="320" t="s">
        <v>593</v>
      </c>
      <c r="C11" s="364"/>
      <c r="D11" s="337" t="e">
        <f>I33</f>
        <v>#DIV/0!</v>
      </c>
      <c r="E11" s="364"/>
      <c r="F11" s="364"/>
      <c r="H11" s="321"/>
      <c r="I11" s="321"/>
      <c r="J11" s="321"/>
      <c r="K11" s="321"/>
      <c r="L11" s="321"/>
    </row>
    <row r="12" spans="1:12" s="320" customFormat="1" ht="16.5" customHeight="1">
      <c r="A12" s="369">
        <f>+A11+1</f>
        <v>2</v>
      </c>
      <c r="B12" s="320" t="s">
        <v>471</v>
      </c>
      <c r="C12" s="364"/>
      <c r="D12" s="337" t="e">
        <f>+G53</f>
        <v>#DIV/0!</v>
      </c>
      <c r="E12" s="364"/>
      <c r="F12" s="364"/>
      <c r="H12" s="321"/>
      <c r="I12" s="321"/>
      <c r="J12" s="321"/>
      <c r="K12" s="321"/>
      <c r="L12" s="321"/>
    </row>
    <row r="13" spans="1:12" s="320" customFormat="1" ht="16.5" customHeight="1">
      <c r="A13" s="369">
        <f>+A12+1</f>
        <v>3</v>
      </c>
      <c r="B13" s="342" t="s">
        <v>398</v>
      </c>
      <c r="C13" s="364"/>
      <c r="D13" s="343" t="e">
        <f>+D11+D12</f>
        <v>#DIV/0!</v>
      </c>
      <c r="E13" s="364"/>
      <c r="F13" s="364"/>
      <c r="H13" s="321"/>
      <c r="I13" s="321"/>
      <c r="J13" s="321"/>
      <c r="K13" s="321"/>
      <c r="L13" s="321"/>
    </row>
    <row r="14" spans="1:12" s="320" customFormat="1" ht="6" customHeight="1">
      <c r="A14" s="369"/>
      <c r="B14" s="324"/>
      <c r="C14" s="364"/>
      <c r="D14" s="353"/>
      <c r="E14" s="364"/>
      <c r="F14" s="364"/>
      <c r="H14" s="321"/>
      <c r="I14" s="321"/>
      <c r="J14" s="321"/>
      <c r="K14" s="321"/>
      <c r="L14" s="321"/>
    </row>
    <row r="15" spans="1:12" s="320" customFormat="1" ht="16.5" customHeight="1">
      <c r="A15" s="369"/>
      <c r="B15" s="324" t="s">
        <v>462</v>
      </c>
      <c r="C15" s="364"/>
      <c r="D15" s="353"/>
      <c r="E15" s="364"/>
      <c r="F15" s="364"/>
      <c r="H15" s="321"/>
      <c r="I15" s="321"/>
      <c r="J15" s="321"/>
      <c r="K15" s="321"/>
      <c r="L15" s="321"/>
    </row>
    <row r="16" spans="1:12" s="320" customFormat="1" ht="16.5" customHeight="1">
      <c r="A16" s="369">
        <f>A13+1</f>
        <v>4</v>
      </c>
      <c r="B16" s="321" t="s">
        <v>463</v>
      </c>
      <c r="C16" s="364"/>
      <c r="D16" s="749">
        <v>0</v>
      </c>
      <c r="E16" s="364"/>
      <c r="F16" s="364"/>
      <c r="H16" s="321"/>
      <c r="I16" s="321"/>
      <c r="J16" s="321"/>
      <c r="K16" s="321"/>
      <c r="L16" s="321"/>
    </row>
    <row r="17" spans="1:13" s="320" customFormat="1" ht="16.5" customHeight="1">
      <c r="A17" s="369">
        <f>A16+1</f>
        <v>5</v>
      </c>
      <c r="B17" s="321" t="s">
        <v>468</v>
      </c>
      <c r="C17" s="364"/>
      <c r="D17" s="749">
        <v>0</v>
      </c>
      <c r="E17" s="364"/>
      <c r="F17" s="364"/>
      <c r="H17" s="321"/>
      <c r="I17" s="321"/>
      <c r="J17" s="321"/>
      <c r="K17" s="321"/>
      <c r="L17" s="321"/>
    </row>
    <row r="18" spans="1:13" s="320" customFormat="1" ht="60.75" customHeight="1">
      <c r="A18" s="369"/>
      <c r="B18" s="3" t="s">
        <v>411</v>
      </c>
      <c r="C18" s="364"/>
      <c r="D18" s="351" t="s">
        <v>724</v>
      </c>
      <c r="E18" s="351" t="s">
        <v>464</v>
      </c>
      <c r="F18" s="381" t="s">
        <v>465</v>
      </c>
      <c r="G18" s="381" t="s">
        <v>720</v>
      </c>
      <c r="H18" s="381" t="s">
        <v>466</v>
      </c>
      <c r="I18" s="381" t="s">
        <v>467</v>
      </c>
      <c r="J18" s="321"/>
      <c r="K18" s="321"/>
      <c r="L18" s="321"/>
      <c r="M18" s="321"/>
    </row>
    <row r="19" spans="1:13" s="320" customFormat="1" ht="21" customHeight="1">
      <c r="A19" s="369"/>
      <c r="B19" s="365" t="s">
        <v>190</v>
      </c>
      <c r="C19" s="364"/>
      <c r="D19" s="352" t="s">
        <v>191</v>
      </c>
      <c r="E19" s="352" t="s">
        <v>192</v>
      </c>
      <c r="F19" s="352" t="s">
        <v>193</v>
      </c>
      <c r="G19" s="352" t="s">
        <v>195</v>
      </c>
      <c r="H19" s="352" t="s">
        <v>194</v>
      </c>
      <c r="I19" s="352" t="s">
        <v>196</v>
      </c>
      <c r="J19" s="321"/>
      <c r="K19" s="321"/>
      <c r="L19" s="321"/>
      <c r="M19" s="321"/>
    </row>
    <row r="20" spans="1:13" s="320" customFormat="1" ht="16.5" customHeight="1">
      <c r="A20" s="369">
        <f>A17+1</f>
        <v>6</v>
      </c>
      <c r="B20" s="5" t="s">
        <v>187</v>
      </c>
      <c r="C20" s="364"/>
      <c r="D20" s="1173">
        <v>0</v>
      </c>
      <c r="E20" s="1173">
        <v>0</v>
      </c>
      <c r="F20" s="1175">
        <f>D20-E20</f>
        <v>0</v>
      </c>
      <c r="G20" s="1175">
        <f>($D$16/12)*F20</f>
        <v>0</v>
      </c>
      <c r="H20" s="1175">
        <f>($D$17/12)*E20</f>
        <v>0</v>
      </c>
      <c r="I20" s="321"/>
      <c r="J20" s="321"/>
      <c r="K20" s="321"/>
      <c r="L20" s="321"/>
      <c r="M20" s="321"/>
    </row>
    <row r="21" spans="1:13" s="320" customFormat="1" ht="16.5" customHeight="1">
      <c r="A21" s="369">
        <f>+A20+1</f>
        <v>7</v>
      </c>
      <c r="B21" s="5" t="s">
        <v>85</v>
      </c>
      <c r="C21" s="364"/>
      <c r="D21" s="1173">
        <v>0</v>
      </c>
      <c r="E21" s="1173">
        <v>0</v>
      </c>
      <c r="F21" s="1175">
        <f t="shared" ref="F21:F32" si="0">D21-E21</f>
        <v>0</v>
      </c>
      <c r="G21" s="1175">
        <f t="shared" ref="G21:G32" si="1">($D$16/12)*F21</f>
        <v>0</v>
      </c>
      <c r="H21" s="1175">
        <f t="shared" ref="H21:H32" si="2">($D$17/12)*E21</f>
        <v>0</v>
      </c>
      <c r="I21" s="321"/>
      <c r="J21" s="321"/>
      <c r="K21" s="321"/>
      <c r="L21" s="321"/>
      <c r="M21" s="321"/>
    </row>
    <row r="22" spans="1:13" s="320" customFormat="1" ht="16.5" customHeight="1">
      <c r="A22" s="369">
        <f t="shared" ref="A22:A33" si="3">+A21+1</f>
        <v>8</v>
      </c>
      <c r="B22" s="1" t="s">
        <v>84</v>
      </c>
      <c r="C22" s="364"/>
      <c r="D22" s="1173">
        <v>0</v>
      </c>
      <c r="E22" s="1173">
        <v>0</v>
      </c>
      <c r="F22" s="1175">
        <f t="shared" si="0"/>
        <v>0</v>
      </c>
      <c r="G22" s="1175">
        <f t="shared" si="1"/>
        <v>0</v>
      </c>
      <c r="H22" s="1175">
        <f t="shared" si="2"/>
        <v>0</v>
      </c>
      <c r="I22" s="321"/>
      <c r="J22" s="321"/>
      <c r="K22" s="321"/>
      <c r="L22" s="321"/>
      <c r="M22" s="321"/>
    </row>
    <row r="23" spans="1:13" s="320" customFormat="1" ht="16.5" customHeight="1">
      <c r="A23" s="369">
        <f t="shared" si="3"/>
        <v>9</v>
      </c>
      <c r="B23" s="1" t="s">
        <v>164</v>
      </c>
      <c r="C23" s="364"/>
      <c r="D23" s="1173">
        <v>0</v>
      </c>
      <c r="E23" s="1173">
        <v>0</v>
      </c>
      <c r="F23" s="1175">
        <f t="shared" si="0"/>
        <v>0</v>
      </c>
      <c r="G23" s="1175">
        <f>($D$16/12)*F23</f>
        <v>0</v>
      </c>
      <c r="H23" s="1175">
        <f t="shared" si="2"/>
        <v>0</v>
      </c>
      <c r="I23" s="321"/>
      <c r="J23" s="321"/>
      <c r="K23" s="321"/>
      <c r="L23" s="321"/>
      <c r="M23" s="321"/>
    </row>
    <row r="24" spans="1:13" s="320" customFormat="1" ht="16.5" customHeight="1">
      <c r="A24" s="369">
        <f t="shared" si="3"/>
        <v>10</v>
      </c>
      <c r="B24" s="1" t="s">
        <v>76</v>
      </c>
      <c r="C24" s="364"/>
      <c r="D24" s="1173">
        <v>0</v>
      </c>
      <c r="E24" s="1173">
        <v>0</v>
      </c>
      <c r="F24" s="1175">
        <f t="shared" si="0"/>
        <v>0</v>
      </c>
      <c r="G24" s="1175">
        <f t="shared" si="1"/>
        <v>0</v>
      </c>
      <c r="H24" s="1175">
        <f>($D$17/12)*E24</f>
        <v>0</v>
      </c>
      <c r="I24" s="321"/>
      <c r="J24" s="321"/>
      <c r="K24" s="321"/>
      <c r="L24" s="321"/>
      <c r="M24" s="321"/>
    </row>
    <row r="25" spans="1:13" s="320" customFormat="1" ht="16.5" customHeight="1">
      <c r="A25" s="369">
        <f t="shared" si="3"/>
        <v>11</v>
      </c>
      <c r="B25" s="1" t="s">
        <v>75</v>
      </c>
      <c r="C25" s="364"/>
      <c r="D25" s="1173">
        <v>0</v>
      </c>
      <c r="E25" s="1173">
        <v>0</v>
      </c>
      <c r="F25" s="1175">
        <f t="shared" si="0"/>
        <v>0</v>
      </c>
      <c r="G25" s="1175">
        <f t="shared" si="1"/>
        <v>0</v>
      </c>
      <c r="H25" s="1175">
        <f t="shared" si="2"/>
        <v>0</v>
      </c>
      <c r="I25" s="321"/>
      <c r="J25" s="321"/>
      <c r="K25" s="321"/>
      <c r="L25" s="321"/>
      <c r="M25" s="321"/>
    </row>
    <row r="26" spans="1:13" s="320" customFormat="1" ht="16.5" customHeight="1">
      <c r="A26" s="369">
        <f t="shared" si="3"/>
        <v>12</v>
      </c>
      <c r="B26" s="1" t="s">
        <v>92</v>
      </c>
      <c r="C26" s="364"/>
      <c r="D26" s="1173">
        <v>0</v>
      </c>
      <c r="E26" s="1173">
        <v>0</v>
      </c>
      <c r="F26" s="1175">
        <f t="shared" si="0"/>
        <v>0</v>
      </c>
      <c r="G26" s="1175">
        <f t="shared" si="1"/>
        <v>0</v>
      </c>
      <c r="H26" s="1175">
        <f t="shared" si="2"/>
        <v>0</v>
      </c>
      <c r="I26" s="321"/>
      <c r="J26" s="321"/>
      <c r="K26" s="321"/>
      <c r="L26" s="321"/>
      <c r="M26" s="321"/>
    </row>
    <row r="27" spans="1:13" s="320" customFormat="1" ht="16.5" customHeight="1">
      <c r="A27" s="369">
        <f t="shared" si="3"/>
        <v>13</v>
      </c>
      <c r="B27" s="1" t="s">
        <v>82</v>
      </c>
      <c r="C27" s="364"/>
      <c r="D27" s="1173">
        <v>0</v>
      </c>
      <c r="E27" s="1173">
        <v>0</v>
      </c>
      <c r="F27" s="1175">
        <f t="shared" si="0"/>
        <v>0</v>
      </c>
      <c r="G27" s="1175">
        <f t="shared" si="1"/>
        <v>0</v>
      </c>
      <c r="H27" s="1175">
        <f t="shared" si="2"/>
        <v>0</v>
      </c>
      <c r="I27" s="321"/>
      <c r="J27" s="321"/>
      <c r="K27" s="321"/>
      <c r="L27" s="321"/>
      <c r="M27" s="321"/>
    </row>
    <row r="28" spans="1:13" s="320" customFormat="1" ht="16.5" customHeight="1">
      <c r="A28" s="369">
        <f t="shared" si="3"/>
        <v>14</v>
      </c>
      <c r="B28" s="1" t="s">
        <v>165</v>
      </c>
      <c r="C28" s="364"/>
      <c r="D28" s="1173">
        <v>0</v>
      </c>
      <c r="E28" s="1173">
        <v>0</v>
      </c>
      <c r="F28" s="1175">
        <f t="shared" si="0"/>
        <v>0</v>
      </c>
      <c r="G28" s="1175">
        <f>($D$16/12)*F28</f>
        <v>0</v>
      </c>
      <c r="H28" s="1175">
        <f t="shared" si="2"/>
        <v>0</v>
      </c>
      <c r="I28" s="321"/>
      <c r="J28" s="321"/>
      <c r="K28" s="321"/>
      <c r="L28" s="321"/>
      <c r="M28" s="321"/>
    </row>
    <row r="29" spans="1:13" s="320" customFormat="1" ht="16.5" customHeight="1">
      <c r="A29" s="369">
        <f t="shared" si="3"/>
        <v>15</v>
      </c>
      <c r="B29" s="1" t="s">
        <v>80</v>
      </c>
      <c r="C29" s="364"/>
      <c r="D29" s="1173">
        <v>0</v>
      </c>
      <c r="E29" s="1173">
        <v>0</v>
      </c>
      <c r="F29" s="1175">
        <f t="shared" si="0"/>
        <v>0</v>
      </c>
      <c r="G29" s="1175">
        <f t="shared" si="1"/>
        <v>0</v>
      </c>
      <c r="H29" s="1175">
        <f t="shared" si="2"/>
        <v>0</v>
      </c>
      <c r="I29" s="321"/>
      <c r="J29" s="321"/>
      <c r="K29" s="321"/>
      <c r="L29" s="321"/>
      <c r="M29" s="321"/>
    </row>
    <row r="30" spans="1:13" s="320" customFormat="1" ht="16.5" customHeight="1">
      <c r="A30" s="369">
        <f t="shared" si="3"/>
        <v>16</v>
      </c>
      <c r="B30" s="1" t="s">
        <v>86</v>
      </c>
      <c r="C30" s="364"/>
      <c r="D30" s="1173">
        <v>0</v>
      </c>
      <c r="E30" s="1173">
        <v>0</v>
      </c>
      <c r="F30" s="1175">
        <f t="shared" si="0"/>
        <v>0</v>
      </c>
      <c r="G30" s="1175">
        <f t="shared" si="1"/>
        <v>0</v>
      </c>
      <c r="H30" s="1175">
        <f t="shared" si="2"/>
        <v>0</v>
      </c>
      <c r="I30" s="321"/>
      <c r="J30" s="321"/>
      <c r="K30" s="321"/>
      <c r="L30" s="321"/>
      <c r="M30" s="321"/>
    </row>
    <row r="31" spans="1:13" s="320" customFormat="1" ht="16.5" customHeight="1">
      <c r="A31" s="369">
        <f t="shared" si="3"/>
        <v>17</v>
      </c>
      <c r="B31" s="1" t="s">
        <v>79</v>
      </c>
      <c r="C31" s="364"/>
      <c r="D31" s="1173">
        <v>0</v>
      </c>
      <c r="E31" s="1173">
        <v>0</v>
      </c>
      <c r="F31" s="1175">
        <f t="shared" si="0"/>
        <v>0</v>
      </c>
      <c r="G31" s="1175">
        <f t="shared" si="1"/>
        <v>0</v>
      </c>
      <c r="H31" s="1175">
        <f t="shared" si="2"/>
        <v>0</v>
      </c>
      <c r="I31" s="321"/>
      <c r="J31" s="321"/>
      <c r="K31" s="321"/>
      <c r="L31" s="321"/>
      <c r="M31" s="321"/>
    </row>
    <row r="32" spans="1:13" s="320" customFormat="1" ht="16.5" customHeight="1">
      <c r="A32" s="369">
        <f t="shared" si="3"/>
        <v>18</v>
      </c>
      <c r="B32" s="1" t="s">
        <v>188</v>
      </c>
      <c r="C32" s="364"/>
      <c r="D32" s="1174">
        <v>0</v>
      </c>
      <c r="E32" s="1174">
        <v>0</v>
      </c>
      <c r="F32" s="1176">
        <f t="shared" si="0"/>
        <v>0</v>
      </c>
      <c r="G32" s="1176">
        <f t="shared" si="1"/>
        <v>0</v>
      </c>
      <c r="H32" s="1176">
        <f t="shared" si="2"/>
        <v>0</v>
      </c>
      <c r="I32" s="382"/>
      <c r="J32" s="321"/>
      <c r="K32" s="321"/>
      <c r="L32" s="321"/>
      <c r="M32" s="321"/>
    </row>
    <row r="33" spans="1:13" s="320" customFormat="1" ht="16.5" customHeight="1">
      <c r="A33" s="369">
        <f t="shared" si="3"/>
        <v>19</v>
      </c>
      <c r="B33" s="7" t="s">
        <v>242</v>
      </c>
      <c r="C33" s="364"/>
      <c r="D33" s="785"/>
      <c r="E33" s="383">
        <f>SUM(E20:E32)/13</f>
        <v>0</v>
      </c>
      <c r="F33" s="1177"/>
      <c r="G33" s="1175">
        <f>SUM(G20:G32)</f>
        <v>0</v>
      </c>
      <c r="H33" s="1175">
        <f>SUM(H20:H32)</f>
        <v>0</v>
      </c>
      <c r="I33" s="337" t="e">
        <f>(G33+H33)/E33</f>
        <v>#DIV/0!</v>
      </c>
      <c r="J33" s="321"/>
      <c r="K33" s="321"/>
      <c r="L33" s="321"/>
      <c r="M33" s="321"/>
    </row>
    <row r="34" spans="1:13" s="320" customFormat="1" ht="21" customHeight="1">
      <c r="A34" s="369"/>
      <c r="B34" s="384"/>
      <c r="C34" s="321"/>
      <c r="D34" s="321"/>
      <c r="E34" s="321"/>
      <c r="F34" s="321"/>
      <c r="G34" s="323"/>
      <c r="H34" s="327"/>
      <c r="I34" s="321"/>
      <c r="J34" s="321"/>
      <c r="K34" s="321"/>
      <c r="L34" s="321"/>
    </row>
    <row r="35" spans="1:13" s="320" customFormat="1" ht="15.75" customHeight="1">
      <c r="A35" s="369"/>
      <c r="B35" s="1254" t="s">
        <v>660</v>
      </c>
      <c r="C35" s="1254"/>
      <c r="D35" s="1254"/>
      <c r="E35" s="1254"/>
      <c r="F35" s="1254"/>
      <c r="G35" s="1254"/>
      <c r="H35" s="1254"/>
      <c r="I35" s="1254"/>
      <c r="J35" s="321"/>
      <c r="K35" s="321"/>
      <c r="L35" s="321"/>
    </row>
    <row r="36" spans="1:13" s="320" customFormat="1">
      <c r="A36" s="369"/>
      <c r="B36" s="321"/>
      <c r="C36" s="208" t="s">
        <v>190</v>
      </c>
      <c r="D36" s="208" t="s">
        <v>191</v>
      </c>
      <c r="E36" s="349" t="s">
        <v>402</v>
      </c>
      <c r="F36" s="339" t="s">
        <v>193</v>
      </c>
      <c r="G36" s="339" t="s">
        <v>195</v>
      </c>
      <c r="H36" s="339" t="s">
        <v>194</v>
      </c>
      <c r="I36" s="339" t="s">
        <v>196</v>
      </c>
      <c r="J36" s="321"/>
      <c r="K36" s="321"/>
      <c r="L36" s="321"/>
    </row>
    <row r="37" spans="1:13" s="320" customFormat="1" ht="55.5" customHeight="1">
      <c r="A37" s="369"/>
      <c r="B37" s="324" t="s">
        <v>386</v>
      </c>
      <c r="C37" s="344" t="s">
        <v>387</v>
      </c>
      <c r="D37" s="281" t="s">
        <v>401</v>
      </c>
      <c r="E37" s="346" t="s">
        <v>406</v>
      </c>
      <c r="F37" s="346" t="s">
        <v>403</v>
      </c>
      <c r="G37" s="346" t="s">
        <v>412</v>
      </c>
      <c r="H37" s="346" t="s">
        <v>407</v>
      </c>
      <c r="I37" s="346" t="s">
        <v>408</v>
      </c>
      <c r="J37" s="321"/>
      <c r="K37" s="321"/>
      <c r="L37" s="321"/>
    </row>
    <row r="38" spans="1:13" s="320" customFormat="1">
      <c r="A38" s="369">
        <f>+A33+1</f>
        <v>20</v>
      </c>
      <c r="B38" s="321" t="s">
        <v>388</v>
      </c>
      <c r="C38" s="819"/>
      <c r="D38" s="831"/>
      <c r="E38" s="823"/>
      <c r="F38" s="823"/>
      <c r="G38" s="350" t="e">
        <f t="shared" ref="G38:G43" si="4">+D38/F38</f>
        <v>#DIV/0!</v>
      </c>
      <c r="H38" s="832"/>
      <c r="I38" s="350" t="e">
        <f t="shared" ref="I38:I43" si="5">MAX(+D38-G38-H38,0)</f>
        <v>#DIV/0!</v>
      </c>
      <c r="J38" s="340"/>
      <c r="K38" s="327"/>
      <c r="L38" s="321"/>
    </row>
    <row r="39" spans="1:13" s="320" customFormat="1">
      <c r="A39" s="369">
        <f>+A38+1</f>
        <v>21</v>
      </c>
      <c r="B39" s="321" t="s">
        <v>389</v>
      </c>
      <c r="C39" s="820"/>
      <c r="D39" s="831"/>
      <c r="E39" s="823"/>
      <c r="F39" s="823"/>
      <c r="G39" s="350" t="e">
        <f t="shared" si="4"/>
        <v>#DIV/0!</v>
      </c>
      <c r="H39" s="833"/>
      <c r="I39" s="350" t="e">
        <f t="shared" si="5"/>
        <v>#DIV/0!</v>
      </c>
      <c r="J39" s="328"/>
      <c r="K39" s="321"/>
      <c r="L39" s="321"/>
      <c r="M39" s="329"/>
    </row>
    <row r="40" spans="1:13" s="320" customFormat="1">
      <c r="A40" s="369">
        <f t="shared" ref="A40:A53" si="6">+A39+1</f>
        <v>22</v>
      </c>
      <c r="B40" s="321" t="s">
        <v>390</v>
      </c>
      <c r="C40" s="820"/>
      <c r="D40" s="831"/>
      <c r="E40" s="823"/>
      <c r="F40" s="823"/>
      <c r="G40" s="350" t="e">
        <f t="shared" si="4"/>
        <v>#DIV/0!</v>
      </c>
      <c r="H40" s="833"/>
      <c r="I40" s="350" t="e">
        <f t="shared" si="5"/>
        <v>#DIV/0!</v>
      </c>
      <c r="J40" s="328"/>
      <c r="K40" s="330"/>
      <c r="L40" s="321"/>
    </row>
    <row r="41" spans="1:13" s="320" customFormat="1">
      <c r="A41" s="369">
        <f t="shared" si="6"/>
        <v>23</v>
      </c>
      <c r="B41" s="321" t="s">
        <v>391</v>
      </c>
      <c r="C41" s="820"/>
      <c r="D41" s="831"/>
      <c r="E41" s="823"/>
      <c r="F41" s="823"/>
      <c r="G41" s="350" t="e">
        <f t="shared" si="4"/>
        <v>#DIV/0!</v>
      </c>
      <c r="H41" s="833"/>
      <c r="I41" s="350" t="e">
        <f t="shared" si="5"/>
        <v>#DIV/0!</v>
      </c>
      <c r="J41" s="321"/>
      <c r="K41" s="321"/>
      <c r="L41" s="321"/>
    </row>
    <row r="42" spans="1:13" s="320" customFormat="1">
      <c r="A42" s="369">
        <f t="shared" si="6"/>
        <v>24</v>
      </c>
      <c r="B42" s="321" t="s">
        <v>392</v>
      </c>
      <c r="C42" s="820"/>
      <c r="D42" s="831"/>
      <c r="E42" s="823"/>
      <c r="F42" s="823"/>
      <c r="G42" s="350" t="e">
        <f t="shared" si="4"/>
        <v>#DIV/0!</v>
      </c>
      <c r="H42" s="833"/>
      <c r="I42" s="350" t="e">
        <f t="shared" si="5"/>
        <v>#DIV/0!</v>
      </c>
      <c r="J42" s="328"/>
      <c r="K42" s="321"/>
      <c r="L42" s="321"/>
    </row>
    <row r="43" spans="1:13" s="320" customFormat="1">
      <c r="A43" s="369">
        <f t="shared" si="6"/>
        <v>25</v>
      </c>
      <c r="B43" s="321" t="s">
        <v>404</v>
      </c>
      <c r="C43" s="821"/>
      <c r="D43" s="831"/>
      <c r="E43" s="823"/>
      <c r="F43" s="823"/>
      <c r="G43" s="350" t="e">
        <f t="shared" si="4"/>
        <v>#DIV/0!</v>
      </c>
      <c r="H43" s="834"/>
      <c r="I43" s="350" t="e">
        <f t="shared" si="5"/>
        <v>#DIV/0!</v>
      </c>
      <c r="J43" s="328"/>
      <c r="K43" s="321"/>
      <c r="L43" s="321"/>
    </row>
    <row r="44" spans="1:13" s="320" customFormat="1">
      <c r="A44" s="369">
        <f t="shared" si="6"/>
        <v>26</v>
      </c>
      <c r="B44" s="338" t="s">
        <v>413</v>
      </c>
      <c r="C44" s="341"/>
      <c r="D44" s="1161">
        <f>SUM(D38:D43)</f>
        <v>0</v>
      </c>
      <c r="E44" s="347"/>
      <c r="F44" s="338"/>
      <c r="G44" s="553" t="e">
        <f>SUM(G38:G43)</f>
        <v>#DIV/0!</v>
      </c>
      <c r="H44" s="1161">
        <f>SUM(H38:H43)</f>
        <v>0</v>
      </c>
      <c r="I44" s="553" t="e">
        <f>SUM(I38:I43)</f>
        <v>#DIV/0!</v>
      </c>
      <c r="J44" s="321"/>
      <c r="K44" s="321"/>
      <c r="L44" s="321"/>
    </row>
    <row r="45" spans="1:13" s="320" customFormat="1">
      <c r="A45" s="369">
        <f t="shared" si="6"/>
        <v>27</v>
      </c>
      <c r="B45" s="321"/>
      <c r="C45" s="328"/>
      <c r="D45" s="784"/>
      <c r="E45" s="282"/>
      <c r="G45" s="782"/>
      <c r="H45" s="782"/>
      <c r="I45" s="782"/>
      <c r="J45" s="321"/>
      <c r="K45" s="327"/>
      <c r="L45" s="321"/>
    </row>
    <row r="46" spans="1:13" s="320" customFormat="1">
      <c r="A46" s="369">
        <f t="shared" si="6"/>
        <v>28</v>
      </c>
      <c r="B46" s="324" t="s">
        <v>409</v>
      </c>
      <c r="C46" s="328"/>
      <c r="D46" s="784"/>
      <c r="E46" s="282"/>
      <c r="G46" s="1226"/>
      <c r="H46" s="783"/>
      <c r="I46" s="783"/>
      <c r="J46" s="321"/>
      <c r="K46" s="331"/>
      <c r="L46" s="321"/>
    </row>
    <row r="47" spans="1:13" s="320" customFormat="1">
      <c r="A47" s="369">
        <f t="shared" si="6"/>
        <v>29</v>
      </c>
      <c r="B47" s="321" t="s">
        <v>393</v>
      </c>
      <c r="C47" s="822"/>
      <c r="D47" s="831"/>
      <c r="E47" s="823"/>
      <c r="F47" s="170" t="s">
        <v>410</v>
      </c>
      <c r="G47" s="1226">
        <f>D47</f>
        <v>0</v>
      </c>
      <c r="H47" s="783" t="s">
        <v>410</v>
      </c>
      <c r="I47" s="783" t="s">
        <v>410</v>
      </c>
      <c r="J47" s="321"/>
      <c r="K47" s="331"/>
      <c r="L47" s="321"/>
    </row>
    <row r="48" spans="1:13" s="320" customFormat="1">
      <c r="A48" s="369">
        <f t="shared" si="6"/>
        <v>30</v>
      </c>
      <c r="B48" s="321" t="s">
        <v>394</v>
      </c>
      <c r="C48" s="822"/>
      <c r="D48" s="831"/>
      <c r="E48" s="823"/>
      <c r="F48" s="170" t="s">
        <v>410</v>
      </c>
      <c r="G48" s="1226">
        <f>D48</f>
        <v>0</v>
      </c>
      <c r="H48" s="783" t="s">
        <v>410</v>
      </c>
      <c r="I48" s="783" t="s">
        <v>410</v>
      </c>
      <c r="J48" s="321"/>
      <c r="K48" s="331"/>
      <c r="L48" s="321"/>
    </row>
    <row r="49" spans="1:12" s="320" customFormat="1">
      <c r="A49" s="369">
        <f t="shared" si="6"/>
        <v>31</v>
      </c>
      <c r="B49" s="321" t="s">
        <v>395</v>
      </c>
      <c r="C49" s="822"/>
      <c r="D49" s="831"/>
      <c r="E49" s="823"/>
      <c r="F49" s="170" t="s">
        <v>410</v>
      </c>
      <c r="G49" s="1226">
        <f>D49</f>
        <v>0</v>
      </c>
      <c r="H49" s="783" t="s">
        <v>410</v>
      </c>
      <c r="I49" s="783" t="s">
        <v>410</v>
      </c>
      <c r="J49" s="328"/>
      <c r="L49" s="321"/>
    </row>
    <row r="50" spans="1:12" s="320" customFormat="1">
      <c r="A50" s="369">
        <f t="shared" si="6"/>
        <v>32</v>
      </c>
      <c r="B50" s="321" t="s">
        <v>397</v>
      </c>
      <c r="C50" s="835"/>
      <c r="D50" s="837"/>
      <c r="E50" s="836"/>
      <c r="F50" s="170" t="s">
        <v>410</v>
      </c>
      <c r="G50" s="1226">
        <f>D50</f>
        <v>0</v>
      </c>
      <c r="H50" s="783" t="s">
        <v>410</v>
      </c>
      <c r="I50" s="783" t="s">
        <v>410</v>
      </c>
      <c r="J50" s="321"/>
      <c r="K50" s="321"/>
      <c r="L50" s="321"/>
    </row>
    <row r="51" spans="1:12" s="320" customFormat="1">
      <c r="A51" s="369">
        <f t="shared" si="6"/>
        <v>33</v>
      </c>
      <c r="B51" s="338" t="s">
        <v>396</v>
      </c>
      <c r="C51" s="348"/>
      <c r="D51" s="1161">
        <f>+SUM(D44:D50)</f>
        <v>0</v>
      </c>
      <c r="E51" s="347"/>
      <c r="F51" s="338"/>
      <c r="G51" s="553" t="e">
        <f>+SUM(G44:G50)</f>
        <v>#DIV/0!</v>
      </c>
      <c r="H51" s="1161">
        <f>+SUM(H44:H50)</f>
        <v>0</v>
      </c>
      <c r="I51" s="553" t="e">
        <f>+SUM(I44:I50)</f>
        <v>#DIV/0!</v>
      </c>
      <c r="J51" s="321"/>
      <c r="K51" s="321"/>
      <c r="L51" s="321"/>
    </row>
    <row r="52" spans="1:12" s="320" customFormat="1">
      <c r="A52" s="369">
        <f t="shared" si="6"/>
        <v>34</v>
      </c>
      <c r="B52" s="321" t="s">
        <v>594</v>
      </c>
      <c r="C52" s="332"/>
      <c r="G52" s="1175">
        <f>+E33</f>
        <v>0</v>
      </c>
      <c r="H52" s="366"/>
      <c r="I52" s="321"/>
      <c r="J52" s="321"/>
      <c r="K52" s="321"/>
      <c r="L52" s="321"/>
    </row>
    <row r="53" spans="1:12" s="320" customFormat="1">
      <c r="A53" s="369">
        <f t="shared" si="6"/>
        <v>35</v>
      </c>
      <c r="B53" s="321" t="s">
        <v>405</v>
      </c>
      <c r="C53" s="332"/>
      <c r="G53" s="337" t="e">
        <f>G51/G52</f>
        <v>#DIV/0!</v>
      </c>
      <c r="H53" s="366"/>
      <c r="I53" s="321"/>
      <c r="J53" s="321"/>
      <c r="K53" s="321"/>
      <c r="L53" s="321"/>
    </row>
    <row r="54" spans="1:12" s="320" customFormat="1">
      <c r="A54" s="208">
        <f>+A53+1</f>
        <v>36</v>
      </c>
      <c r="B54" s="321" t="s">
        <v>725</v>
      </c>
      <c r="C54" s="332"/>
      <c r="E54" s="749">
        <v>2.98E-2</v>
      </c>
      <c r="H54" s="571"/>
      <c r="I54" s="321"/>
      <c r="J54" s="321"/>
      <c r="K54" s="321"/>
      <c r="L54" s="321"/>
    </row>
    <row r="55" spans="1:12" s="320" customFormat="1">
      <c r="A55" s="208"/>
      <c r="B55" s="324"/>
      <c r="C55" s="332"/>
      <c r="D55" s="323"/>
      <c r="E55" s="323"/>
      <c r="H55" s="571"/>
      <c r="I55" s="321"/>
      <c r="J55" s="321"/>
      <c r="K55" s="321"/>
      <c r="L55" s="321"/>
    </row>
    <row r="56" spans="1:12" s="320" customFormat="1">
      <c r="A56" s="344" t="s">
        <v>523</v>
      </c>
      <c r="B56" s="324"/>
      <c r="C56" s="332"/>
      <c r="D56" s="323"/>
      <c r="E56" s="323"/>
      <c r="H56" s="571"/>
      <c r="I56" s="321"/>
      <c r="J56" s="321"/>
      <c r="K56" s="321"/>
      <c r="L56" s="321"/>
    </row>
    <row r="57" spans="1:12" s="320" customFormat="1" ht="18" customHeight="1">
      <c r="A57" s="763" t="s">
        <v>62</v>
      </c>
      <c r="B57" s="1295" t="s">
        <v>719</v>
      </c>
      <c r="C57" s="1295"/>
      <c r="D57" s="1295"/>
      <c r="E57" s="1295"/>
      <c r="F57" s="1295"/>
      <c r="G57" s="1295"/>
      <c r="H57" s="1295"/>
      <c r="I57" s="1295"/>
    </row>
    <row r="58" spans="1:12" s="320" customFormat="1">
      <c r="A58" s="333"/>
      <c r="B58" s="320" t="s">
        <v>697</v>
      </c>
      <c r="C58" s="749">
        <v>0</v>
      </c>
      <c r="J58" s="334"/>
      <c r="K58" s="334"/>
    </row>
    <row r="59" spans="1:12" s="320" customFormat="1">
      <c r="A59" s="333"/>
      <c r="B59" s="320" t="s">
        <v>698</v>
      </c>
      <c r="C59" s="749">
        <v>0</v>
      </c>
      <c r="J59" s="334"/>
      <c r="K59" s="334"/>
    </row>
    <row r="60" spans="1:12" s="320" customFormat="1">
      <c r="A60" s="333"/>
      <c r="B60" s="320" t="s">
        <v>13</v>
      </c>
      <c r="C60" s="748">
        <f>+C58+C59</f>
        <v>0</v>
      </c>
      <c r="J60" s="334"/>
      <c r="K60" s="334"/>
    </row>
    <row r="133" spans="2:3">
      <c r="B133" s="320"/>
      <c r="C133" s="320"/>
    </row>
  </sheetData>
  <customSheetViews>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1"/>
    </customSheetView>
    <customSheetView guid="{63AFAF34-E340-4B5E-A289-FFB7051CA9B6}" showPageBreaks="1" printArea="1" view="pageBreakPreview">
      <selection activeCell="C56" sqref="C56"/>
      <pageMargins left="0.5" right="0.1" top="0.25" bottom="0.25" header="0.3" footer="0.3"/>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14"/>
  <sheetViews>
    <sheetView view="pageBreakPreview" zoomScale="80" zoomScaleNormal="90" zoomScaleSheetLayoutView="80" workbookViewId="0">
      <selection activeCell="D92" sqref="D92"/>
    </sheetView>
  </sheetViews>
  <sheetFormatPr defaultColWidth="8.84375" defaultRowHeight="13"/>
  <cols>
    <col min="1" max="1" width="5.07421875" style="333" bestFit="1" customWidth="1"/>
    <col min="2" max="2" width="41.84375" style="334" customWidth="1"/>
    <col min="3" max="3" width="14.69140625" style="334" customWidth="1"/>
    <col min="4" max="4" width="14.3046875" style="334" customWidth="1"/>
    <col min="5" max="5" width="9.84375" style="334" customWidth="1"/>
    <col min="6" max="6" width="15.69140625" style="334" customWidth="1"/>
    <col min="7" max="9" width="13.53515625" style="334" customWidth="1"/>
    <col min="10" max="10" width="14.84375" style="334" customWidth="1"/>
    <col min="11" max="11" width="13.53515625" style="334" customWidth="1"/>
    <col min="12" max="12" width="7.07421875" style="334" customWidth="1"/>
    <col min="13" max="13" width="12.07421875" style="334" customWidth="1"/>
    <col min="14" max="14" width="8.07421875" style="334" customWidth="1"/>
    <col min="15" max="15" width="7.69140625" style="334" bestFit="1" customWidth="1"/>
    <col min="16" max="16" width="11.69140625" style="334" bestFit="1" customWidth="1"/>
    <col min="17" max="17" width="10.84375" style="334" bestFit="1" customWidth="1"/>
    <col min="18" max="16384" width="8.84375" style="334"/>
  </cols>
  <sheetData>
    <row r="1" spans="1:12" s="320" customFormat="1" ht="25.5" customHeight="1">
      <c r="A1" s="1296" t="s">
        <v>383</v>
      </c>
      <c r="B1" s="1296"/>
      <c r="C1" s="1296"/>
      <c r="D1" s="1296"/>
      <c r="E1" s="1296"/>
      <c r="F1" s="1296"/>
      <c r="G1" s="1296"/>
      <c r="H1" s="345"/>
      <c r="I1" s="345"/>
      <c r="J1" s="345"/>
      <c r="K1" s="345"/>
    </row>
    <row r="2" spans="1:12" s="320" customFormat="1">
      <c r="A2" s="1296" t="s">
        <v>699</v>
      </c>
      <c r="B2" s="1296"/>
      <c r="C2" s="1296"/>
      <c r="D2" s="1296"/>
      <c r="E2" s="1296"/>
      <c r="F2" s="1296"/>
      <c r="G2" s="1296"/>
      <c r="H2" s="345"/>
      <c r="I2" s="345"/>
      <c r="J2" s="345"/>
      <c r="K2" s="345"/>
    </row>
    <row r="3" spans="1:12" s="320" customFormat="1" ht="15" customHeight="1">
      <c r="A3" s="1267" t="str">
        <f>+'Attachment H-29A'!D5</f>
        <v>Transource Pennsylvania, LLC</v>
      </c>
      <c r="B3" s="1267"/>
      <c r="C3" s="1267"/>
      <c r="D3" s="1267"/>
      <c r="E3" s="1267"/>
      <c r="F3" s="1267"/>
      <c r="G3" s="1267"/>
      <c r="H3" s="38"/>
      <c r="I3" s="38"/>
      <c r="J3" s="38"/>
      <c r="K3" s="38"/>
      <c r="L3" s="321"/>
    </row>
    <row r="4" spans="1:12" s="320" customFormat="1">
      <c r="A4" s="367"/>
      <c r="L4" s="321"/>
    </row>
    <row r="5" spans="1:12" s="320" customFormat="1">
      <c r="A5" s="322"/>
      <c r="B5" s="321"/>
      <c r="C5" s="321"/>
      <c r="D5" s="321"/>
      <c r="E5" s="321"/>
      <c r="F5" s="771"/>
      <c r="G5" s="771"/>
      <c r="H5" s="771"/>
      <c r="I5" s="321"/>
      <c r="J5" s="321"/>
      <c r="K5" s="321"/>
      <c r="L5" s="321"/>
    </row>
    <row r="6" spans="1:12" s="320" customFormat="1" ht="54" customHeight="1">
      <c r="A6" s="322"/>
      <c r="B6" s="1254" t="s">
        <v>766</v>
      </c>
      <c r="C6" s="1254"/>
      <c r="D6" s="1254"/>
      <c r="E6" s="1254"/>
      <c r="F6" s="1254"/>
      <c r="G6" s="336"/>
      <c r="H6" s="336"/>
      <c r="I6" s="336"/>
      <c r="J6" s="321"/>
      <c r="K6" s="321"/>
      <c r="L6" s="321"/>
    </row>
    <row r="7" spans="1:12" s="320" customFormat="1" ht="18.75" customHeight="1">
      <c r="A7" s="322"/>
      <c r="B7" s="1298" t="s">
        <v>664</v>
      </c>
      <c r="C7" s="1298"/>
      <c r="D7" s="1298"/>
      <c r="E7" s="1298"/>
      <c r="F7" s="1298"/>
      <c r="G7" s="278"/>
      <c r="H7" s="368"/>
      <c r="I7" s="368"/>
      <c r="J7" s="335"/>
      <c r="K7" s="335"/>
      <c r="L7" s="368"/>
    </row>
    <row r="8" spans="1:12" s="320" customFormat="1" ht="33.75" customHeight="1">
      <c r="A8" s="322"/>
      <c r="B8" s="1254" t="s">
        <v>707</v>
      </c>
      <c r="C8" s="1254"/>
      <c r="D8" s="1254"/>
      <c r="E8" s="1254"/>
      <c r="F8" s="1254"/>
      <c r="G8" s="336"/>
      <c r="H8" s="368"/>
      <c r="I8" s="368"/>
      <c r="J8" s="335"/>
      <c r="K8" s="335"/>
      <c r="L8" s="368"/>
    </row>
    <row r="9" spans="1:12" s="320" customFormat="1">
      <c r="A9" s="322"/>
      <c r="B9" s="366"/>
      <c r="C9" s="366"/>
      <c r="D9" s="366"/>
      <c r="E9" s="366"/>
      <c r="F9" s="366"/>
      <c r="G9" s="366"/>
      <c r="H9" s="368"/>
      <c r="I9" s="368"/>
      <c r="J9" s="335"/>
      <c r="K9" s="335"/>
      <c r="L9" s="368"/>
    </row>
    <row r="10" spans="1:12" s="320" customFormat="1" ht="26">
      <c r="A10" s="213" t="s">
        <v>148</v>
      </c>
      <c r="B10" s="366"/>
      <c r="C10" s="366"/>
      <c r="D10" s="366"/>
      <c r="E10" s="366"/>
      <c r="F10" s="366"/>
      <c r="G10" s="366"/>
      <c r="H10" s="368"/>
      <c r="I10" s="368"/>
      <c r="J10" s="335"/>
      <c r="K10" s="335"/>
      <c r="L10" s="368"/>
    </row>
    <row r="11" spans="1:12" s="320" customFormat="1" ht="18.75" customHeight="1" thickBot="1">
      <c r="C11" s="321"/>
      <c r="D11" s="370" t="s">
        <v>48</v>
      </c>
      <c r="E11" s="321"/>
      <c r="F11" s="321"/>
      <c r="G11" s="323"/>
      <c r="H11" s="321"/>
      <c r="I11" s="321"/>
      <c r="J11" s="321"/>
      <c r="K11" s="321"/>
      <c r="L11" s="321"/>
    </row>
    <row r="12" spans="1:12" s="320" customFormat="1" ht="16.5" customHeight="1">
      <c r="A12" s="252">
        <v>1</v>
      </c>
      <c r="B12" s="26" t="s">
        <v>815</v>
      </c>
      <c r="D12" s="824">
        <v>3260521.1999999997</v>
      </c>
      <c r="E12" s="282"/>
      <c r="F12" s="321"/>
      <c r="G12" s="323"/>
      <c r="H12" s="321"/>
      <c r="I12" s="321"/>
      <c r="J12" s="321"/>
      <c r="K12" s="321"/>
      <c r="L12" s="321"/>
    </row>
    <row r="13" spans="1:12" s="320" customFormat="1" ht="16.5" customHeight="1">
      <c r="A13" s="379">
        <f>+A12+1</f>
        <v>2</v>
      </c>
      <c r="B13" s="380" t="s">
        <v>460</v>
      </c>
      <c r="C13" s="321"/>
      <c r="D13" s="825">
        <v>123770.3</v>
      </c>
      <c r="E13" s="1193"/>
      <c r="F13" s="321"/>
      <c r="G13" s="323"/>
      <c r="H13" s="321"/>
      <c r="I13" s="321"/>
      <c r="J13" s="321"/>
      <c r="K13" s="321"/>
      <c r="L13" s="321"/>
    </row>
    <row r="14" spans="1:12" s="320" customFormat="1" ht="16.5" customHeight="1">
      <c r="A14" s="252">
        <f>+A13+1</f>
        <v>3</v>
      </c>
      <c r="B14" s="26" t="s">
        <v>461</v>
      </c>
      <c r="D14" s="282">
        <f>SUM(D12:D13)</f>
        <v>3384291.4999999995</v>
      </c>
      <c r="E14" s="321"/>
      <c r="F14" s="321"/>
      <c r="G14" s="323"/>
      <c r="H14" s="321"/>
      <c r="I14" s="321"/>
      <c r="J14" s="321"/>
      <c r="K14" s="321"/>
      <c r="L14" s="321"/>
    </row>
    <row r="15" spans="1:12" s="320" customFormat="1" ht="16.5" customHeight="1">
      <c r="A15" s="369"/>
      <c r="B15" s="324"/>
      <c r="C15" s="364"/>
      <c r="D15" s="786"/>
      <c r="E15" s="364"/>
      <c r="F15" s="364"/>
      <c r="H15" s="321"/>
      <c r="I15" s="321"/>
      <c r="J15" s="321"/>
      <c r="K15" s="321"/>
      <c r="L15" s="321"/>
    </row>
    <row r="16" spans="1:12" s="320" customFormat="1" ht="16.5" customHeight="1">
      <c r="A16" s="369"/>
      <c r="B16" s="324"/>
      <c r="C16" s="364"/>
      <c r="D16" s="786"/>
      <c r="E16" s="364"/>
      <c r="F16" s="364"/>
      <c r="H16" s="321"/>
      <c r="I16" s="321"/>
      <c r="J16" s="321"/>
      <c r="K16" s="321"/>
      <c r="L16" s="321"/>
    </row>
    <row r="17" spans="1:12" s="320" customFormat="1" ht="16.5" customHeight="1">
      <c r="A17" s="369"/>
      <c r="B17" s="321" t="s">
        <v>814</v>
      </c>
      <c r="C17" s="364"/>
      <c r="D17" s="786"/>
      <c r="E17" s="364"/>
      <c r="F17" s="364"/>
      <c r="H17" s="321"/>
      <c r="I17" s="321"/>
      <c r="J17" s="321"/>
      <c r="K17" s="321"/>
      <c r="L17" s="321"/>
    </row>
    <row r="18" spans="1:12" s="320" customFormat="1" ht="26.25" customHeight="1">
      <c r="A18" s="369"/>
      <c r="B18" s="385" t="s">
        <v>411</v>
      </c>
      <c r="C18" s="364"/>
      <c r="D18" s="787" t="s">
        <v>472</v>
      </c>
      <c r="E18" s="364"/>
      <c r="F18" s="364"/>
      <c r="H18" s="321"/>
      <c r="I18" s="321"/>
      <c r="J18" s="321"/>
      <c r="K18" s="321"/>
      <c r="L18" s="321"/>
    </row>
    <row r="19" spans="1:12" s="320" customFormat="1" ht="21" customHeight="1">
      <c r="A19" s="369"/>
      <c r="B19" s="365" t="s">
        <v>190</v>
      </c>
      <c r="C19" s="364"/>
      <c r="D19" s="788" t="s">
        <v>193</v>
      </c>
      <c r="E19" s="364"/>
      <c r="F19" s="364"/>
      <c r="H19" s="321"/>
      <c r="I19" s="321"/>
      <c r="J19" s="321"/>
      <c r="K19" s="321"/>
      <c r="L19" s="321"/>
    </row>
    <row r="20" spans="1:12" s="320" customFormat="1" ht="16.5" customHeight="1">
      <c r="A20" s="371">
        <f>+A14+1</f>
        <v>4</v>
      </c>
      <c r="B20" s="5" t="s">
        <v>187</v>
      </c>
      <c r="C20" s="364"/>
      <c r="D20" s="826">
        <v>47200000</v>
      </c>
      <c r="E20" s="364"/>
      <c r="F20" s="364"/>
      <c r="H20" s="321"/>
      <c r="I20" s="321"/>
      <c r="J20" s="321"/>
      <c r="K20" s="321"/>
      <c r="L20" s="321"/>
    </row>
    <row r="21" spans="1:12" s="320" customFormat="1" ht="16.5" customHeight="1">
      <c r="A21" s="369">
        <f>+A20+1</f>
        <v>5</v>
      </c>
      <c r="B21" s="5" t="s">
        <v>85</v>
      </c>
      <c r="C21" s="364"/>
      <c r="D21" s="826">
        <v>47200000</v>
      </c>
      <c r="E21" s="364"/>
      <c r="F21" s="364"/>
      <c r="H21" s="321"/>
      <c r="I21" s="321"/>
      <c r="J21" s="321"/>
      <c r="K21" s="321"/>
      <c r="L21" s="321"/>
    </row>
    <row r="22" spans="1:12" s="320" customFormat="1" ht="16.5" customHeight="1">
      <c r="A22" s="369">
        <f t="shared" ref="A22:A33" si="0">+A21+1</f>
        <v>6</v>
      </c>
      <c r="B22" s="1" t="s">
        <v>84</v>
      </c>
      <c r="C22" s="364"/>
      <c r="D22" s="826">
        <v>47200000</v>
      </c>
      <c r="E22" s="364"/>
      <c r="F22" s="364"/>
      <c r="H22" s="321"/>
      <c r="I22" s="321"/>
      <c r="J22" s="321"/>
      <c r="K22" s="321"/>
      <c r="L22" s="321"/>
    </row>
    <row r="23" spans="1:12" s="320" customFormat="1" ht="16.5" customHeight="1">
      <c r="A23" s="369">
        <f t="shared" si="0"/>
        <v>7</v>
      </c>
      <c r="B23" s="1" t="s">
        <v>164</v>
      </c>
      <c r="C23" s="364"/>
      <c r="D23" s="826">
        <v>47200000</v>
      </c>
      <c r="E23" s="364"/>
      <c r="F23" s="364"/>
      <c r="H23" s="321"/>
      <c r="I23" s="321"/>
      <c r="J23" s="321"/>
      <c r="K23" s="321"/>
      <c r="L23" s="321"/>
    </row>
    <row r="24" spans="1:12" s="320" customFormat="1" ht="16.5" customHeight="1">
      <c r="A24" s="369">
        <f t="shared" si="0"/>
        <v>8</v>
      </c>
      <c r="B24" s="1" t="s">
        <v>76</v>
      </c>
      <c r="C24" s="364"/>
      <c r="D24" s="826">
        <v>47200000</v>
      </c>
      <c r="E24" s="364"/>
      <c r="F24" s="364"/>
      <c r="H24" s="321"/>
      <c r="I24" s="321"/>
      <c r="J24" s="321"/>
      <c r="K24" s="321"/>
      <c r="L24" s="321"/>
    </row>
    <row r="25" spans="1:12" s="320" customFormat="1" ht="16.5" customHeight="1">
      <c r="A25" s="369">
        <f t="shared" si="0"/>
        <v>9</v>
      </c>
      <c r="B25" s="1" t="s">
        <v>75</v>
      </c>
      <c r="C25" s="364"/>
      <c r="D25" s="826">
        <v>47200000</v>
      </c>
      <c r="E25" s="364"/>
      <c r="F25" s="364"/>
      <c r="H25" s="321"/>
      <c r="I25" s="321"/>
      <c r="J25" s="321"/>
      <c r="K25" s="321"/>
      <c r="L25" s="321"/>
    </row>
    <row r="26" spans="1:12" s="320" customFormat="1" ht="16.5" customHeight="1">
      <c r="A26" s="369">
        <f t="shared" si="0"/>
        <v>10</v>
      </c>
      <c r="B26" s="1" t="s">
        <v>92</v>
      </c>
      <c r="C26" s="364"/>
      <c r="D26" s="826">
        <v>51200000</v>
      </c>
      <c r="E26" s="364"/>
      <c r="F26" s="364"/>
      <c r="H26" s="321"/>
      <c r="I26" s="321"/>
      <c r="J26" s="321"/>
      <c r="K26" s="321"/>
      <c r="L26" s="321"/>
    </row>
    <row r="27" spans="1:12" s="320" customFormat="1" ht="16.5" customHeight="1">
      <c r="A27" s="369">
        <f t="shared" si="0"/>
        <v>11</v>
      </c>
      <c r="B27" s="1" t="s">
        <v>82</v>
      </c>
      <c r="C27" s="364"/>
      <c r="D27" s="826">
        <v>51200000</v>
      </c>
      <c r="E27" s="364"/>
      <c r="F27" s="364"/>
      <c r="H27" s="321"/>
      <c r="I27" s="321"/>
      <c r="J27" s="321"/>
      <c r="K27" s="321"/>
      <c r="L27" s="321"/>
    </row>
    <row r="28" spans="1:12" s="320" customFormat="1" ht="16.5" customHeight="1">
      <c r="A28" s="369">
        <f t="shared" si="0"/>
        <v>12</v>
      </c>
      <c r="B28" s="1" t="s">
        <v>165</v>
      </c>
      <c r="C28" s="364"/>
      <c r="D28" s="826">
        <v>51200000</v>
      </c>
      <c r="E28" s="364"/>
      <c r="F28" s="364"/>
      <c r="H28" s="321"/>
      <c r="I28" s="321"/>
      <c r="J28" s="321"/>
      <c r="K28" s="321"/>
      <c r="L28" s="321"/>
    </row>
    <row r="29" spans="1:12" s="320" customFormat="1" ht="16.5" customHeight="1">
      <c r="A29" s="369">
        <f t="shared" si="0"/>
        <v>13</v>
      </c>
      <c r="B29" s="1" t="s">
        <v>80</v>
      </c>
      <c r="C29" s="364"/>
      <c r="D29" s="826">
        <v>56700000</v>
      </c>
      <c r="E29" s="364"/>
      <c r="F29" s="364"/>
      <c r="H29" s="321"/>
      <c r="I29" s="321"/>
      <c r="J29" s="321"/>
      <c r="K29" s="321"/>
      <c r="L29" s="321"/>
    </row>
    <row r="30" spans="1:12" s="320" customFormat="1" ht="16.5" customHeight="1">
      <c r="A30" s="369">
        <f t="shared" si="0"/>
        <v>14</v>
      </c>
      <c r="B30" s="1" t="s">
        <v>86</v>
      </c>
      <c r="C30" s="364"/>
      <c r="D30" s="826">
        <v>56700000</v>
      </c>
      <c r="E30" s="364"/>
      <c r="F30" s="364"/>
      <c r="H30" s="321"/>
      <c r="I30" s="321"/>
      <c r="J30" s="321"/>
      <c r="K30" s="321"/>
      <c r="L30" s="321"/>
    </row>
    <row r="31" spans="1:12" s="320" customFormat="1" ht="16.5" customHeight="1">
      <c r="A31" s="369">
        <f t="shared" si="0"/>
        <v>15</v>
      </c>
      <c r="B31" s="1" t="s">
        <v>79</v>
      </c>
      <c r="C31" s="364"/>
      <c r="D31" s="826">
        <v>59200000</v>
      </c>
      <c r="E31" s="364"/>
      <c r="F31" s="364"/>
      <c r="H31" s="321"/>
      <c r="I31" s="321"/>
      <c r="J31" s="321"/>
      <c r="K31" s="321"/>
      <c r="L31" s="321"/>
    </row>
    <row r="32" spans="1:12" s="320" customFormat="1" ht="16.5" customHeight="1">
      <c r="A32" s="369">
        <f t="shared" si="0"/>
        <v>16</v>
      </c>
      <c r="B32" s="1" t="s">
        <v>188</v>
      </c>
      <c r="C32" s="364"/>
      <c r="D32" s="826">
        <v>60200000</v>
      </c>
      <c r="E32" s="364"/>
      <c r="F32" s="364"/>
      <c r="H32" s="321"/>
      <c r="I32" s="321"/>
      <c r="J32" s="321"/>
      <c r="K32" s="321"/>
      <c r="L32" s="321"/>
    </row>
    <row r="33" spans="1:12" s="320" customFormat="1" ht="16.5" customHeight="1">
      <c r="A33" s="369">
        <f t="shared" si="0"/>
        <v>17</v>
      </c>
      <c r="B33" s="7" t="s">
        <v>242</v>
      </c>
      <c r="C33" s="364"/>
      <c r="D33" s="552">
        <f>SUM(D20:D32)/13</f>
        <v>51507692.307692304</v>
      </c>
      <c r="E33" s="364"/>
      <c r="F33" s="364"/>
      <c r="H33" s="321"/>
      <c r="I33" s="321"/>
      <c r="J33" s="321"/>
      <c r="K33" s="321"/>
      <c r="L33" s="321"/>
    </row>
    <row r="34" spans="1:12" s="320" customFormat="1" ht="21" customHeight="1">
      <c r="A34" s="369"/>
      <c r="C34" s="321"/>
      <c r="D34" s="321"/>
      <c r="E34" s="321"/>
      <c r="F34" s="321"/>
      <c r="G34" s="323"/>
      <c r="H34" s="321"/>
      <c r="I34" s="321"/>
      <c r="J34" s="321"/>
      <c r="K34" s="321"/>
      <c r="L34" s="321"/>
    </row>
    <row r="35" spans="1:12" s="320" customFormat="1" ht="16.5" customHeight="1">
      <c r="A35" s="369">
        <f>+A33+1</f>
        <v>18</v>
      </c>
      <c r="B35" s="320" t="s">
        <v>592</v>
      </c>
      <c r="C35" s="364"/>
      <c r="D35" s="337">
        <f>D14/D33</f>
        <v>6.5704584080047784E-2</v>
      </c>
      <c r="E35" s="364"/>
      <c r="F35" s="364"/>
      <c r="H35" s="321"/>
      <c r="I35" s="321"/>
      <c r="J35" s="321"/>
      <c r="K35" s="321"/>
      <c r="L35" s="321"/>
    </row>
    <row r="36" spans="1:12" s="320" customFormat="1" ht="16.5" customHeight="1">
      <c r="A36" s="369"/>
      <c r="B36" s="324"/>
      <c r="C36" s="364"/>
      <c r="D36" s="353"/>
      <c r="E36" s="364"/>
      <c r="F36" s="364"/>
      <c r="H36" s="321"/>
      <c r="I36" s="321"/>
      <c r="J36" s="321"/>
      <c r="K36" s="321"/>
      <c r="L36" s="321"/>
    </row>
    <row r="37" spans="1:12" s="320" customFormat="1" ht="16.5" customHeight="1">
      <c r="A37" s="636" t="s">
        <v>523</v>
      </c>
      <c r="B37" s="324"/>
      <c r="C37" s="505"/>
      <c r="D37" s="353"/>
      <c r="E37" s="505"/>
      <c r="F37" s="505"/>
      <c r="H37" s="321"/>
      <c r="I37" s="321"/>
      <c r="J37" s="321"/>
      <c r="K37" s="321"/>
      <c r="L37" s="321"/>
    </row>
    <row r="38" spans="1:12" s="320" customFormat="1" ht="48" customHeight="1">
      <c r="A38" s="667" t="s">
        <v>62</v>
      </c>
      <c r="B38" s="1239" t="s">
        <v>813</v>
      </c>
      <c r="C38" s="1239"/>
      <c r="D38" s="1239"/>
      <c r="E38" s="1239"/>
      <c r="F38" s="1239"/>
      <c r="G38" s="386"/>
      <c r="H38" s="321"/>
      <c r="I38" s="325"/>
      <c r="J38" s="326"/>
      <c r="K38" s="321"/>
      <c r="L38" s="321"/>
    </row>
    <row r="39" spans="1:12" s="320" customFormat="1" ht="31.5" customHeight="1">
      <c r="A39" s="667" t="s">
        <v>63</v>
      </c>
      <c r="B39" s="1239" t="s">
        <v>733</v>
      </c>
      <c r="C39" s="1239"/>
      <c r="D39" s="1239"/>
      <c r="E39" s="1239"/>
      <c r="F39" s="1239"/>
      <c r="G39" s="803"/>
      <c r="H39" s="803"/>
      <c r="I39" s="803"/>
      <c r="J39" s="334"/>
      <c r="K39" s="334"/>
    </row>
    <row r="40" spans="1:12" s="320" customFormat="1">
      <c r="A40" s="333"/>
      <c r="J40" s="334"/>
      <c r="K40" s="334"/>
    </row>
    <row r="41" spans="1:12" s="320" customFormat="1">
      <c r="A41" s="333"/>
      <c r="J41" s="334"/>
      <c r="K41" s="334"/>
    </row>
    <row r="114" spans="2:3">
      <c r="B114" s="320"/>
      <c r="C114" s="320"/>
    </row>
  </sheetData>
  <customSheetViews>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1"/>
    </customSheetView>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8" orientation="landscape" r:id="rId3"/>
  <colBreaks count="1" manualBreakCount="1">
    <brk id="9" max="60"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D92" sqref="D92"/>
      <selection pane="bottomLeft" activeCell="D92" sqref="D92"/>
    </sheetView>
  </sheetViews>
  <sheetFormatPr defaultColWidth="9.69140625" defaultRowHeight="13"/>
  <cols>
    <col min="1" max="1" width="7.69140625" style="691" customWidth="1"/>
    <col min="2" max="2" width="32.84375" style="691" customWidth="1"/>
    <col min="3" max="7" width="12.07421875" style="691" customWidth="1"/>
    <col min="8" max="8" width="13.4609375" style="691" customWidth="1"/>
    <col min="9" max="9" width="12.69140625" style="691" customWidth="1"/>
    <col min="10" max="10" width="13.69140625" style="691" customWidth="1"/>
    <col min="11" max="256" width="9.69140625" style="691"/>
    <col min="257" max="257" width="7.69140625" style="691" customWidth="1"/>
    <col min="258" max="258" width="32.84375" style="691" customWidth="1"/>
    <col min="259" max="259" width="9.07421875" style="691" customWidth="1"/>
    <col min="260" max="260" width="6.53515625" style="691" customWidth="1"/>
    <col min="261" max="261" width="7.84375" style="691" customWidth="1"/>
    <col min="262" max="262" width="8.07421875" style="691" customWidth="1"/>
    <col min="263" max="263" width="9" style="691" customWidth="1"/>
    <col min="264" max="264" width="11.53515625" style="691" customWidth="1"/>
    <col min="265" max="265" width="12.69140625" style="691" customWidth="1"/>
    <col min="266" max="266" width="13.69140625" style="691" customWidth="1"/>
    <col min="267" max="512" width="9.69140625" style="691"/>
    <col min="513" max="513" width="7.69140625" style="691" customWidth="1"/>
    <col min="514" max="514" width="32.84375" style="691" customWidth="1"/>
    <col min="515" max="515" width="9.07421875" style="691" customWidth="1"/>
    <col min="516" max="516" width="6.53515625" style="691" customWidth="1"/>
    <col min="517" max="517" width="7.84375" style="691" customWidth="1"/>
    <col min="518" max="518" width="8.07421875" style="691" customWidth="1"/>
    <col min="519" max="519" width="9" style="691" customWidth="1"/>
    <col min="520" max="520" width="11.53515625" style="691" customWidth="1"/>
    <col min="521" max="521" width="12.69140625" style="691" customWidth="1"/>
    <col min="522" max="522" width="13.69140625" style="691" customWidth="1"/>
    <col min="523" max="768" width="9.69140625" style="691"/>
    <col min="769" max="769" width="7.69140625" style="691" customWidth="1"/>
    <col min="770" max="770" width="32.84375" style="691" customWidth="1"/>
    <col min="771" max="771" width="9.07421875" style="691" customWidth="1"/>
    <col min="772" max="772" width="6.53515625" style="691" customWidth="1"/>
    <col min="773" max="773" width="7.84375" style="691" customWidth="1"/>
    <col min="774" max="774" width="8.07421875" style="691" customWidth="1"/>
    <col min="775" max="775" width="9" style="691" customWidth="1"/>
    <col min="776" max="776" width="11.53515625" style="691" customWidth="1"/>
    <col min="777" max="777" width="12.69140625" style="691" customWidth="1"/>
    <col min="778" max="778" width="13.69140625" style="691" customWidth="1"/>
    <col min="779" max="1024" width="9.69140625" style="691"/>
    <col min="1025" max="1025" width="7.69140625" style="691" customWidth="1"/>
    <col min="1026" max="1026" width="32.84375" style="691" customWidth="1"/>
    <col min="1027" max="1027" width="9.07421875" style="691" customWidth="1"/>
    <col min="1028" max="1028" width="6.53515625" style="691" customWidth="1"/>
    <col min="1029" max="1029" width="7.84375" style="691" customWidth="1"/>
    <col min="1030" max="1030" width="8.07421875" style="691" customWidth="1"/>
    <col min="1031" max="1031" width="9" style="691" customWidth="1"/>
    <col min="1032" max="1032" width="11.53515625" style="691" customWidth="1"/>
    <col min="1033" max="1033" width="12.69140625" style="691" customWidth="1"/>
    <col min="1034" max="1034" width="13.69140625" style="691" customWidth="1"/>
    <col min="1035" max="1280" width="9.69140625" style="691"/>
    <col min="1281" max="1281" width="7.69140625" style="691" customWidth="1"/>
    <col min="1282" max="1282" width="32.84375" style="691" customWidth="1"/>
    <col min="1283" max="1283" width="9.07421875" style="691" customWidth="1"/>
    <col min="1284" max="1284" width="6.53515625" style="691" customWidth="1"/>
    <col min="1285" max="1285" width="7.84375" style="691" customWidth="1"/>
    <col min="1286" max="1286" width="8.07421875" style="691" customWidth="1"/>
    <col min="1287" max="1287" width="9" style="691" customWidth="1"/>
    <col min="1288" max="1288" width="11.53515625" style="691" customWidth="1"/>
    <col min="1289" max="1289" width="12.69140625" style="691" customWidth="1"/>
    <col min="1290" max="1290" width="13.69140625" style="691" customWidth="1"/>
    <col min="1291" max="1536" width="9.69140625" style="691"/>
    <col min="1537" max="1537" width="7.69140625" style="691" customWidth="1"/>
    <col min="1538" max="1538" width="32.84375" style="691" customWidth="1"/>
    <col min="1539" max="1539" width="9.07421875" style="691" customWidth="1"/>
    <col min="1540" max="1540" width="6.53515625" style="691" customWidth="1"/>
    <col min="1541" max="1541" width="7.84375" style="691" customWidth="1"/>
    <col min="1542" max="1542" width="8.07421875" style="691" customWidth="1"/>
    <col min="1543" max="1543" width="9" style="691" customWidth="1"/>
    <col min="1544" max="1544" width="11.53515625" style="691" customWidth="1"/>
    <col min="1545" max="1545" width="12.69140625" style="691" customWidth="1"/>
    <col min="1546" max="1546" width="13.69140625" style="691" customWidth="1"/>
    <col min="1547" max="1792" width="9.69140625" style="691"/>
    <col min="1793" max="1793" width="7.69140625" style="691" customWidth="1"/>
    <col min="1794" max="1794" width="32.84375" style="691" customWidth="1"/>
    <col min="1795" max="1795" width="9.07421875" style="691" customWidth="1"/>
    <col min="1796" max="1796" width="6.53515625" style="691" customWidth="1"/>
    <col min="1797" max="1797" width="7.84375" style="691" customWidth="1"/>
    <col min="1798" max="1798" width="8.07421875" style="691" customWidth="1"/>
    <col min="1799" max="1799" width="9" style="691" customWidth="1"/>
    <col min="1800" max="1800" width="11.53515625" style="691" customWidth="1"/>
    <col min="1801" max="1801" width="12.69140625" style="691" customWidth="1"/>
    <col min="1802" max="1802" width="13.69140625" style="691" customWidth="1"/>
    <col min="1803" max="2048" width="9.69140625" style="691"/>
    <col min="2049" max="2049" width="7.69140625" style="691" customWidth="1"/>
    <col min="2050" max="2050" width="32.84375" style="691" customWidth="1"/>
    <col min="2051" max="2051" width="9.07421875" style="691" customWidth="1"/>
    <col min="2052" max="2052" width="6.53515625" style="691" customWidth="1"/>
    <col min="2053" max="2053" width="7.84375" style="691" customWidth="1"/>
    <col min="2054" max="2054" width="8.07421875" style="691" customWidth="1"/>
    <col min="2055" max="2055" width="9" style="691" customWidth="1"/>
    <col min="2056" max="2056" width="11.53515625" style="691" customWidth="1"/>
    <col min="2057" max="2057" width="12.69140625" style="691" customWidth="1"/>
    <col min="2058" max="2058" width="13.69140625" style="691" customWidth="1"/>
    <col min="2059" max="2304" width="9.69140625" style="691"/>
    <col min="2305" max="2305" width="7.69140625" style="691" customWidth="1"/>
    <col min="2306" max="2306" width="32.84375" style="691" customWidth="1"/>
    <col min="2307" max="2307" width="9.07421875" style="691" customWidth="1"/>
    <col min="2308" max="2308" width="6.53515625" style="691" customWidth="1"/>
    <col min="2309" max="2309" width="7.84375" style="691" customWidth="1"/>
    <col min="2310" max="2310" width="8.07421875" style="691" customWidth="1"/>
    <col min="2311" max="2311" width="9" style="691" customWidth="1"/>
    <col min="2312" max="2312" width="11.53515625" style="691" customWidth="1"/>
    <col min="2313" max="2313" width="12.69140625" style="691" customWidth="1"/>
    <col min="2314" max="2314" width="13.69140625" style="691" customWidth="1"/>
    <col min="2315" max="2560" width="9.69140625" style="691"/>
    <col min="2561" max="2561" width="7.69140625" style="691" customWidth="1"/>
    <col min="2562" max="2562" width="32.84375" style="691" customWidth="1"/>
    <col min="2563" max="2563" width="9.07421875" style="691" customWidth="1"/>
    <col min="2564" max="2564" width="6.53515625" style="691" customWidth="1"/>
    <col min="2565" max="2565" width="7.84375" style="691" customWidth="1"/>
    <col min="2566" max="2566" width="8.07421875" style="691" customWidth="1"/>
    <col min="2567" max="2567" width="9" style="691" customWidth="1"/>
    <col min="2568" max="2568" width="11.53515625" style="691" customWidth="1"/>
    <col min="2569" max="2569" width="12.69140625" style="691" customWidth="1"/>
    <col min="2570" max="2570" width="13.69140625" style="691" customWidth="1"/>
    <col min="2571" max="2816" width="9.69140625" style="691"/>
    <col min="2817" max="2817" width="7.69140625" style="691" customWidth="1"/>
    <col min="2818" max="2818" width="32.84375" style="691" customWidth="1"/>
    <col min="2819" max="2819" width="9.07421875" style="691" customWidth="1"/>
    <col min="2820" max="2820" width="6.53515625" style="691" customWidth="1"/>
    <col min="2821" max="2821" width="7.84375" style="691" customWidth="1"/>
    <col min="2822" max="2822" width="8.07421875" style="691" customWidth="1"/>
    <col min="2823" max="2823" width="9" style="691" customWidth="1"/>
    <col min="2824" max="2824" width="11.53515625" style="691" customWidth="1"/>
    <col min="2825" max="2825" width="12.69140625" style="691" customWidth="1"/>
    <col min="2826" max="2826" width="13.69140625" style="691" customWidth="1"/>
    <col min="2827" max="3072" width="9.69140625" style="691"/>
    <col min="3073" max="3073" width="7.69140625" style="691" customWidth="1"/>
    <col min="3074" max="3074" width="32.84375" style="691" customWidth="1"/>
    <col min="3075" max="3075" width="9.07421875" style="691" customWidth="1"/>
    <col min="3076" max="3076" width="6.53515625" style="691" customWidth="1"/>
    <col min="3077" max="3077" width="7.84375" style="691" customWidth="1"/>
    <col min="3078" max="3078" width="8.07421875" style="691" customWidth="1"/>
    <col min="3079" max="3079" width="9" style="691" customWidth="1"/>
    <col min="3080" max="3080" width="11.53515625" style="691" customWidth="1"/>
    <col min="3081" max="3081" width="12.69140625" style="691" customWidth="1"/>
    <col min="3082" max="3082" width="13.69140625" style="691" customWidth="1"/>
    <col min="3083" max="3328" width="9.69140625" style="691"/>
    <col min="3329" max="3329" width="7.69140625" style="691" customWidth="1"/>
    <col min="3330" max="3330" width="32.84375" style="691" customWidth="1"/>
    <col min="3331" max="3331" width="9.07421875" style="691" customWidth="1"/>
    <col min="3332" max="3332" width="6.53515625" style="691" customWidth="1"/>
    <col min="3333" max="3333" width="7.84375" style="691" customWidth="1"/>
    <col min="3334" max="3334" width="8.07421875" style="691" customWidth="1"/>
    <col min="3335" max="3335" width="9" style="691" customWidth="1"/>
    <col min="3336" max="3336" width="11.53515625" style="691" customWidth="1"/>
    <col min="3337" max="3337" width="12.69140625" style="691" customWidth="1"/>
    <col min="3338" max="3338" width="13.69140625" style="691" customWidth="1"/>
    <col min="3339" max="3584" width="9.69140625" style="691"/>
    <col min="3585" max="3585" width="7.69140625" style="691" customWidth="1"/>
    <col min="3586" max="3586" width="32.84375" style="691" customWidth="1"/>
    <col min="3587" max="3587" width="9.07421875" style="691" customWidth="1"/>
    <col min="3588" max="3588" width="6.53515625" style="691" customWidth="1"/>
    <col min="3589" max="3589" width="7.84375" style="691" customWidth="1"/>
    <col min="3590" max="3590" width="8.07421875" style="691" customWidth="1"/>
    <col min="3591" max="3591" width="9" style="691" customWidth="1"/>
    <col min="3592" max="3592" width="11.53515625" style="691" customWidth="1"/>
    <col min="3593" max="3593" width="12.69140625" style="691" customWidth="1"/>
    <col min="3594" max="3594" width="13.69140625" style="691" customWidth="1"/>
    <col min="3595" max="3840" width="9.69140625" style="691"/>
    <col min="3841" max="3841" width="7.69140625" style="691" customWidth="1"/>
    <col min="3842" max="3842" width="32.84375" style="691" customWidth="1"/>
    <col min="3843" max="3843" width="9.07421875" style="691" customWidth="1"/>
    <col min="3844" max="3844" width="6.53515625" style="691" customWidth="1"/>
    <col min="3845" max="3845" width="7.84375" style="691" customWidth="1"/>
    <col min="3846" max="3846" width="8.07421875" style="691" customWidth="1"/>
    <col min="3847" max="3847" width="9" style="691" customWidth="1"/>
    <col min="3848" max="3848" width="11.53515625" style="691" customWidth="1"/>
    <col min="3849" max="3849" width="12.69140625" style="691" customWidth="1"/>
    <col min="3850" max="3850" width="13.69140625" style="691" customWidth="1"/>
    <col min="3851" max="4096" width="9.69140625" style="691"/>
    <col min="4097" max="4097" width="7.69140625" style="691" customWidth="1"/>
    <col min="4098" max="4098" width="32.84375" style="691" customWidth="1"/>
    <col min="4099" max="4099" width="9.07421875" style="691" customWidth="1"/>
    <col min="4100" max="4100" width="6.53515625" style="691" customWidth="1"/>
    <col min="4101" max="4101" width="7.84375" style="691" customWidth="1"/>
    <col min="4102" max="4102" width="8.07421875" style="691" customWidth="1"/>
    <col min="4103" max="4103" width="9" style="691" customWidth="1"/>
    <col min="4104" max="4104" width="11.53515625" style="691" customWidth="1"/>
    <col min="4105" max="4105" width="12.69140625" style="691" customWidth="1"/>
    <col min="4106" max="4106" width="13.69140625" style="691" customWidth="1"/>
    <col min="4107" max="4352" width="9.69140625" style="691"/>
    <col min="4353" max="4353" width="7.69140625" style="691" customWidth="1"/>
    <col min="4354" max="4354" width="32.84375" style="691" customWidth="1"/>
    <col min="4355" max="4355" width="9.07421875" style="691" customWidth="1"/>
    <col min="4356" max="4356" width="6.53515625" style="691" customWidth="1"/>
    <col min="4357" max="4357" width="7.84375" style="691" customWidth="1"/>
    <col min="4358" max="4358" width="8.07421875" style="691" customWidth="1"/>
    <col min="4359" max="4359" width="9" style="691" customWidth="1"/>
    <col min="4360" max="4360" width="11.53515625" style="691" customWidth="1"/>
    <col min="4361" max="4361" width="12.69140625" style="691" customWidth="1"/>
    <col min="4362" max="4362" width="13.69140625" style="691" customWidth="1"/>
    <col min="4363" max="4608" width="9.69140625" style="691"/>
    <col min="4609" max="4609" width="7.69140625" style="691" customWidth="1"/>
    <col min="4610" max="4610" width="32.84375" style="691" customWidth="1"/>
    <col min="4611" max="4611" width="9.07421875" style="691" customWidth="1"/>
    <col min="4612" max="4612" width="6.53515625" style="691" customWidth="1"/>
    <col min="4613" max="4613" width="7.84375" style="691" customWidth="1"/>
    <col min="4614" max="4614" width="8.07421875" style="691" customWidth="1"/>
    <col min="4615" max="4615" width="9" style="691" customWidth="1"/>
    <col min="4616" max="4616" width="11.53515625" style="691" customWidth="1"/>
    <col min="4617" max="4617" width="12.69140625" style="691" customWidth="1"/>
    <col min="4618" max="4618" width="13.69140625" style="691" customWidth="1"/>
    <col min="4619" max="4864" width="9.69140625" style="691"/>
    <col min="4865" max="4865" width="7.69140625" style="691" customWidth="1"/>
    <col min="4866" max="4866" width="32.84375" style="691" customWidth="1"/>
    <col min="4867" max="4867" width="9.07421875" style="691" customWidth="1"/>
    <col min="4868" max="4868" width="6.53515625" style="691" customWidth="1"/>
    <col min="4869" max="4869" width="7.84375" style="691" customWidth="1"/>
    <col min="4870" max="4870" width="8.07421875" style="691" customWidth="1"/>
    <col min="4871" max="4871" width="9" style="691" customWidth="1"/>
    <col min="4872" max="4872" width="11.53515625" style="691" customWidth="1"/>
    <col min="4873" max="4873" width="12.69140625" style="691" customWidth="1"/>
    <col min="4874" max="4874" width="13.69140625" style="691" customWidth="1"/>
    <col min="4875" max="5120" width="9.69140625" style="691"/>
    <col min="5121" max="5121" width="7.69140625" style="691" customWidth="1"/>
    <col min="5122" max="5122" width="32.84375" style="691" customWidth="1"/>
    <col min="5123" max="5123" width="9.07421875" style="691" customWidth="1"/>
    <col min="5124" max="5124" width="6.53515625" style="691" customWidth="1"/>
    <col min="5125" max="5125" width="7.84375" style="691" customWidth="1"/>
    <col min="5126" max="5126" width="8.07421875" style="691" customWidth="1"/>
    <col min="5127" max="5127" width="9" style="691" customWidth="1"/>
    <col min="5128" max="5128" width="11.53515625" style="691" customWidth="1"/>
    <col min="5129" max="5129" width="12.69140625" style="691" customWidth="1"/>
    <col min="5130" max="5130" width="13.69140625" style="691" customWidth="1"/>
    <col min="5131" max="5376" width="9.69140625" style="691"/>
    <col min="5377" max="5377" width="7.69140625" style="691" customWidth="1"/>
    <col min="5378" max="5378" width="32.84375" style="691" customWidth="1"/>
    <col min="5379" max="5379" width="9.07421875" style="691" customWidth="1"/>
    <col min="5380" max="5380" width="6.53515625" style="691" customWidth="1"/>
    <col min="5381" max="5381" width="7.84375" style="691" customWidth="1"/>
    <col min="5382" max="5382" width="8.07421875" style="691" customWidth="1"/>
    <col min="5383" max="5383" width="9" style="691" customWidth="1"/>
    <col min="5384" max="5384" width="11.53515625" style="691" customWidth="1"/>
    <col min="5385" max="5385" width="12.69140625" style="691" customWidth="1"/>
    <col min="5386" max="5386" width="13.69140625" style="691" customWidth="1"/>
    <col min="5387" max="5632" width="9.69140625" style="691"/>
    <col min="5633" max="5633" width="7.69140625" style="691" customWidth="1"/>
    <col min="5634" max="5634" width="32.84375" style="691" customWidth="1"/>
    <col min="5635" max="5635" width="9.07421875" style="691" customWidth="1"/>
    <col min="5636" max="5636" width="6.53515625" style="691" customWidth="1"/>
    <col min="5637" max="5637" width="7.84375" style="691" customWidth="1"/>
    <col min="5638" max="5638" width="8.07421875" style="691" customWidth="1"/>
    <col min="5639" max="5639" width="9" style="691" customWidth="1"/>
    <col min="5640" max="5640" width="11.53515625" style="691" customWidth="1"/>
    <col min="5641" max="5641" width="12.69140625" style="691" customWidth="1"/>
    <col min="5642" max="5642" width="13.69140625" style="691" customWidth="1"/>
    <col min="5643" max="5888" width="9.69140625" style="691"/>
    <col min="5889" max="5889" width="7.69140625" style="691" customWidth="1"/>
    <col min="5890" max="5890" width="32.84375" style="691" customWidth="1"/>
    <col min="5891" max="5891" width="9.07421875" style="691" customWidth="1"/>
    <col min="5892" max="5892" width="6.53515625" style="691" customWidth="1"/>
    <col min="5893" max="5893" width="7.84375" style="691" customWidth="1"/>
    <col min="5894" max="5894" width="8.07421875" style="691" customWidth="1"/>
    <col min="5895" max="5895" width="9" style="691" customWidth="1"/>
    <col min="5896" max="5896" width="11.53515625" style="691" customWidth="1"/>
    <col min="5897" max="5897" width="12.69140625" style="691" customWidth="1"/>
    <col min="5898" max="5898" width="13.69140625" style="691" customWidth="1"/>
    <col min="5899" max="6144" width="9.69140625" style="691"/>
    <col min="6145" max="6145" width="7.69140625" style="691" customWidth="1"/>
    <col min="6146" max="6146" width="32.84375" style="691" customWidth="1"/>
    <col min="6147" max="6147" width="9.07421875" style="691" customWidth="1"/>
    <col min="6148" max="6148" width="6.53515625" style="691" customWidth="1"/>
    <col min="6149" max="6149" width="7.84375" style="691" customWidth="1"/>
    <col min="6150" max="6150" width="8.07421875" style="691" customWidth="1"/>
    <col min="6151" max="6151" width="9" style="691" customWidth="1"/>
    <col min="6152" max="6152" width="11.53515625" style="691" customWidth="1"/>
    <col min="6153" max="6153" width="12.69140625" style="691" customWidth="1"/>
    <col min="6154" max="6154" width="13.69140625" style="691" customWidth="1"/>
    <col min="6155" max="6400" width="9.69140625" style="691"/>
    <col min="6401" max="6401" width="7.69140625" style="691" customWidth="1"/>
    <col min="6402" max="6402" width="32.84375" style="691" customWidth="1"/>
    <col min="6403" max="6403" width="9.07421875" style="691" customWidth="1"/>
    <col min="6404" max="6404" width="6.53515625" style="691" customWidth="1"/>
    <col min="6405" max="6405" width="7.84375" style="691" customWidth="1"/>
    <col min="6406" max="6406" width="8.07421875" style="691" customWidth="1"/>
    <col min="6407" max="6407" width="9" style="691" customWidth="1"/>
    <col min="6408" max="6408" width="11.53515625" style="691" customWidth="1"/>
    <col min="6409" max="6409" width="12.69140625" style="691" customWidth="1"/>
    <col min="6410" max="6410" width="13.69140625" style="691" customWidth="1"/>
    <col min="6411" max="6656" width="9.69140625" style="691"/>
    <col min="6657" max="6657" width="7.69140625" style="691" customWidth="1"/>
    <col min="6658" max="6658" width="32.84375" style="691" customWidth="1"/>
    <col min="6659" max="6659" width="9.07421875" style="691" customWidth="1"/>
    <col min="6660" max="6660" width="6.53515625" style="691" customWidth="1"/>
    <col min="6661" max="6661" width="7.84375" style="691" customWidth="1"/>
    <col min="6662" max="6662" width="8.07421875" style="691" customWidth="1"/>
    <col min="6663" max="6663" width="9" style="691" customWidth="1"/>
    <col min="6664" max="6664" width="11.53515625" style="691" customWidth="1"/>
    <col min="6665" max="6665" width="12.69140625" style="691" customWidth="1"/>
    <col min="6666" max="6666" width="13.69140625" style="691" customWidth="1"/>
    <col min="6667" max="6912" width="9.69140625" style="691"/>
    <col min="6913" max="6913" width="7.69140625" style="691" customWidth="1"/>
    <col min="6914" max="6914" width="32.84375" style="691" customWidth="1"/>
    <col min="6915" max="6915" width="9.07421875" style="691" customWidth="1"/>
    <col min="6916" max="6916" width="6.53515625" style="691" customWidth="1"/>
    <col min="6917" max="6917" width="7.84375" style="691" customWidth="1"/>
    <col min="6918" max="6918" width="8.07421875" style="691" customWidth="1"/>
    <col min="6919" max="6919" width="9" style="691" customWidth="1"/>
    <col min="6920" max="6920" width="11.53515625" style="691" customWidth="1"/>
    <col min="6921" max="6921" width="12.69140625" style="691" customWidth="1"/>
    <col min="6922" max="6922" width="13.69140625" style="691" customWidth="1"/>
    <col min="6923" max="7168" width="9.69140625" style="691"/>
    <col min="7169" max="7169" width="7.69140625" style="691" customWidth="1"/>
    <col min="7170" max="7170" width="32.84375" style="691" customWidth="1"/>
    <col min="7171" max="7171" width="9.07421875" style="691" customWidth="1"/>
    <col min="7172" max="7172" width="6.53515625" style="691" customWidth="1"/>
    <col min="7173" max="7173" width="7.84375" style="691" customWidth="1"/>
    <col min="7174" max="7174" width="8.07421875" style="691" customWidth="1"/>
    <col min="7175" max="7175" width="9" style="691" customWidth="1"/>
    <col min="7176" max="7176" width="11.53515625" style="691" customWidth="1"/>
    <col min="7177" max="7177" width="12.69140625" style="691" customWidth="1"/>
    <col min="7178" max="7178" width="13.69140625" style="691" customWidth="1"/>
    <col min="7179" max="7424" width="9.69140625" style="691"/>
    <col min="7425" max="7425" width="7.69140625" style="691" customWidth="1"/>
    <col min="7426" max="7426" width="32.84375" style="691" customWidth="1"/>
    <col min="7427" max="7427" width="9.07421875" style="691" customWidth="1"/>
    <col min="7428" max="7428" width="6.53515625" style="691" customWidth="1"/>
    <col min="7429" max="7429" width="7.84375" style="691" customWidth="1"/>
    <col min="7430" max="7430" width="8.07421875" style="691" customWidth="1"/>
    <col min="7431" max="7431" width="9" style="691" customWidth="1"/>
    <col min="7432" max="7432" width="11.53515625" style="691" customWidth="1"/>
    <col min="7433" max="7433" width="12.69140625" style="691" customWidth="1"/>
    <col min="7434" max="7434" width="13.69140625" style="691" customWidth="1"/>
    <col min="7435" max="7680" width="9.69140625" style="691"/>
    <col min="7681" max="7681" width="7.69140625" style="691" customWidth="1"/>
    <col min="7682" max="7682" width="32.84375" style="691" customWidth="1"/>
    <col min="7683" max="7683" width="9.07421875" style="691" customWidth="1"/>
    <col min="7684" max="7684" width="6.53515625" style="691" customWidth="1"/>
    <col min="7685" max="7685" width="7.84375" style="691" customWidth="1"/>
    <col min="7686" max="7686" width="8.07421875" style="691" customWidth="1"/>
    <col min="7687" max="7687" width="9" style="691" customWidth="1"/>
    <col min="7688" max="7688" width="11.53515625" style="691" customWidth="1"/>
    <col min="7689" max="7689" width="12.69140625" style="691" customWidth="1"/>
    <col min="7690" max="7690" width="13.69140625" style="691" customWidth="1"/>
    <col min="7691" max="7936" width="9.69140625" style="691"/>
    <col min="7937" max="7937" width="7.69140625" style="691" customWidth="1"/>
    <col min="7938" max="7938" width="32.84375" style="691" customWidth="1"/>
    <col min="7939" max="7939" width="9.07421875" style="691" customWidth="1"/>
    <col min="7940" max="7940" width="6.53515625" style="691" customWidth="1"/>
    <col min="7941" max="7941" width="7.84375" style="691" customWidth="1"/>
    <col min="7942" max="7942" width="8.07421875" style="691" customWidth="1"/>
    <col min="7943" max="7943" width="9" style="691" customWidth="1"/>
    <col min="7944" max="7944" width="11.53515625" style="691" customWidth="1"/>
    <col min="7945" max="7945" width="12.69140625" style="691" customWidth="1"/>
    <col min="7946" max="7946" width="13.69140625" style="691" customWidth="1"/>
    <col min="7947" max="8192" width="9.69140625" style="691"/>
    <col min="8193" max="8193" width="7.69140625" style="691" customWidth="1"/>
    <col min="8194" max="8194" width="32.84375" style="691" customWidth="1"/>
    <col min="8195" max="8195" width="9.07421875" style="691" customWidth="1"/>
    <col min="8196" max="8196" width="6.53515625" style="691" customWidth="1"/>
    <col min="8197" max="8197" width="7.84375" style="691" customWidth="1"/>
    <col min="8198" max="8198" width="8.07421875" style="691" customWidth="1"/>
    <col min="8199" max="8199" width="9" style="691" customWidth="1"/>
    <col min="8200" max="8200" width="11.53515625" style="691" customWidth="1"/>
    <col min="8201" max="8201" width="12.69140625" style="691" customWidth="1"/>
    <col min="8202" max="8202" width="13.69140625" style="691" customWidth="1"/>
    <col min="8203" max="8448" width="9.69140625" style="691"/>
    <col min="8449" max="8449" width="7.69140625" style="691" customWidth="1"/>
    <col min="8450" max="8450" width="32.84375" style="691" customWidth="1"/>
    <col min="8451" max="8451" width="9.07421875" style="691" customWidth="1"/>
    <col min="8452" max="8452" width="6.53515625" style="691" customWidth="1"/>
    <col min="8453" max="8453" width="7.84375" style="691" customWidth="1"/>
    <col min="8454" max="8454" width="8.07421875" style="691" customWidth="1"/>
    <col min="8455" max="8455" width="9" style="691" customWidth="1"/>
    <col min="8456" max="8456" width="11.53515625" style="691" customWidth="1"/>
    <col min="8457" max="8457" width="12.69140625" style="691" customWidth="1"/>
    <col min="8458" max="8458" width="13.69140625" style="691" customWidth="1"/>
    <col min="8459" max="8704" width="9.69140625" style="691"/>
    <col min="8705" max="8705" width="7.69140625" style="691" customWidth="1"/>
    <col min="8706" max="8706" width="32.84375" style="691" customWidth="1"/>
    <col min="8707" max="8707" width="9.07421875" style="691" customWidth="1"/>
    <col min="8708" max="8708" width="6.53515625" style="691" customWidth="1"/>
    <col min="8709" max="8709" width="7.84375" style="691" customWidth="1"/>
    <col min="8710" max="8710" width="8.07421875" style="691" customWidth="1"/>
    <col min="8711" max="8711" width="9" style="691" customWidth="1"/>
    <col min="8712" max="8712" width="11.53515625" style="691" customWidth="1"/>
    <col min="8713" max="8713" width="12.69140625" style="691" customWidth="1"/>
    <col min="8714" max="8714" width="13.69140625" style="691" customWidth="1"/>
    <col min="8715" max="8960" width="9.69140625" style="691"/>
    <col min="8961" max="8961" width="7.69140625" style="691" customWidth="1"/>
    <col min="8962" max="8962" width="32.84375" style="691" customWidth="1"/>
    <col min="8963" max="8963" width="9.07421875" style="691" customWidth="1"/>
    <col min="8964" max="8964" width="6.53515625" style="691" customWidth="1"/>
    <col min="8965" max="8965" width="7.84375" style="691" customWidth="1"/>
    <col min="8966" max="8966" width="8.07421875" style="691" customWidth="1"/>
    <col min="8967" max="8967" width="9" style="691" customWidth="1"/>
    <col min="8968" max="8968" width="11.53515625" style="691" customWidth="1"/>
    <col min="8969" max="8969" width="12.69140625" style="691" customWidth="1"/>
    <col min="8970" max="8970" width="13.69140625" style="691" customWidth="1"/>
    <col min="8971" max="9216" width="9.69140625" style="691"/>
    <col min="9217" max="9217" width="7.69140625" style="691" customWidth="1"/>
    <col min="9218" max="9218" width="32.84375" style="691" customWidth="1"/>
    <col min="9219" max="9219" width="9.07421875" style="691" customWidth="1"/>
    <col min="9220" max="9220" width="6.53515625" style="691" customWidth="1"/>
    <col min="9221" max="9221" width="7.84375" style="691" customWidth="1"/>
    <col min="9222" max="9222" width="8.07421875" style="691" customWidth="1"/>
    <col min="9223" max="9223" width="9" style="691" customWidth="1"/>
    <col min="9224" max="9224" width="11.53515625" style="691" customWidth="1"/>
    <col min="9225" max="9225" width="12.69140625" style="691" customWidth="1"/>
    <col min="9226" max="9226" width="13.69140625" style="691" customWidth="1"/>
    <col min="9227" max="9472" width="9.69140625" style="691"/>
    <col min="9473" max="9473" width="7.69140625" style="691" customWidth="1"/>
    <col min="9474" max="9474" width="32.84375" style="691" customWidth="1"/>
    <col min="9475" max="9475" width="9.07421875" style="691" customWidth="1"/>
    <col min="9476" max="9476" width="6.53515625" style="691" customWidth="1"/>
    <col min="9477" max="9477" width="7.84375" style="691" customWidth="1"/>
    <col min="9478" max="9478" width="8.07421875" style="691" customWidth="1"/>
    <col min="9479" max="9479" width="9" style="691" customWidth="1"/>
    <col min="9480" max="9480" width="11.53515625" style="691" customWidth="1"/>
    <col min="9481" max="9481" width="12.69140625" style="691" customWidth="1"/>
    <col min="9482" max="9482" width="13.69140625" style="691" customWidth="1"/>
    <col min="9483" max="9728" width="9.69140625" style="691"/>
    <col min="9729" max="9729" width="7.69140625" style="691" customWidth="1"/>
    <col min="9730" max="9730" width="32.84375" style="691" customWidth="1"/>
    <col min="9731" max="9731" width="9.07421875" style="691" customWidth="1"/>
    <col min="9732" max="9732" width="6.53515625" style="691" customWidth="1"/>
    <col min="9733" max="9733" width="7.84375" style="691" customWidth="1"/>
    <col min="9734" max="9734" width="8.07421875" style="691" customWidth="1"/>
    <col min="9735" max="9735" width="9" style="691" customWidth="1"/>
    <col min="9736" max="9736" width="11.53515625" style="691" customWidth="1"/>
    <col min="9737" max="9737" width="12.69140625" style="691" customWidth="1"/>
    <col min="9738" max="9738" width="13.69140625" style="691" customWidth="1"/>
    <col min="9739" max="9984" width="9.69140625" style="691"/>
    <col min="9985" max="9985" width="7.69140625" style="691" customWidth="1"/>
    <col min="9986" max="9986" width="32.84375" style="691" customWidth="1"/>
    <col min="9987" max="9987" width="9.07421875" style="691" customWidth="1"/>
    <col min="9988" max="9988" width="6.53515625" style="691" customWidth="1"/>
    <col min="9989" max="9989" width="7.84375" style="691" customWidth="1"/>
    <col min="9990" max="9990" width="8.07421875" style="691" customWidth="1"/>
    <col min="9991" max="9991" width="9" style="691" customWidth="1"/>
    <col min="9992" max="9992" width="11.53515625" style="691" customWidth="1"/>
    <col min="9993" max="9993" width="12.69140625" style="691" customWidth="1"/>
    <col min="9994" max="9994" width="13.69140625" style="691" customWidth="1"/>
    <col min="9995" max="10240" width="9.69140625" style="691"/>
    <col min="10241" max="10241" width="7.69140625" style="691" customWidth="1"/>
    <col min="10242" max="10242" width="32.84375" style="691" customWidth="1"/>
    <col min="10243" max="10243" width="9.07421875" style="691" customWidth="1"/>
    <col min="10244" max="10244" width="6.53515625" style="691" customWidth="1"/>
    <col min="10245" max="10245" width="7.84375" style="691" customWidth="1"/>
    <col min="10246" max="10246" width="8.07421875" style="691" customWidth="1"/>
    <col min="10247" max="10247" width="9" style="691" customWidth="1"/>
    <col min="10248" max="10248" width="11.53515625" style="691" customWidth="1"/>
    <col min="10249" max="10249" width="12.69140625" style="691" customWidth="1"/>
    <col min="10250" max="10250" width="13.69140625" style="691" customWidth="1"/>
    <col min="10251" max="10496" width="9.69140625" style="691"/>
    <col min="10497" max="10497" width="7.69140625" style="691" customWidth="1"/>
    <col min="10498" max="10498" width="32.84375" style="691" customWidth="1"/>
    <col min="10499" max="10499" width="9.07421875" style="691" customWidth="1"/>
    <col min="10500" max="10500" width="6.53515625" style="691" customWidth="1"/>
    <col min="10501" max="10501" width="7.84375" style="691" customWidth="1"/>
    <col min="10502" max="10502" width="8.07421875" style="691" customWidth="1"/>
    <col min="10503" max="10503" width="9" style="691" customWidth="1"/>
    <col min="10504" max="10504" width="11.53515625" style="691" customWidth="1"/>
    <col min="10505" max="10505" width="12.69140625" style="691" customWidth="1"/>
    <col min="10506" max="10506" width="13.69140625" style="691" customWidth="1"/>
    <col min="10507" max="10752" width="9.69140625" style="691"/>
    <col min="10753" max="10753" width="7.69140625" style="691" customWidth="1"/>
    <col min="10754" max="10754" width="32.84375" style="691" customWidth="1"/>
    <col min="10755" max="10755" width="9.07421875" style="691" customWidth="1"/>
    <col min="10756" max="10756" width="6.53515625" style="691" customWidth="1"/>
    <col min="10757" max="10757" width="7.84375" style="691" customWidth="1"/>
    <col min="10758" max="10758" width="8.07421875" style="691" customWidth="1"/>
    <col min="10759" max="10759" width="9" style="691" customWidth="1"/>
    <col min="10760" max="10760" width="11.53515625" style="691" customWidth="1"/>
    <col min="10761" max="10761" width="12.69140625" style="691" customWidth="1"/>
    <col min="10762" max="10762" width="13.69140625" style="691" customWidth="1"/>
    <col min="10763" max="11008" width="9.69140625" style="691"/>
    <col min="11009" max="11009" width="7.69140625" style="691" customWidth="1"/>
    <col min="11010" max="11010" width="32.84375" style="691" customWidth="1"/>
    <col min="11011" max="11011" width="9.07421875" style="691" customWidth="1"/>
    <col min="11012" max="11012" width="6.53515625" style="691" customWidth="1"/>
    <col min="11013" max="11013" width="7.84375" style="691" customWidth="1"/>
    <col min="11014" max="11014" width="8.07421875" style="691" customWidth="1"/>
    <col min="11015" max="11015" width="9" style="691" customWidth="1"/>
    <col min="11016" max="11016" width="11.53515625" style="691" customWidth="1"/>
    <col min="11017" max="11017" width="12.69140625" style="691" customWidth="1"/>
    <col min="11018" max="11018" width="13.69140625" style="691" customWidth="1"/>
    <col min="11019" max="11264" width="9.69140625" style="691"/>
    <col min="11265" max="11265" width="7.69140625" style="691" customWidth="1"/>
    <col min="11266" max="11266" width="32.84375" style="691" customWidth="1"/>
    <col min="11267" max="11267" width="9.07421875" style="691" customWidth="1"/>
    <col min="11268" max="11268" width="6.53515625" style="691" customWidth="1"/>
    <col min="11269" max="11269" width="7.84375" style="691" customWidth="1"/>
    <col min="11270" max="11270" width="8.07421875" style="691" customWidth="1"/>
    <col min="11271" max="11271" width="9" style="691" customWidth="1"/>
    <col min="11272" max="11272" width="11.53515625" style="691" customWidth="1"/>
    <col min="11273" max="11273" width="12.69140625" style="691" customWidth="1"/>
    <col min="11274" max="11274" width="13.69140625" style="691" customWidth="1"/>
    <col min="11275" max="11520" width="9.69140625" style="691"/>
    <col min="11521" max="11521" width="7.69140625" style="691" customWidth="1"/>
    <col min="11522" max="11522" width="32.84375" style="691" customWidth="1"/>
    <col min="11523" max="11523" width="9.07421875" style="691" customWidth="1"/>
    <col min="11524" max="11524" width="6.53515625" style="691" customWidth="1"/>
    <col min="11525" max="11525" width="7.84375" style="691" customWidth="1"/>
    <col min="11526" max="11526" width="8.07421875" style="691" customWidth="1"/>
    <col min="11527" max="11527" width="9" style="691" customWidth="1"/>
    <col min="11528" max="11528" width="11.53515625" style="691" customWidth="1"/>
    <col min="11529" max="11529" width="12.69140625" style="691" customWidth="1"/>
    <col min="11530" max="11530" width="13.69140625" style="691" customWidth="1"/>
    <col min="11531" max="11776" width="9.69140625" style="691"/>
    <col min="11777" max="11777" width="7.69140625" style="691" customWidth="1"/>
    <col min="11778" max="11778" width="32.84375" style="691" customWidth="1"/>
    <col min="11779" max="11779" width="9.07421875" style="691" customWidth="1"/>
    <col min="11780" max="11780" width="6.53515625" style="691" customWidth="1"/>
    <col min="11781" max="11781" width="7.84375" style="691" customWidth="1"/>
    <col min="11782" max="11782" width="8.07421875" style="691" customWidth="1"/>
    <col min="11783" max="11783" width="9" style="691" customWidth="1"/>
    <col min="11784" max="11784" width="11.53515625" style="691" customWidth="1"/>
    <col min="11785" max="11785" width="12.69140625" style="691" customWidth="1"/>
    <col min="11786" max="11786" width="13.69140625" style="691" customWidth="1"/>
    <col min="11787" max="12032" width="9.69140625" style="691"/>
    <col min="12033" max="12033" width="7.69140625" style="691" customWidth="1"/>
    <col min="12034" max="12034" width="32.84375" style="691" customWidth="1"/>
    <col min="12035" max="12035" width="9.07421875" style="691" customWidth="1"/>
    <col min="12036" max="12036" width="6.53515625" style="691" customWidth="1"/>
    <col min="12037" max="12037" width="7.84375" style="691" customWidth="1"/>
    <col min="12038" max="12038" width="8.07421875" style="691" customWidth="1"/>
    <col min="12039" max="12039" width="9" style="691" customWidth="1"/>
    <col min="12040" max="12040" width="11.53515625" style="691" customWidth="1"/>
    <col min="12041" max="12041" width="12.69140625" style="691" customWidth="1"/>
    <col min="12042" max="12042" width="13.69140625" style="691" customWidth="1"/>
    <col min="12043" max="12288" width="9.69140625" style="691"/>
    <col min="12289" max="12289" width="7.69140625" style="691" customWidth="1"/>
    <col min="12290" max="12290" width="32.84375" style="691" customWidth="1"/>
    <col min="12291" max="12291" width="9.07421875" style="691" customWidth="1"/>
    <col min="12292" max="12292" width="6.53515625" style="691" customWidth="1"/>
    <col min="12293" max="12293" width="7.84375" style="691" customWidth="1"/>
    <col min="12294" max="12294" width="8.07421875" style="691" customWidth="1"/>
    <col min="12295" max="12295" width="9" style="691" customWidth="1"/>
    <col min="12296" max="12296" width="11.53515625" style="691" customWidth="1"/>
    <col min="12297" max="12297" width="12.69140625" style="691" customWidth="1"/>
    <col min="12298" max="12298" width="13.69140625" style="691" customWidth="1"/>
    <col min="12299" max="12544" width="9.69140625" style="691"/>
    <col min="12545" max="12545" width="7.69140625" style="691" customWidth="1"/>
    <col min="12546" max="12546" width="32.84375" style="691" customWidth="1"/>
    <col min="12547" max="12547" width="9.07421875" style="691" customWidth="1"/>
    <col min="12548" max="12548" width="6.53515625" style="691" customWidth="1"/>
    <col min="12549" max="12549" width="7.84375" style="691" customWidth="1"/>
    <col min="12550" max="12550" width="8.07421875" style="691" customWidth="1"/>
    <col min="12551" max="12551" width="9" style="691" customWidth="1"/>
    <col min="12552" max="12552" width="11.53515625" style="691" customWidth="1"/>
    <col min="12553" max="12553" width="12.69140625" style="691" customWidth="1"/>
    <col min="12554" max="12554" width="13.69140625" style="691" customWidth="1"/>
    <col min="12555" max="12800" width="9.69140625" style="691"/>
    <col min="12801" max="12801" width="7.69140625" style="691" customWidth="1"/>
    <col min="12802" max="12802" width="32.84375" style="691" customWidth="1"/>
    <col min="12803" max="12803" width="9.07421875" style="691" customWidth="1"/>
    <col min="12804" max="12804" width="6.53515625" style="691" customWidth="1"/>
    <col min="12805" max="12805" width="7.84375" style="691" customWidth="1"/>
    <col min="12806" max="12806" width="8.07421875" style="691" customWidth="1"/>
    <col min="12807" max="12807" width="9" style="691" customWidth="1"/>
    <col min="12808" max="12808" width="11.53515625" style="691" customWidth="1"/>
    <col min="12809" max="12809" width="12.69140625" style="691" customWidth="1"/>
    <col min="12810" max="12810" width="13.69140625" style="691" customWidth="1"/>
    <col min="12811" max="13056" width="9.69140625" style="691"/>
    <col min="13057" max="13057" width="7.69140625" style="691" customWidth="1"/>
    <col min="13058" max="13058" width="32.84375" style="691" customWidth="1"/>
    <col min="13059" max="13059" width="9.07421875" style="691" customWidth="1"/>
    <col min="13060" max="13060" width="6.53515625" style="691" customWidth="1"/>
    <col min="13061" max="13061" width="7.84375" style="691" customWidth="1"/>
    <col min="13062" max="13062" width="8.07421875" style="691" customWidth="1"/>
    <col min="13063" max="13063" width="9" style="691" customWidth="1"/>
    <col min="13064" max="13064" width="11.53515625" style="691" customWidth="1"/>
    <col min="13065" max="13065" width="12.69140625" style="691" customWidth="1"/>
    <col min="13066" max="13066" width="13.69140625" style="691" customWidth="1"/>
    <col min="13067" max="13312" width="9.69140625" style="691"/>
    <col min="13313" max="13313" width="7.69140625" style="691" customWidth="1"/>
    <col min="13314" max="13314" width="32.84375" style="691" customWidth="1"/>
    <col min="13315" max="13315" width="9.07421875" style="691" customWidth="1"/>
    <col min="13316" max="13316" width="6.53515625" style="691" customWidth="1"/>
    <col min="13317" max="13317" width="7.84375" style="691" customWidth="1"/>
    <col min="13318" max="13318" width="8.07421875" style="691" customWidth="1"/>
    <col min="13319" max="13319" width="9" style="691" customWidth="1"/>
    <col min="13320" max="13320" width="11.53515625" style="691" customWidth="1"/>
    <col min="13321" max="13321" width="12.69140625" style="691" customWidth="1"/>
    <col min="13322" max="13322" width="13.69140625" style="691" customWidth="1"/>
    <col min="13323" max="13568" width="9.69140625" style="691"/>
    <col min="13569" max="13569" width="7.69140625" style="691" customWidth="1"/>
    <col min="13570" max="13570" width="32.84375" style="691" customWidth="1"/>
    <col min="13571" max="13571" width="9.07421875" style="691" customWidth="1"/>
    <col min="13572" max="13572" width="6.53515625" style="691" customWidth="1"/>
    <col min="13573" max="13573" width="7.84375" style="691" customWidth="1"/>
    <col min="13574" max="13574" width="8.07421875" style="691" customWidth="1"/>
    <col min="13575" max="13575" width="9" style="691" customWidth="1"/>
    <col min="13576" max="13576" width="11.53515625" style="691" customWidth="1"/>
    <col min="13577" max="13577" width="12.69140625" style="691" customWidth="1"/>
    <col min="13578" max="13578" width="13.69140625" style="691" customWidth="1"/>
    <col min="13579" max="13824" width="9.69140625" style="691"/>
    <col min="13825" max="13825" width="7.69140625" style="691" customWidth="1"/>
    <col min="13826" max="13826" width="32.84375" style="691" customWidth="1"/>
    <col min="13827" max="13827" width="9.07421875" style="691" customWidth="1"/>
    <col min="13828" max="13828" width="6.53515625" style="691" customWidth="1"/>
    <col min="13829" max="13829" width="7.84375" style="691" customWidth="1"/>
    <col min="13830" max="13830" width="8.07421875" style="691" customWidth="1"/>
    <col min="13831" max="13831" width="9" style="691" customWidth="1"/>
    <col min="13832" max="13832" width="11.53515625" style="691" customWidth="1"/>
    <col min="13833" max="13833" width="12.69140625" style="691" customWidth="1"/>
    <col min="13834" max="13834" width="13.69140625" style="691" customWidth="1"/>
    <col min="13835" max="14080" width="9.69140625" style="691"/>
    <col min="14081" max="14081" width="7.69140625" style="691" customWidth="1"/>
    <col min="14082" max="14082" width="32.84375" style="691" customWidth="1"/>
    <col min="14083" max="14083" width="9.07421875" style="691" customWidth="1"/>
    <col min="14084" max="14084" width="6.53515625" style="691" customWidth="1"/>
    <col min="14085" max="14085" width="7.84375" style="691" customWidth="1"/>
    <col min="14086" max="14086" width="8.07421875" style="691" customWidth="1"/>
    <col min="14087" max="14087" width="9" style="691" customWidth="1"/>
    <col min="14088" max="14088" width="11.53515625" style="691" customWidth="1"/>
    <col min="14089" max="14089" width="12.69140625" style="691" customWidth="1"/>
    <col min="14090" max="14090" width="13.69140625" style="691" customWidth="1"/>
    <col min="14091" max="14336" width="9.69140625" style="691"/>
    <col min="14337" max="14337" width="7.69140625" style="691" customWidth="1"/>
    <col min="14338" max="14338" width="32.84375" style="691" customWidth="1"/>
    <col min="14339" max="14339" width="9.07421875" style="691" customWidth="1"/>
    <col min="14340" max="14340" width="6.53515625" style="691" customWidth="1"/>
    <col min="14341" max="14341" width="7.84375" style="691" customWidth="1"/>
    <col min="14342" max="14342" width="8.07421875" style="691" customWidth="1"/>
    <col min="14343" max="14343" width="9" style="691" customWidth="1"/>
    <col min="14344" max="14344" width="11.53515625" style="691" customWidth="1"/>
    <col min="14345" max="14345" width="12.69140625" style="691" customWidth="1"/>
    <col min="14346" max="14346" width="13.69140625" style="691" customWidth="1"/>
    <col min="14347" max="14592" width="9.69140625" style="691"/>
    <col min="14593" max="14593" width="7.69140625" style="691" customWidth="1"/>
    <col min="14594" max="14594" width="32.84375" style="691" customWidth="1"/>
    <col min="14595" max="14595" width="9.07421875" style="691" customWidth="1"/>
    <col min="14596" max="14596" width="6.53515625" style="691" customWidth="1"/>
    <col min="14597" max="14597" width="7.84375" style="691" customWidth="1"/>
    <col min="14598" max="14598" width="8.07421875" style="691" customWidth="1"/>
    <col min="14599" max="14599" width="9" style="691" customWidth="1"/>
    <col min="14600" max="14600" width="11.53515625" style="691" customWidth="1"/>
    <col min="14601" max="14601" width="12.69140625" style="691" customWidth="1"/>
    <col min="14602" max="14602" width="13.69140625" style="691" customWidth="1"/>
    <col min="14603" max="14848" width="9.69140625" style="691"/>
    <col min="14849" max="14849" width="7.69140625" style="691" customWidth="1"/>
    <col min="14850" max="14850" width="32.84375" style="691" customWidth="1"/>
    <col min="14851" max="14851" width="9.07421875" style="691" customWidth="1"/>
    <col min="14852" max="14852" width="6.53515625" style="691" customWidth="1"/>
    <col min="14853" max="14853" width="7.84375" style="691" customWidth="1"/>
    <col min="14854" max="14854" width="8.07421875" style="691" customWidth="1"/>
    <col min="14855" max="14855" width="9" style="691" customWidth="1"/>
    <col min="14856" max="14856" width="11.53515625" style="691" customWidth="1"/>
    <col min="14857" max="14857" width="12.69140625" style="691" customWidth="1"/>
    <col min="14858" max="14858" width="13.69140625" style="691" customWidth="1"/>
    <col min="14859" max="15104" width="9.69140625" style="691"/>
    <col min="15105" max="15105" width="7.69140625" style="691" customWidth="1"/>
    <col min="15106" max="15106" width="32.84375" style="691" customWidth="1"/>
    <col min="15107" max="15107" width="9.07421875" style="691" customWidth="1"/>
    <col min="15108" max="15108" width="6.53515625" style="691" customWidth="1"/>
    <col min="15109" max="15109" width="7.84375" style="691" customWidth="1"/>
    <col min="15110" max="15110" width="8.07421875" style="691" customWidth="1"/>
    <col min="15111" max="15111" width="9" style="691" customWidth="1"/>
    <col min="15112" max="15112" width="11.53515625" style="691" customWidth="1"/>
    <col min="15113" max="15113" width="12.69140625" style="691" customWidth="1"/>
    <col min="15114" max="15114" width="13.69140625" style="691" customWidth="1"/>
    <col min="15115" max="15360" width="9.69140625" style="691"/>
    <col min="15361" max="15361" width="7.69140625" style="691" customWidth="1"/>
    <col min="15362" max="15362" width="32.84375" style="691" customWidth="1"/>
    <col min="15363" max="15363" width="9.07421875" style="691" customWidth="1"/>
    <col min="15364" max="15364" width="6.53515625" style="691" customWidth="1"/>
    <col min="15365" max="15365" width="7.84375" style="691" customWidth="1"/>
    <col min="15366" max="15366" width="8.07421875" style="691" customWidth="1"/>
    <col min="15367" max="15367" width="9" style="691" customWidth="1"/>
    <col min="15368" max="15368" width="11.53515625" style="691" customWidth="1"/>
    <col min="15369" max="15369" width="12.69140625" style="691" customWidth="1"/>
    <col min="15370" max="15370" width="13.69140625" style="691" customWidth="1"/>
    <col min="15371" max="15616" width="9.69140625" style="691"/>
    <col min="15617" max="15617" width="7.69140625" style="691" customWidth="1"/>
    <col min="15618" max="15618" width="32.84375" style="691" customWidth="1"/>
    <col min="15619" max="15619" width="9.07421875" style="691" customWidth="1"/>
    <col min="15620" max="15620" width="6.53515625" style="691" customWidth="1"/>
    <col min="15621" max="15621" width="7.84375" style="691" customWidth="1"/>
    <col min="15622" max="15622" width="8.07421875" style="691" customWidth="1"/>
    <col min="15623" max="15623" width="9" style="691" customWidth="1"/>
    <col min="15624" max="15624" width="11.53515625" style="691" customWidth="1"/>
    <col min="15625" max="15625" width="12.69140625" style="691" customWidth="1"/>
    <col min="15626" max="15626" width="13.69140625" style="691" customWidth="1"/>
    <col min="15627" max="15872" width="9.69140625" style="691"/>
    <col min="15873" max="15873" width="7.69140625" style="691" customWidth="1"/>
    <col min="15874" max="15874" width="32.84375" style="691" customWidth="1"/>
    <col min="15875" max="15875" width="9.07421875" style="691" customWidth="1"/>
    <col min="15876" max="15876" width="6.53515625" style="691" customWidth="1"/>
    <col min="15877" max="15877" width="7.84375" style="691" customWidth="1"/>
    <col min="15878" max="15878" width="8.07421875" style="691" customWidth="1"/>
    <col min="15879" max="15879" width="9" style="691" customWidth="1"/>
    <col min="15880" max="15880" width="11.53515625" style="691" customWidth="1"/>
    <col min="15881" max="15881" width="12.69140625" style="691" customWidth="1"/>
    <col min="15882" max="15882" width="13.69140625" style="691" customWidth="1"/>
    <col min="15883" max="16128" width="9.69140625" style="691"/>
    <col min="16129" max="16129" width="7.69140625" style="691" customWidth="1"/>
    <col min="16130" max="16130" width="32.84375" style="691" customWidth="1"/>
    <col min="16131" max="16131" width="9.07421875" style="691" customWidth="1"/>
    <col min="16132" max="16132" width="6.53515625" style="691" customWidth="1"/>
    <col min="16133" max="16133" width="7.84375" style="691" customWidth="1"/>
    <col min="16134" max="16134" width="8.07421875" style="691" customWidth="1"/>
    <col min="16135" max="16135" width="9" style="691" customWidth="1"/>
    <col min="16136" max="16136" width="11.53515625" style="691" customWidth="1"/>
    <col min="16137" max="16137" width="12.69140625" style="691" customWidth="1"/>
    <col min="16138" max="16138" width="13.69140625" style="691" customWidth="1"/>
    <col min="16139" max="16384" width="9.69140625" style="691"/>
  </cols>
  <sheetData>
    <row r="1" spans="1:10">
      <c r="A1" s="1265" t="s">
        <v>490</v>
      </c>
      <c r="B1" s="1265"/>
      <c r="C1" s="1265"/>
      <c r="D1" s="1265"/>
      <c r="E1" s="1265"/>
      <c r="F1" s="1265"/>
      <c r="G1" s="1265"/>
      <c r="H1" s="1265"/>
    </row>
    <row r="2" spans="1:10">
      <c r="A2" s="1301" t="s">
        <v>240</v>
      </c>
      <c r="B2" s="1301"/>
      <c r="C2" s="1301"/>
      <c r="D2" s="1301"/>
      <c r="E2" s="1301"/>
      <c r="F2" s="1301"/>
      <c r="G2" s="1301"/>
      <c r="H2" s="1301"/>
    </row>
    <row r="3" spans="1:10">
      <c r="A3" s="1302" t="str">
        <f>+'Attachment H-29A'!D5</f>
        <v>Transource Pennsylvania, LLC</v>
      </c>
      <c r="B3" s="1302"/>
      <c r="C3" s="1302"/>
      <c r="D3" s="1302"/>
      <c r="E3" s="1302"/>
      <c r="F3" s="1302"/>
      <c r="G3" s="1302"/>
      <c r="H3" s="1302"/>
    </row>
    <row r="4" spans="1:10">
      <c r="H4" s="692"/>
    </row>
    <row r="5" spans="1:10">
      <c r="H5" s="692"/>
    </row>
    <row r="7" spans="1:10">
      <c r="A7" s="1300"/>
      <c r="B7" s="1300"/>
      <c r="C7" s="1300"/>
      <c r="D7" s="1300"/>
      <c r="E7" s="1300"/>
      <c r="F7" s="1300"/>
      <c r="G7" s="1300"/>
      <c r="H7" s="1300"/>
    </row>
    <row r="8" spans="1:10">
      <c r="A8" s="1300" t="s">
        <v>415</v>
      </c>
      <c r="B8" s="1300"/>
      <c r="C8" s="1300"/>
      <c r="D8" s="1300"/>
      <c r="E8" s="1300"/>
      <c r="F8" s="1300"/>
      <c r="G8" s="1300"/>
      <c r="H8" s="1300"/>
    </row>
    <row r="9" spans="1:10">
      <c r="A9" s="1300" t="s">
        <v>416</v>
      </c>
      <c r="B9" s="1300"/>
      <c r="C9" s="1300"/>
      <c r="D9" s="1300"/>
      <c r="E9" s="1300"/>
      <c r="F9" s="1300"/>
      <c r="G9" s="1300"/>
      <c r="H9" s="1300"/>
    </row>
    <row r="10" spans="1:10">
      <c r="A10" s="1300" t="s">
        <v>638</v>
      </c>
      <c r="B10" s="1300"/>
      <c r="C10" s="1300"/>
      <c r="D10" s="1300"/>
      <c r="E10" s="1300"/>
      <c r="F10" s="1300"/>
      <c r="G10" s="1300"/>
      <c r="H10" s="1300"/>
    </row>
    <row r="11" spans="1:10">
      <c r="A11" s="693"/>
    </row>
    <row r="12" spans="1:10" ht="73.5" customHeight="1">
      <c r="C12" s="694" t="s">
        <v>335</v>
      </c>
      <c r="D12" s="694" t="s">
        <v>336</v>
      </c>
      <c r="E12" s="694" t="s">
        <v>337</v>
      </c>
      <c r="F12" s="694" t="s">
        <v>338</v>
      </c>
      <c r="G12" s="694" t="s">
        <v>339</v>
      </c>
      <c r="H12" s="694" t="s">
        <v>640</v>
      </c>
    </row>
    <row r="13" spans="1:10">
      <c r="A13" s="695" t="s">
        <v>340</v>
      </c>
    </row>
    <row r="14" spans="1:10">
      <c r="A14" s="695"/>
    </row>
    <row r="15" spans="1:10">
      <c r="A15" s="696" t="s">
        <v>417</v>
      </c>
      <c r="B15" s="691" t="s">
        <v>418</v>
      </c>
      <c r="C15" s="697">
        <v>15</v>
      </c>
      <c r="D15" s="698" t="s">
        <v>359</v>
      </c>
      <c r="E15" s="699">
        <v>0.05</v>
      </c>
      <c r="F15" s="699">
        <v>0.05</v>
      </c>
      <c r="G15" s="699">
        <f>E15-F15</f>
        <v>0</v>
      </c>
      <c r="H15" s="700">
        <f>(1-G15)/C15</f>
        <v>6.6666666666666666E-2</v>
      </c>
    </row>
    <row r="16" spans="1:10">
      <c r="A16" s="691" t="s">
        <v>342</v>
      </c>
      <c r="B16" s="691" t="s">
        <v>343</v>
      </c>
      <c r="C16" s="697">
        <v>62</v>
      </c>
      <c r="D16" s="698" t="s">
        <v>341</v>
      </c>
      <c r="E16" s="699">
        <v>0.05</v>
      </c>
      <c r="F16" s="699">
        <v>0.15</v>
      </c>
      <c r="G16" s="699">
        <f t="shared" ref="G16:G22" si="0">E16-F16</f>
        <v>-9.9999999999999992E-2</v>
      </c>
      <c r="H16" s="700">
        <f t="shared" ref="H16:H22" si="1">(1-G16)/C16</f>
        <v>1.7741935483870968E-2</v>
      </c>
      <c r="I16" s="701"/>
      <c r="J16" s="702"/>
    </row>
    <row r="17" spans="1:10">
      <c r="A17" s="691" t="s">
        <v>344</v>
      </c>
      <c r="B17" s="691" t="s">
        <v>345</v>
      </c>
      <c r="C17" s="697">
        <v>45</v>
      </c>
      <c r="D17" s="703" t="s">
        <v>419</v>
      </c>
      <c r="E17" s="699">
        <v>0.28000000000000003</v>
      </c>
      <c r="F17" s="699">
        <v>0.13</v>
      </c>
      <c r="G17" s="699">
        <f t="shared" si="0"/>
        <v>0.15000000000000002</v>
      </c>
      <c r="H17" s="700">
        <f t="shared" si="1"/>
        <v>1.8888888888888889E-2</v>
      </c>
      <c r="I17" s="701"/>
      <c r="J17" s="702"/>
    </row>
    <row r="18" spans="1:10">
      <c r="A18" s="691" t="s">
        <v>347</v>
      </c>
      <c r="B18" s="691" t="s">
        <v>348</v>
      </c>
      <c r="C18" s="697">
        <v>68</v>
      </c>
      <c r="D18" s="698" t="s">
        <v>353</v>
      </c>
      <c r="E18" s="699">
        <v>0.25</v>
      </c>
      <c r="F18" s="699">
        <v>0.35</v>
      </c>
      <c r="G18" s="699">
        <f t="shared" si="0"/>
        <v>-9.9999999999999978E-2</v>
      </c>
      <c r="H18" s="700">
        <f t="shared" si="1"/>
        <v>1.6176470588235296E-2</v>
      </c>
      <c r="I18" s="701"/>
      <c r="J18" s="702"/>
    </row>
    <row r="19" spans="1:10">
      <c r="A19" s="691" t="s">
        <v>349</v>
      </c>
      <c r="B19" s="691" t="s">
        <v>350</v>
      </c>
      <c r="C19" s="697">
        <v>42</v>
      </c>
      <c r="D19" s="703" t="s">
        <v>420</v>
      </c>
      <c r="E19" s="699">
        <v>0.05</v>
      </c>
      <c r="F19" s="699">
        <v>0.2</v>
      </c>
      <c r="G19" s="699">
        <f t="shared" si="0"/>
        <v>-0.15000000000000002</v>
      </c>
      <c r="H19" s="700">
        <f t="shared" si="1"/>
        <v>2.7380952380952377E-2</v>
      </c>
      <c r="I19" s="701"/>
      <c r="J19" s="702"/>
    </row>
    <row r="20" spans="1:10">
      <c r="A20" s="691" t="s">
        <v>351</v>
      </c>
      <c r="B20" s="691" t="s">
        <v>352</v>
      </c>
      <c r="C20" s="697">
        <v>64</v>
      </c>
      <c r="D20" s="703" t="s">
        <v>353</v>
      </c>
      <c r="E20" s="699">
        <v>0.3</v>
      </c>
      <c r="F20" s="699">
        <v>0.18</v>
      </c>
      <c r="G20" s="699">
        <f t="shared" si="0"/>
        <v>0.12</v>
      </c>
      <c r="H20" s="700">
        <f t="shared" si="1"/>
        <v>1.375E-2</v>
      </c>
      <c r="I20" s="701"/>
      <c r="J20" s="702"/>
    </row>
    <row r="21" spans="1:10">
      <c r="A21" s="704" t="s">
        <v>421</v>
      </c>
      <c r="B21" s="691" t="s">
        <v>422</v>
      </c>
      <c r="C21" s="697">
        <v>50</v>
      </c>
      <c r="D21" s="703" t="s">
        <v>346</v>
      </c>
      <c r="E21" s="699">
        <v>0</v>
      </c>
      <c r="F21" s="699">
        <v>0</v>
      </c>
      <c r="G21" s="699">
        <f t="shared" si="0"/>
        <v>0</v>
      </c>
      <c r="H21" s="700">
        <f t="shared" si="1"/>
        <v>0.02</v>
      </c>
      <c r="I21" s="701"/>
      <c r="J21" s="702"/>
    </row>
    <row r="22" spans="1:10">
      <c r="A22" s="705">
        <v>358</v>
      </c>
      <c r="B22" s="691" t="s">
        <v>354</v>
      </c>
      <c r="C22" s="697">
        <v>20</v>
      </c>
      <c r="D22" s="703" t="s">
        <v>423</v>
      </c>
      <c r="E22" s="699">
        <v>0</v>
      </c>
      <c r="F22" s="699">
        <v>0</v>
      </c>
      <c r="G22" s="699">
        <f t="shared" si="0"/>
        <v>0</v>
      </c>
      <c r="H22" s="700">
        <f t="shared" si="1"/>
        <v>0.05</v>
      </c>
      <c r="I22" s="701"/>
      <c r="J22" s="702"/>
    </row>
    <row r="23" spans="1:10">
      <c r="C23" s="697"/>
      <c r="D23" s="700"/>
      <c r="E23" s="699"/>
      <c r="F23" s="699"/>
      <c r="G23" s="699"/>
      <c r="H23" s="703"/>
      <c r="I23" s="706"/>
      <c r="J23" s="692"/>
    </row>
    <row r="24" spans="1:10" s="707" customFormat="1">
      <c r="A24" s="695" t="s">
        <v>355</v>
      </c>
      <c r="C24" s="708"/>
      <c r="D24" s="709"/>
      <c r="E24" s="710"/>
      <c r="F24" s="710"/>
      <c r="G24" s="710"/>
      <c r="H24" s="711"/>
    </row>
    <row r="25" spans="1:10" s="707" customFormat="1">
      <c r="A25" s="695"/>
      <c r="C25" s="708"/>
      <c r="D25" s="709"/>
      <c r="E25" s="710"/>
      <c r="F25" s="710"/>
      <c r="G25" s="710"/>
      <c r="H25" s="711"/>
    </row>
    <row r="26" spans="1:10">
      <c r="A26" s="691" t="s">
        <v>356</v>
      </c>
      <c r="B26" s="691" t="s">
        <v>343</v>
      </c>
      <c r="C26" s="697">
        <v>42</v>
      </c>
      <c r="D26" s="703" t="s">
        <v>359</v>
      </c>
      <c r="E26" s="699">
        <v>0.36</v>
      </c>
      <c r="F26" s="699">
        <v>0.11</v>
      </c>
      <c r="G26" s="699">
        <f t="shared" ref="G26:G34" si="2">E26-F26</f>
        <v>0.25</v>
      </c>
      <c r="H26" s="700">
        <f t="shared" ref="H26:H34" si="3">(1-G26)/C26</f>
        <v>1.7857142857142856E-2</v>
      </c>
      <c r="I26" s="701"/>
      <c r="J26" s="702"/>
    </row>
    <row r="27" spans="1:10">
      <c r="A27" s="691" t="s">
        <v>357</v>
      </c>
      <c r="B27" s="691" t="s">
        <v>358</v>
      </c>
      <c r="C27" s="697">
        <v>30</v>
      </c>
      <c r="D27" s="703" t="s">
        <v>359</v>
      </c>
      <c r="E27" s="699">
        <v>0</v>
      </c>
      <c r="F27" s="699">
        <v>0</v>
      </c>
      <c r="G27" s="699">
        <f t="shared" si="2"/>
        <v>0</v>
      </c>
      <c r="H27" s="700">
        <f t="shared" si="3"/>
        <v>3.3333333333333333E-2</v>
      </c>
      <c r="I27" s="701"/>
      <c r="J27" s="702"/>
    </row>
    <row r="28" spans="1:10">
      <c r="A28" s="712" t="s">
        <v>360</v>
      </c>
      <c r="B28" s="691" t="s">
        <v>361</v>
      </c>
      <c r="C28" s="697">
        <v>27</v>
      </c>
      <c r="D28" s="698" t="s">
        <v>359</v>
      </c>
      <c r="E28" s="699">
        <v>0</v>
      </c>
      <c r="F28" s="699">
        <v>0</v>
      </c>
      <c r="G28" s="699">
        <f t="shared" si="2"/>
        <v>0</v>
      </c>
      <c r="H28" s="700">
        <f t="shared" si="3"/>
        <v>3.7037037037037035E-2</v>
      </c>
      <c r="I28" s="701"/>
      <c r="J28" s="702"/>
    </row>
    <row r="29" spans="1:10">
      <c r="A29" s="691" t="s">
        <v>362</v>
      </c>
      <c r="B29" s="691" t="s">
        <v>363</v>
      </c>
      <c r="C29" s="697">
        <v>55</v>
      </c>
      <c r="D29" s="698" t="s">
        <v>359</v>
      </c>
      <c r="E29" s="699">
        <v>0</v>
      </c>
      <c r="F29" s="699">
        <v>0</v>
      </c>
      <c r="G29" s="699">
        <f t="shared" si="2"/>
        <v>0</v>
      </c>
      <c r="H29" s="700">
        <f t="shared" si="3"/>
        <v>1.8181818181818181E-2</v>
      </c>
      <c r="I29" s="701"/>
      <c r="J29" s="702"/>
    </row>
    <row r="30" spans="1:10">
      <c r="A30" s="691" t="s">
        <v>364</v>
      </c>
      <c r="B30" s="691" t="s">
        <v>365</v>
      </c>
      <c r="C30" s="697">
        <v>43</v>
      </c>
      <c r="D30" s="698" t="s">
        <v>359</v>
      </c>
      <c r="E30" s="699">
        <v>0</v>
      </c>
      <c r="F30" s="699">
        <v>0.1</v>
      </c>
      <c r="G30" s="699">
        <f t="shared" si="2"/>
        <v>-0.1</v>
      </c>
      <c r="H30" s="700">
        <f t="shared" si="3"/>
        <v>2.5581395348837212E-2</v>
      </c>
      <c r="I30" s="701"/>
      <c r="J30" s="702"/>
    </row>
    <row r="31" spans="1:10">
      <c r="A31" s="691" t="s">
        <v>366</v>
      </c>
      <c r="B31" s="691" t="s">
        <v>367</v>
      </c>
      <c r="C31" s="697">
        <v>37</v>
      </c>
      <c r="D31" s="698" t="s">
        <v>359</v>
      </c>
      <c r="E31" s="699">
        <v>0</v>
      </c>
      <c r="F31" s="699">
        <v>0</v>
      </c>
      <c r="G31" s="699">
        <f t="shared" si="2"/>
        <v>0</v>
      </c>
      <c r="H31" s="700">
        <f t="shared" si="3"/>
        <v>2.7027027027027029E-2</v>
      </c>
      <c r="I31" s="701"/>
      <c r="J31" s="702"/>
    </row>
    <row r="32" spans="1:10">
      <c r="A32" s="712" t="s">
        <v>368</v>
      </c>
      <c r="B32" s="691" t="s">
        <v>369</v>
      </c>
      <c r="C32" s="697">
        <v>25</v>
      </c>
      <c r="D32" s="698" t="s">
        <v>359</v>
      </c>
      <c r="E32" s="699">
        <v>0</v>
      </c>
      <c r="F32" s="699">
        <v>0</v>
      </c>
      <c r="G32" s="699">
        <f t="shared" si="2"/>
        <v>0</v>
      </c>
      <c r="H32" s="700">
        <f t="shared" si="3"/>
        <v>0.04</v>
      </c>
      <c r="I32" s="701"/>
      <c r="J32" s="702"/>
    </row>
    <row r="33" spans="1:10">
      <c r="A33" s="691" t="s">
        <v>370</v>
      </c>
      <c r="B33" s="691" t="s">
        <v>371</v>
      </c>
      <c r="C33" s="697">
        <v>24</v>
      </c>
      <c r="D33" s="698" t="s">
        <v>359</v>
      </c>
      <c r="E33" s="699">
        <v>0</v>
      </c>
      <c r="F33" s="699">
        <v>0.01</v>
      </c>
      <c r="G33" s="699">
        <f t="shared" si="2"/>
        <v>-0.01</v>
      </c>
      <c r="H33" s="700">
        <f t="shared" si="3"/>
        <v>4.2083333333333334E-2</v>
      </c>
      <c r="I33" s="701"/>
      <c r="J33" s="702"/>
    </row>
    <row r="34" spans="1:10">
      <c r="A34" s="691" t="s">
        <v>372</v>
      </c>
      <c r="B34" s="691" t="s">
        <v>373</v>
      </c>
      <c r="C34" s="697">
        <v>35</v>
      </c>
      <c r="D34" s="698" t="s">
        <v>359</v>
      </c>
      <c r="E34" s="699">
        <v>0</v>
      </c>
      <c r="F34" s="699">
        <v>0</v>
      </c>
      <c r="G34" s="699">
        <f t="shared" si="2"/>
        <v>0</v>
      </c>
      <c r="H34" s="700">
        <f t="shared" si="3"/>
        <v>2.8571428571428571E-2</v>
      </c>
      <c r="I34" s="701"/>
      <c r="J34" s="702"/>
    </row>
    <row r="35" spans="1:10">
      <c r="C35" s="713"/>
      <c r="E35" s="714"/>
      <c r="F35" s="714"/>
      <c r="G35" s="714"/>
    </row>
    <row r="36" spans="1:10">
      <c r="A36" s="695" t="s">
        <v>658</v>
      </c>
      <c r="C36" s="713"/>
      <c r="E36" s="714"/>
      <c r="F36" s="714"/>
      <c r="G36" s="714"/>
    </row>
    <row r="37" spans="1:10">
      <c r="A37" s="753">
        <v>303</v>
      </c>
      <c r="B37" s="691" t="s">
        <v>659</v>
      </c>
      <c r="C37" s="697">
        <v>5</v>
      </c>
      <c r="D37" s="715"/>
      <c r="E37" s="714"/>
      <c r="F37" s="714"/>
      <c r="G37" s="714"/>
      <c r="H37" s="700">
        <v>0.2</v>
      </c>
    </row>
    <row r="38" spans="1:10">
      <c r="C38" s="713"/>
      <c r="E38" s="714"/>
      <c r="F38" s="714"/>
      <c r="G38" s="714"/>
    </row>
    <row r="39" spans="1:10">
      <c r="A39" s="716" t="s">
        <v>523</v>
      </c>
      <c r="C39" s="713"/>
      <c r="E39" s="714"/>
      <c r="F39" s="714"/>
      <c r="G39" s="714"/>
    </row>
    <row r="40" spans="1:10" ht="39" customHeight="1">
      <c r="A40" s="717" t="s">
        <v>62</v>
      </c>
      <c r="B40" s="1299" t="s">
        <v>728</v>
      </c>
      <c r="C40" s="1299"/>
      <c r="D40" s="1299"/>
      <c r="E40" s="1299"/>
      <c r="F40" s="1299"/>
      <c r="G40" s="1299"/>
      <c r="H40" s="1299"/>
    </row>
    <row r="41" spans="1:10">
      <c r="A41" s="718" t="s">
        <v>63</v>
      </c>
      <c r="B41" s="719" t="s">
        <v>639</v>
      </c>
      <c r="C41" s="668"/>
      <c r="D41" s="668"/>
      <c r="E41" s="668"/>
      <c r="F41" s="668"/>
      <c r="G41" s="668"/>
      <c r="H41" s="668"/>
    </row>
    <row r="42" spans="1:10">
      <c r="A42" s="668"/>
      <c r="B42" s="668"/>
      <c r="C42" s="668"/>
      <c r="D42" s="668"/>
      <c r="E42" s="668"/>
      <c r="F42" s="668"/>
      <c r="G42" s="668"/>
      <c r="H42" s="668"/>
    </row>
    <row r="43" spans="1:10">
      <c r="C43" s="720"/>
      <c r="E43" s="714"/>
      <c r="F43" s="714"/>
      <c r="G43" s="714"/>
    </row>
    <row r="44" spans="1:10">
      <c r="C44" s="720"/>
      <c r="E44" s="714"/>
      <c r="F44" s="714"/>
      <c r="G44" s="714"/>
    </row>
    <row r="45" spans="1:10">
      <c r="C45" s="720"/>
      <c r="E45" s="714"/>
      <c r="F45" s="714"/>
      <c r="G45" s="714"/>
    </row>
    <row r="46" spans="1:10">
      <c r="C46" s="720"/>
      <c r="E46" s="714"/>
      <c r="F46" s="714"/>
      <c r="G46" s="714"/>
    </row>
    <row r="47" spans="1:10">
      <c r="C47" s="720"/>
      <c r="E47" s="714"/>
      <c r="F47" s="714"/>
      <c r="G47" s="714"/>
    </row>
    <row r="48" spans="1:10">
      <c r="C48" s="720"/>
      <c r="E48" s="714"/>
      <c r="F48" s="714"/>
      <c r="G48" s="714"/>
    </row>
    <row r="49" spans="3:7">
      <c r="C49" s="720"/>
      <c r="E49" s="714"/>
      <c r="F49" s="714"/>
      <c r="G49" s="714"/>
    </row>
    <row r="50" spans="3:7">
      <c r="C50" s="720"/>
      <c r="E50" s="714"/>
      <c r="F50" s="714"/>
      <c r="G50" s="714"/>
    </row>
    <row r="51" spans="3:7">
      <c r="C51" s="720"/>
      <c r="E51" s="714"/>
      <c r="F51" s="714"/>
      <c r="G51" s="714"/>
    </row>
    <row r="52" spans="3:7">
      <c r="E52" s="714"/>
      <c r="F52" s="714"/>
      <c r="G52" s="714"/>
    </row>
    <row r="53" spans="3:7">
      <c r="E53" s="714"/>
      <c r="F53" s="714"/>
      <c r="G53" s="714"/>
    </row>
    <row r="54" spans="3:7">
      <c r="E54" s="714"/>
      <c r="F54" s="714"/>
      <c r="G54" s="714"/>
    </row>
    <row r="55" spans="3:7">
      <c r="E55" s="714"/>
      <c r="F55" s="714"/>
      <c r="G55" s="714"/>
    </row>
    <row r="56" spans="3:7">
      <c r="E56" s="714"/>
      <c r="F56" s="714"/>
      <c r="G56" s="714"/>
    </row>
    <row r="57" spans="3:7">
      <c r="E57" s="714"/>
      <c r="F57" s="714"/>
      <c r="G57" s="714"/>
    </row>
    <row r="58" spans="3:7">
      <c r="E58" s="714"/>
      <c r="F58" s="714"/>
      <c r="G58" s="714"/>
    </row>
    <row r="59" spans="3:7">
      <c r="E59" s="714"/>
      <c r="F59" s="714"/>
      <c r="G59" s="714"/>
    </row>
    <row r="60" spans="3:7">
      <c r="E60" s="714"/>
      <c r="F60" s="714"/>
      <c r="G60" s="714"/>
    </row>
    <row r="61" spans="3:7">
      <c r="E61" s="714"/>
      <c r="F61" s="714"/>
      <c r="G61" s="714"/>
    </row>
    <row r="62" spans="3:7">
      <c r="E62" s="714"/>
      <c r="F62" s="714"/>
      <c r="G62" s="714"/>
    </row>
    <row r="63" spans="3:7">
      <c r="E63" s="714"/>
      <c r="F63" s="714"/>
      <c r="G63" s="714"/>
    </row>
    <row r="64" spans="3:7">
      <c r="E64" s="714"/>
      <c r="F64" s="714"/>
      <c r="G64" s="714"/>
    </row>
    <row r="65" spans="5:7">
      <c r="E65" s="714"/>
      <c r="F65" s="714"/>
      <c r="G65" s="714"/>
    </row>
    <row r="66" spans="5:7">
      <c r="E66" s="714"/>
      <c r="F66" s="714"/>
      <c r="G66" s="714"/>
    </row>
    <row r="67" spans="5:7">
      <c r="E67" s="714"/>
      <c r="F67" s="714"/>
      <c r="G67" s="714"/>
    </row>
    <row r="68" spans="5:7">
      <c r="E68" s="714"/>
      <c r="F68" s="714"/>
      <c r="G68" s="714"/>
    </row>
    <row r="69" spans="5:7">
      <c r="E69" s="714"/>
      <c r="F69" s="714"/>
      <c r="G69" s="714"/>
    </row>
    <row r="70" spans="5:7">
      <c r="E70" s="714"/>
      <c r="F70" s="714"/>
      <c r="G70" s="714"/>
    </row>
    <row r="71" spans="5:7">
      <c r="E71" s="714"/>
      <c r="F71" s="714"/>
      <c r="G71" s="714"/>
    </row>
    <row r="72" spans="5:7">
      <c r="E72" s="714"/>
      <c r="F72" s="714"/>
      <c r="G72" s="714"/>
    </row>
    <row r="73" spans="5:7">
      <c r="E73" s="714"/>
      <c r="F73" s="714"/>
      <c r="G73" s="714"/>
    </row>
    <row r="74" spans="5:7">
      <c r="E74" s="714"/>
      <c r="F74" s="714"/>
      <c r="G74" s="714"/>
    </row>
    <row r="75" spans="5:7">
      <c r="E75" s="714"/>
      <c r="F75" s="714"/>
      <c r="G75" s="714"/>
    </row>
    <row r="76" spans="5:7">
      <c r="E76" s="714"/>
      <c r="F76" s="714"/>
      <c r="G76" s="714"/>
    </row>
    <row r="77" spans="5:7">
      <c r="E77" s="714"/>
      <c r="F77" s="714"/>
      <c r="G77" s="714"/>
    </row>
    <row r="78" spans="5:7">
      <c r="E78" s="714"/>
      <c r="F78" s="714"/>
      <c r="G78" s="714"/>
    </row>
    <row r="79" spans="5:7">
      <c r="E79" s="714"/>
      <c r="F79" s="714"/>
      <c r="G79" s="714"/>
    </row>
    <row r="80" spans="5:7">
      <c r="E80" s="714"/>
      <c r="F80" s="714"/>
      <c r="G80" s="714"/>
    </row>
    <row r="81" spans="5:7">
      <c r="E81" s="714"/>
      <c r="F81" s="714"/>
      <c r="G81" s="714"/>
    </row>
    <row r="82" spans="5:7">
      <c r="E82" s="714"/>
      <c r="F82" s="714"/>
      <c r="G82" s="714"/>
    </row>
    <row r="83" spans="5:7">
      <c r="E83" s="714"/>
      <c r="F83" s="714"/>
      <c r="G83" s="714"/>
    </row>
    <row r="84" spans="5:7">
      <c r="E84" s="714"/>
      <c r="F84" s="714"/>
      <c r="G84" s="714"/>
    </row>
    <row r="85" spans="5:7">
      <c r="E85" s="714"/>
      <c r="F85" s="714"/>
      <c r="G85" s="714"/>
    </row>
    <row r="86" spans="5:7">
      <c r="E86" s="714"/>
      <c r="F86" s="714"/>
      <c r="G86" s="714"/>
    </row>
    <row r="87" spans="5:7">
      <c r="E87" s="714"/>
      <c r="F87" s="714"/>
      <c r="G87" s="714"/>
    </row>
    <row r="88" spans="5:7">
      <c r="E88" s="714"/>
      <c r="F88" s="714"/>
      <c r="G88" s="714"/>
    </row>
    <row r="89" spans="5:7">
      <c r="E89" s="714"/>
      <c r="F89" s="714"/>
      <c r="G89" s="714"/>
    </row>
    <row r="90" spans="5:7">
      <c r="E90" s="714"/>
      <c r="F90" s="714"/>
      <c r="G90" s="714"/>
    </row>
    <row r="91" spans="5:7">
      <c r="E91" s="714"/>
      <c r="F91" s="714"/>
      <c r="G91" s="714"/>
    </row>
    <row r="92" spans="5:7">
      <c r="E92" s="714"/>
      <c r="F92" s="714"/>
      <c r="G92" s="714"/>
    </row>
    <row r="93" spans="5:7">
      <c r="E93" s="714"/>
      <c r="F93" s="714"/>
      <c r="G93" s="714"/>
    </row>
    <row r="94" spans="5:7">
      <c r="E94" s="714"/>
      <c r="F94" s="714"/>
      <c r="G94" s="714"/>
    </row>
    <row r="95" spans="5:7">
      <c r="E95" s="714"/>
      <c r="F95" s="714"/>
      <c r="G95" s="714"/>
    </row>
    <row r="96" spans="5:7">
      <c r="E96" s="714"/>
      <c r="F96" s="714"/>
      <c r="G96" s="714"/>
    </row>
    <row r="97" spans="5:7">
      <c r="E97" s="714"/>
      <c r="F97" s="714"/>
      <c r="G97" s="714"/>
    </row>
    <row r="98" spans="5:7">
      <c r="E98" s="714"/>
      <c r="F98" s="714"/>
      <c r="G98" s="714"/>
    </row>
    <row r="99" spans="5:7">
      <c r="E99" s="714"/>
      <c r="F99" s="714"/>
      <c r="G99" s="714"/>
    </row>
    <row r="100" spans="5:7">
      <c r="E100" s="714"/>
      <c r="F100" s="714"/>
      <c r="G100" s="714"/>
    </row>
    <row r="101" spans="5:7">
      <c r="E101" s="714"/>
      <c r="F101" s="714"/>
      <c r="G101" s="714"/>
    </row>
    <row r="102" spans="5:7">
      <c r="E102" s="714"/>
      <c r="F102" s="714"/>
      <c r="G102" s="714"/>
    </row>
    <row r="103" spans="5:7">
      <c r="E103" s="714"/>
      <c r="F103" s="714"/>
      <c r="G103" s="714"/>
    </row>
    <row r="104" spans="5:7">
      <c r="E104" s="714"/>
      <c r="F104" s="714"/>
      <c r="G104" s="714"/>
    </row>
    <row r="105" spans="5:7">
      <c r="E105" s="714"/>
      <c r="F105" s="714"/>
      <c r="G105" s="714"/>
    </row>
    <row r="106" spans="5:7">
      <c r="E106" s="714"/>
      <c r="F106" s="714"/>
      <c r="G106" s="714"/>
    </row>
    <row r="107" spans="5:7">
      <c r="E107" s="714"/>
      <c r="F107" s="714"/>
      <c r="G107" s="714"/>
    </row>
    <row r="108" spans="5:7">
      <c r="E108" s="714"/>
      <c r="F108" s="714"/>
      <c r="G108" s="714"/>
    </row>
    <row r="109" spans="5:7">
      <c r="E109" s="714"/>
      <c r="F109" s="714"/>
      <c r="G109" s="714"/>
    </row>
    <row r="110" spans="5:7">
      <c r="E110" s="714"/>
      <c r="F110" s="714"/>
      <c r="G110" s="714"/>
    </row>
    <row r="111" spans="5:7">
      <c r="E111" s="714"/>
      <c r="F111" s="714"/>
      <c r="G111" s="714"/>
    </row>
    <row r="112" spans="5:7">
      <c r="E112" s="714"/>
      <c r="F112" s="714"/>
      <c r="G112" s="714"/>
    </row>
    <row r="113" spans="5:7">
      <c r="E113" s="714"/>
      <c r="F113" s="714"/>
      <c r="G113" s="714"/>
    </row>
    <row r="114" spans="5:7">
      <c r="E114" s="714"/>
      <c r="F114" s="714"/>
      <c r="G114" s="714"/>
    </row>
    <row r="115" spans="5:7">
      <c r="E115" s="714"/>
      <c r="F115" s="714"/>
      <c r="G115" s="714"/>
    </row>
    <row r="116" spans="5:7">
      <c r="E116" s="714"/>
      <c r="F116" s="714"/>
      <c r="G116" s="714"/>
    </row>
    <row r="117" spans="5:7">
      <c r="E117" s="714"/>
      <c r="F117" s="714"/>
      <c r="G117" s="714"/>
    </row>
    <row r="118" spans="5:7">
      <c r="E118" s="714"/>
      <c r="F118" s="714"/>
      <c r="G118" s="714"/>
    </row>
    <row r="119" spans="5:7">
      <c r="E119" s="714"/>
      <c r="F119" s="714"/>
      <c r="G119" s="714"/>
    </row>
    <row r="120" spans="5:7">
      <c r="E120" s="714"/>
      <c r="F120" s="714"/>
      <c r="G120" s="714"/>
    </row>
    <row r="121" spans="5:7">
      <c r="E121" s="714"/>
      <c r="F121" s="714"/>
      <c r="G121" s="714"/>
    </row>
    <row r="122" spans="5:7">
      <c r="E122" s="714"/>
      <c r="F122" s="714"/>
      <c r="G122" s="714"/>
    </row>
    <row r="123" spans="5:7">
      <c r="E123" s="714"/>
      <c r="F123" s="714"/>
      <c r="G123" s="714"/>
    </row>
    <row r="124" spans="5:7">
      <c r="E124" s="714"/>
      <c r="F124" s="714"/>
      <c r="G124" s="714"/>
    </row>
    <row r="125" spans="5:7">
      <c r="E125" s="714"/>
      <c r="F125" s="714"/>
      <c r="G125" s="714"/>
    </row>
    <row r="126" spans="5:7">
      <c r="E126" s="714"/>
      <c r="F126" s="714"/>
      <c r="G126" s="714"/>
    </row>
    <row r="127" spans="5:7">
      <c r="E127" s="714"/>
      <c r="F127" s="714"/>
      <c r="G127" s="714"/>
    </row>
    <row r="128" spans="5:7">
      <c r="E128" s="714"/>
      <c r="F128" s="714"/>
      <c r="G128" s="714"/>
    </row>
    <row r="129" spans="5:7">
      <c r="E129" s="714"/>
      <c r="F129" s="714"/>
      <c r="G129" s="714"/>
    </row>
    <row r="130" spans="5:7">
      <c r="E130" s="714"/>
      <c r="F130" s="714"/>
      <c r="G130" s="714"/>
    </row>
    <row r="131" spans="5:7">
      <c r="E131" s="714"/>
      <c r="F131" s="714"/>
      <c r="G131" s="714"/>
    </row>
    <row r="132" spans="5:7">
      <c r="E132" s="714"/>
      <c r="F132" s="714"/>
      <c r="G132" s="714"/>
    </row>
    <row r="133" spans="5:7">
      <c r="E133" s="714"/>
      <c r="F133" s="714"/>
      <c r="G133" s="714"/>
    </row>
    <row r="134" spans="5:7">
      <c r="E134" s="714"/>
      <c r="F134" s="714"/>
      <c r="G134" s="714"/>
    </row>
    <row r="135" spans="5:7">
      <c r="E135" s="714"/>
      <c r="F135" s="714"/>
      <c r="G135" s="714"/>
    </row>
    <row r="136" spans="5:7">
      <c r="E136" s="714"/>
      <c r="F136" s="714"/>
      <c r="G136" s="714"/>
    </row>
    <row r="137" spans="5:7">
      <c r="E137" s="714"/>
      <c r="F137" s="714"/>
      <c r="G137" s="714"/>
    </row>
    <row r="138" spans="5:7">
      <c r="E138" s="714"/>
      <c r="F138" s="714"/>
      <c r="G138" s="714"/>
    </row>
    <row r="139" spans="5:7">
      <c r="E139" s="714"/>
      <c r="F139" s="714"/>
      <c r="G139" s="714"/>
    </row>
    <row r="140" spans="5:7">
      <c r="E140" s="714"/>
      <c r="F140" s="714"/>
      <c r="G140" s="714"/>
    </row>
    <row r="141" spans="5:7">
      <c r="E141" s="714"/>
      <c r="F141" s="714"/>
      <c r="G141" s="714"/>
    </row>
    <row r="142" spans="5:7">
      <c r="E142" s="714"/>
      <c r="F142" s="714"/>
      <c r="G142" s="714"/>
    </row>
    <row r="143" spans="5:7">
      <c r="E143" s="714"/>
      <c r="F143" s="714"/>
      <c r="G143" s="714"/>
    </row>
    <row r="144" spans="5:7">
      <c r="E144" s="714"/>
      <c r="F144" s="714"/>
      <c r="G144" s="714"/>
    </row>
    <row r="145" spans="5:7">
      <c r="E145" s="714"/>
      <c r="F145" s="714"/>
      <c r="G145" s="714"/>
    </row>
    <row r="146" spans="5:7">
      <c r="E146" s="714"/>
      <c r="F146" s="714"/>
      <c r="G146" s="714"/>
    </row>
    <row r="147" spans="5:7">
      <c r="E147" s="714"/>
      <c r="F147" s="714"/>
      <c r="G147" s="714"/>
    </row>
    <row r="148" spans="5:7">
      <c r="E148" s="714"/>
      <c r="F148" s="714"/>
      <c r="G148" s="714"/>
    </row>
    <row r="149" spans="5:7">
      <c r="E149" s="714"/>
      <c r="F149" s="714"/>
      <c r="G149" s="714"/>
    </row>
    <row r="150" spans="5:7">
      <c r="E150" s="714"/>
      <c r="F150" s="714"/>
      <c r="G150" s="714"/>
    </row>
    <row r="151" spans="5:7">
      <c r="E151" s="714"/>
      <c r="F151" s="714"/>
      <c r="G151" s="714"/>
    </row>
    <row r="152" spans="5:7">
      <c r="E152" s="714"/>
      <c r="F152" s="714"/>
      <c r="G152" s="714"/>
    </row>
    <row r="153" spans="5:7">
      <c r="E153" s="714"/>
      <c r="F153" s="714"/>
      <c r="G153" s="714"/>
    </row>
    <row r="154" spans="5:7">
      <c r="E154" s="714"/>
      <c r="F154" s="714"/>
      <c r="G154" s="714"/>
    </row>
    <row r="155" spans="5:7">
      <c r="E155" s="714"/>
      <c r="F155" s="714"/>
      <c r="G155" s="714"/>
    </row>
    <row r="156" spans="5:7">
      <c r="E156" s="714"/>
      <c r="F156" s="714"/>
      <c r="G156" s="714"/>
    </row>
    <row r="157" spans="5:7">
      <c r="E157" s="714"/>
      <c r="F157" s="714"/>
      <c r="G157" s="714"/>
    </row>
    <row r="158" spans="5:7">
      <c r="E158" s="714"/>
      <c r="F158" s="714"/>
      <c r="G158" s="714"/>
    </row>
    <row r="159" spans="5:7">
      <c r="E159" s="714"/>
      <c r="F159" s="714"/>
      <c r="G159" s="714"/>
    </row>
    <row r="160" spans="5:7">
      <c r="E160" s="714"/>
      <c r="F160" s="714"/>
      <c r="G160" s="714"/>
    </row>
    <row r="161" spans="5:7">
      <c r="E161" s="714"/>
      <c r="F161" s="714"/>
      <c r="G161" s="714"/>
    </row>
    <row r="162" spans="5:7">
      <c r="E162" s="714"/>
      <c r="F162" s="714"/>
      <c r="G162" s="714"/>
    </row>
    <row r="163" spans="5:7">
      <c r="E163" s="714"/>
      <c r="F163" s="714"/>
      <c r="G163" s="714"/>
    </row>
    <row r="164" spans="5:7">
      <c r="E164" s="714"/>
      <c r="F164" s="714"/>
      <c r="G164" s="714"/>
    </row>
    <row r="165" spans="5:7">
      <c r="E165" s="714"/>
      <c r="F165" s="714"/>
      <c r="G165" s="714"/>
    </row>
    <row r="166" spans="5:7">
      <c r="E166" s="714"/>
      <c r="F166" s="714"/>
      <c r="G166" s="714"/>
    </row>
    <row r="167" spans="5:7">
      <c r="E167" s="714"/>
      <c r="F167" s="714"/>
      <c r="G167" s="714"/>
    </row>
    <row r="168" spans="5:7">
      <c r="E168" s="714"/>
      <c r="F168" s="714"/>
      <c r="G168" s="714"/>
    </row>
    <row r="169" spans="5:7">
      <c r="E169" s="714"/>
      <c r="F169" s="714"/>
      <c r="G169" s="714"/>
    </row>
    <row r="170" spans="5:7">
      <c r="E170" s="714"/>
      <c r="F170" s="714"/>
      <c r="G170" s="714"/>
    </row>
    <row r="171" spans="5:7">
      <c r="E171" s="714"/>
      <c r="F171" s="714"/>
      <c r="G171" s="714"/>
    </row>
    <row r="172" spans="5:7">
      <c r="E172" s="714"/>
      <c r="F172" s="714"/>
      <c r="G172" s="714"/>
    </row>
    <row r="173" spans="5:7">
      <c r="E173" s="714"/>
      <c r="F173" s="714"/>
      <c r="G173" s="714"/>
    </row>
    <row r="174" spans="5:7">
      <c r="E174" s="714"/>
      <c r="F174" s="714"/>
      <c r="G174" s="714"/>
    </row>
    <row r="175" spans="5:7">
      <c r="E175" s="714"/>
      <c r="F175" s="714"/>
      <c r="G175" s="714"/>
    </row>
    <row r="176" spans="5:7">
      <c r="E176" s="714"/>
      <c r="F176" s="714"/>
      <c r="G176" s="714"/>
    </row>
    <row r="177" spans="5:7">
      <c r="E177" s="714"/>
      <c r="F177" s="714"/>
      <c r="G177" s="714"/>
    </row>
    <row r="178" spans="5:7">
      <c r="E178" s="714"/>
      <c r="F178" s="714"/>
      <c r="G178" s="714"/>
    </row>
    <row r="179" spans="5:7">
      <c r="E179" s="714"/>
      <c r="F179" s="714"/>
      <c r="G179" s="714"/>
    </row>
    <row r="180" spans="5:7">
      <c r="E180" s="714"/>
      <c r="F180" s="714"/>
      <c r="G180" s="714"/>
    </row>
    <row r="181" spans="5:7">
      <c r="E181" s="714"/>
      <c r="F181" s="714"/>
      <c r="G181" s="714"/>
    </row>
    <row r="182" spans="5:7">
      <c r="E182" s="714"/>
      <c r="F182" s="714"/>
      <c r="G182" s="714"/>
    </row>
    <row r="183" spans="5:7">
      <c r="E183" s="714"/>
      <c r="F183" s="714"/>
      <c r="G183" s="714"/>
    </row>
    <row r="184" spans="5:7">
      <c r="E184" s="714"/>
      <c r="F184" s="714"/>
      <c r="G184" s="714"/>
    </row>
    <row r="185" spans="5:7">
      <c r="E185" s="714"/>
      <c r="F185" s="714"/>
      <c r="G185" s="714"/>
    </row>
    <row r="186" spans="5:7">
      <c r="E186" s="714"/>
      <c r="F186" s="714"/>
      <c r="G186" s="714"/>
    </row>
    <row r="187" spans="5:7">
      <c r="E187" s="714"/>
      <c r="F187" s="714"/>
      <c r="G187" s="714"/>
    </row>
    <row r="188" spans="5:7">
      <c r="E188" s="714"/>
      <c r="F188" s="714"/>
      <c r="G188" s="714"/>
    </row>
    <row r="189" spans="5:7">
      <c r="E189" s="714"/>
      <c r="F189" s="714"/>
      <c r="G189" s="714"/>
    </row>
    <row r="190" spans="5:7">
      <c r="E190" s="714"/>
      <c r="F190" s="714"/>
      <c r="G190" s="714"/>
    </row>
    <row r="191" spans="5:7">
      <c r="E191" s="714"/>
      <c r="F191" s="714"/>
      <c r="G191" s="714"/>
    </row>
    <row r="192" spans="5:7">
      <c r="E192" s="714"/>
      <c r="F192" s="714"/>
      <c r="G192" s="714"/>
    </row>
    <row r="193" spans="5:7">
      <c r="E193" s="714"/>
      <c r="F193" s="714"/>
      <c r="G193" s="714"/>
    </row>
    <row r="194" spans="5:7">
      <c r="E194" s="714"/>
      <c r="F194" s="714"/>
      <c r="G194" s="714"/>
    </row>
    <row r="195" spans="5:7">
      <c r="E195" s="714"/>
      <c r="F195" s="714"/>
      <c r="G195" s="714"/>
    </row>
    <row r="196" spans="5:7">
      <c r="E196" s="714"/>
      <c r="F196" s="714"/>
      <c r="G196" s="714"/>
    </row>
    <row r="197" spans="5:7">
      <c r="E197" s="714"/>
      <c r="F197" s="714"/>
      <c r="G197" s="714"/>
    </row>
    <row r="198" spans="5:7">
      <c r="E198" s="714"/>
      <c r="F198" s="714"/>
      <c r="G198" s="714"/>
    </row>
    <row r="199" spans="5:7">
      <c r="E199" s="714"/>
      <c r="F199" s="714"/>
      <c r="G199" s="714"/>
    </row>
    <row r="200" spans="5:7">
      <c r="E200" s="714"/>
      <c r="F200" s="714"/>
      <c r="G200" s="714"/>
    </row>
    <row r="201" spans="5:7">
      <c r="E201" s="714"/>
      <c r="F201" s="714"/>
      <c r="G201" s="714"/>
    </row>
    <row r="202" spans="5:7">
      <c r="E202" s="714"/>
      <c r="F202" s="714"/>
      <c r="G202" s="714"/>
    </row>
    <row r="203" spans="5:7">
      <c r="E203" s="714"/>
      <c r="F203" s="714"/>
      <c r="G203" s="714"/>
    </row>
    <row r="204" spans="5:7">
      <c r="E204" s="714"/>
      <c r="F204" s="714"/>
      <c r="G204" s="714"/>
    </row>
    <row r="205" spans="5:7">
      <c r="E205" s="714"/>
      <c r="F205" s="714"/>
      <c r="G205" s="714"/>
    </row>
    <row r="206" spans="5:7">
      <c r="E206" s="714"/>
      <c r="F206" s="714"/>
      <c r="G206" s="714"/>
    </row>
    <row r="207" spans="5:7">
      <c r="E207" s="714"/>
      <c r="F207" s="714"/>
      <c r="G207" s="714"/>
    </row>
    <row r="208" spans="5:7">
      <c r="E208" s="714"/>
      <c r="F208" s="714"/>
      <c r="G208" s="714"/>
    </row>
    <row r="209" spans="5:7">
      <c r="E209" s="714"/>
      <c r="F209" s="714"/>
      <c r="G209" s="714"/>
    </row>
    <row r="210" spans="5:7">
      <c r="E210" s="714"/>
      <c r="F210" s="714"/>
      <c r="G210" s="714"/>
    </row>
    <row r="211" spans="5:7">
      <c r="E211" s="714"/>
      <c r="F211" s="714"/>
      <c r="G211" s="714"/>
    </row>
    <row r="212" spans="5:7">
      <c r="E212" s="714"/>
      <c r="F212" s="714"/>
      <c r="G212" s="714"/>
    </row>
    <row r="213" spans="5:7">
      <c r="E213" s="714"/>
      <c r="F213" s="714"/>
      <c r="G213" s="714"/>
    </row>
    <row r="214" spans="5:7">
      <c r="E214" s="714"/>
      <c r="F214" s="714"/>
      <c r="G214" s="714"/>
    </row>
    <row r="215" spans="5:7">
      <c r="E215" s="714"/>
      <c r="F215" s="714"/>
      <c r="G215" s="714"/>
    </row>
    <row r="216" spans="5:7">
      <c r="E216" s="714"/>
      <c r="F216" s="714"/>
      <c r="G216" s="714"/>
    </row>
    <row r="217" spans="5:7">
      <c r="E217" s="714"/>
      <c r="F217" s="714"/>
      <c r="G217" s="714"/>
    </row>
    <row r="218" spans="5:7">
      <c r="E218" s="714"/>
      <c r="F218" s="714"/>
      <c r="G218" s="714"/>
    </row>
    <row r="219" spans="5:7">
      <c r="E219" s="714"/>
      <c r="F219" s="714"/>
      <c r="G219" s="714"/>
    </row>
    <row r="220" spans="5:7">
      <c r="E220" s="714"/>
      <c r="F220" s="714"/>
      <c r="G220" s="714"/>
    </row>
    <row r="221" spans="5:7">
      <c r="E221" s="714"/>
      <c r="F221" s="714"/>
      <c r="G221" s="714"/>
    </row>
    <row r="222" spans="5:7">
      <c r="E222" s="714"/>
      <c r="F222" s="714"/>
      <c r="G222" s="714"/>
    </row>
    <row r="223" spans="5:7">
      <c r="E223" s="714"/>
      <c r="F223" s="714"/>
      <c r="G223" s="714"/>
    </row>
    <row r="224" spans="5:7">
      <c r="E224" s="714"/>
      <c r="F224" s="714"/>
      <c r="G224" s="714"/>
    </row>
    <row r="225" spans="5:7">
      <c r="E225" s="714"/>
      <c r="F225" s="714"/>
      <c r="G225" s="714"/>
    </row>
    <row r="226" spans="5:7">
      <c r="E226" s="714"/>
      <c r="F226" s="714"/>
      <c r="G226" s="714"/>
    </row>
    <row r="227" spans="5:7">
      <c r="E227" s="714"/>
      <c r="F227" s="714"/>
      <c r="G227" s="714"/>
    </row>
    <row r="228" spans="5:7">
      <c r="E228" s="714"/>
      <c r="F228" s="714"/>
      <c r="G228" s="714"/>
    </row>
    <row r="229" spans="5:7">
      <c r="E229" s="714"/>
      <c r="F229" s="714"/>
      <c r="G229" s="714"/>
    </row>
    <row r="230" spans="5:7">
      <c r="E230" s="714"/>
      <c r="F230" s="714"/>
      <c r="G230" s="714"/>
    </row>
    <row r="231" spans="5:7">
      <c r="E231" s="714"/>
      <c r="F231" s="714"/>
      <c r="G231" s="714"/>
    </row>
    <row r="232" spans="5:7">
      <c r="E232" s="714"/>
      <c r="F232" s="714"/>
      <c r="G232" s="714"/>
    </row>
    <row r="233" spans="5:7">
      <c r="E233" s="714"/>
      <c r="F233" s="714"/>
      <c r="G233" s="714"/>
    </row>
    <row r="234" spans="5:7">
      <c r="E234" s="714"/>
      <c r="F234" s="714"/>
      <c r="G234" s="714"/>
    </row>
    <row r="235" spans="5:7">
      <c r="E235" s="714"/>
      <c r="F235" s="714"/>
      <c r="G235" s="714"/>
    </row>
    <row r="236" spans="5:7">
      <c r="E236" s="714"/>
      <c r="F236" s="714"/>
      <c r="G236" s="714"/>
    </row>
    <row r="237" spans="5:7">
      <c r="E237" s="714"/>
      <c r="F237" s="714"/>
      <c r="G237" s="714"/>
    </row>
    <row r="238" spans="5:7">
      <c r="E238" s="714"/>
      <c r="F238" s="714"/>
      <c r="G238" s="714"/>
    </row>
    <row r="239" spans="5:7">
      <c r="E239" s="714"/>
      <c r="F239" s="714"/>
      <c r="G239" s="714"/>
    </row>
    <row r="240" spans="5:7">
      <c r="E240" s="714"/>
      <c r="F240" s="714"/>
      <c r="G240" s="714"/>
    </row>
    <row r="241" spans="5:7">
      <c r="E241" s="714"/>
      <c r="F241" s="714"/>
      <c r="G241" s="714"/>
    </row>
    <row r="242" spans="5:7">
      <c r="E242" s="714"/>
      <c r="F242" s="714"/>
      <c r="G242" s="714"/>
    </row>
    <row r="243" spans="5:7">
      <c r="E243" s="714"/>
      <c r="F243" s="714"/>
      <c r="G243" s="714"/>
    </row>
    <row r="244" spans="5:7">
      <c r="E244" s="714"/>
      <c r="F244" s="714"/>
      <c r="G244" s="714"/>
    </row>
    <row r="245" spans="5:7">
      <c r="E245" s="714"/>
      <c r="F245" s="714"/>
      <c r="G245" s="714"/>
    </row>
    <row r="246" spans="5:7">
      <c r="E246" s="714"/>
      <c r="F246" s="714"/>
      <c r="G246" s="714"/>
    </row>
    <row r="247" spans="5:7">
      <c r="E247" s="714"/>
      <c r="F247" s="714"/>
      <c r="G247" s="714"/>
    </row>
    <row r="248" spans="5:7">
      <c r="E248" s="714"/>
      <c r="F248" s="714"/>
      <c r="G248" s="714"/>
    </row>
    <row r="249" spans="5:7">
      <c r="E249" s="714"/>
      <c r="F249" s="714"/>
      <c r="G249" s="714"/>
    </row>
    <row r="250" spans="5:7">
      <c r="E250" s="714"/>
      <c r="F250" s="714"/>
      <c r="G250" s="714"/>
    </row>
    <row r="251" spans="5:7">
      <c r="E251" s="714"/>
      <c r="F251" s="714"/>
      <c r="G251" s="714"/>
    </row>
    <row r="252" spans="5:7">
      <c r="E252" s="714"/>
      <c r="F252" s="714"/>
      <c r="G252" s="714"/>
    </row>
    <row r="253" spans="5:7">
      <c r="E253" s="714"/>
      <c r="F253" s="714"/>
      <c r="G253" s="714"/>
    </row>
    <row r="254" spans="5:7">
      <c r="E254" s="714"/>
      <c r="F254" s="714"/>
      <c r="G254" s="714"/>
    </row>
    <row r="255" spans="5:7">
      <c r="E255" s="714"/>
      <c r="F255" s="714"/>
      <c r="G255" s="714"/>
    </row>
    <row r="256" spans="5:7">
      <c r="E256" s="714"/>
      <c r="F256" s="714"/>
      <c r="G256" s="714"/>
    </row>
    <row r="257" spans="5:7">
      <c r="E257" s="714"/>
      <c r="F257" s="714"/>
      <c r="G257" s="714"/>
    </row>
    <row r="258" spans="5:7">
      <c r="E258" s="714"/>
      <c r="F258" s="714"/>
      <c r="G258" s="714"/>
    </row>
    <row r="259" spans="5:7">
      <c r="E259" s="714"/>
      <c r="F259" s="714"/>
      <c r="G259" s="714"/>
    </row>
    <row r="260" spans="5:7">
      <c r="E260" s="714"/>
      <c r="F260" s="714"/>
      <c r="G260" s="714"/>
    </row>
    <row r="261" spans="5:7">
      <c r="E261" s="714"/>
      <c r="F261" s="714"/>
      <c r="G261" s="714"/>
    </row>
    <row r="262" spans="5:7">
      <c r="E262" s="714"/>
      <c r="F262" s="714"/>
      <c r="G262" s="714"/>
    </row>
    <row r="263" spans="5:7">
      <c r="E263" s="714"/>
      <c r="F263" s="714"/>
      <c r="G263" s="714"/>
    </row>
    <row r="264" spans="5:7">
      <c r="E264" s="714"/>
      <c r="F264" s="714"/>
      <c r="G264" s="714"/>
    </row>
    <row r="265" spans="5:7">
      <c r="E265" s="714"/>
      <c r="F265" s="714"/>
      <c r="G265" s="714"/>
    </row>
    <row r="266" spans="5:7">
      <c r="E266" s="714"/>
      <c r="F266" s="714"/>
      <c r="G266" s="714"/>
    </row>
    <row r="267" spans="5:7">
      <c r="E267" s="714"/>
      <c r="F267" s="714"/>
      <c r="G267" s="714"/>
    </row>
    <row r="268" spans="5:7">
      <c r="E268" s="714"/>
      <c r="F268" s="714"/>
      <c r="G268" s="714"/>
    </row>
    <row r="269" spans="5:7">
      <c r="E269" s="714"/>
      <c r="F269" s="714"/>
      <c r="G269" s="714"/>
    </row>
    <row r="270" spans="5:7">
      <c r="E270" s="714"/>
      <c r="F270" s="714"/>
      <c r="G270" s="714"/>
    </row>
    <row r="271" spans="5:7">
      <c r="E271" s="714"/>
      <c r="F271" s="714"/>
      <c r="G271" s="714"/>
    </row>
    <row r="272" spans="5:7">
      <c r="E272" s="714"/>
      <c r="F272" s="714"/>
      <c r="G272" s="714"/>
    </row>
    <row r="273" spans="5:7">
      <c r="E273" s="714"/>
      <c r="F273" s="714"/>
      <c r="G273" s="714"/>
    </row>
    <row r="274" spans="5:7">
      <c r="E274" s="714"/>
      <c r="F274" s="714"/>
      <c r="G274" s="714"/>
    </row>
    <row r="275" spans="5:7">
      <c r="E275" s="714"/>
      <c r="F275" s="714"/>
      <c r="G275" s="714"/>
    </row>
    <row r="276" spans="5:7">
      <c r="E276" s="714"/>
      <c r="F276" s="714"/>
      <c r="G276" s="714"/>
    </row>
    <row r="277" spans="5:7">
      <c r="E277" s="714"/>
      <c r="F277" s="714"/>
      <c r="G277" s="714"/>
    </row>
    <row r="278" spans="5:7">
      <c r="E278" s="714"/>
      <c r="F278" s="714"/>
      <c r="G278" s="714"/>
    </row>
    <row r="279" spans="5:7">
      <c r="E279" s="714"/>
      <c r="F279" s="714"/>
      <c r="G279" s="714"/>
    </row>
    <row r="280" spans="5:7">
      <c r="E280" s="714"/>
      <c r="F280" s="714"/>
      <c r="G280" s="714"/>
    </row>
    <row r="281" spans="5:7">
      <c r="E281" s="714"/>
      <c r="F281" s="714"/>
      <c r="G281" s="714"/>
    </row>
    <row r="282" spans="5:7">
      <c r="E282" s="714"/>
      <c r="F282" s="714"/>
      <c r="G282" s="714"/>
    </row>
    <row r="283" spans="5:7">
      <c r="E283" s="714"/>
      <c r="F283" s="714"/>
      <c r="G283" s="714"/>
    </row>
    <row r="284" spans="5:7">
      <c r="E284" s="714"/>
      <c r="F284" s="714"/>
      <c r="G284" s="714"/>
    </row>
    <row r="285" spans="5:7">
      <c r="E285" s="714"/>
      <c r="F285" s="714"/>
      <c r="G285" s="714"/>
    </row>
    <row r="286" spans="5:7">
      <c r="E286" s="714"/>
      <c r="F286" s="714"/>
      <c r="G286" s="714"/>
    </row>
    <row r="287" spans="5:7">
      <c r="E287" s="714"/>
      <c r="F287" s="714"/>
      <c r="G287" s="714"/>
    </row>
    <row r="288" spans="5:7">
      <c r="E288" s="714"/>
      <c r="F288" s="714"/>
      <c r="G288" s="714"/>
    </row>
    <row r="289" spans="5:7">
      <c r="E289" s="714"/>
      <c r="F289" s="714"/>
      <c r="G289" s="714"/>
    </row>
    <row r="290" spans="5:7">
      <c r="E290" s="714"/>
      <c r="F290" s="714"/>
      <c r="G290" s="714"/>
    </row>
    <row r="291" spans="5:7">
      <c r="E291" s="714"/>
      <c r="F291" s="714"/>
      <c r="G291" s="714"/>
    </row>
    <row r="292" spans="5:7">
      <c r="E292" s="714"/>
      <c r="F292" s="714"/>
      <c r="G292" s="714"/>
    </row>
    <row r="293" spans="5:7">
      <c r="E293" s="714"/>
      <c r="F293" s="714"/>
      <c r="G293" s="714"/>
    </row>
    <row r="294" spans="5:7">
      <c r="E294" s="714"/>
      <c r="F294" s="714"/>
      <c r="G294" s="714"/>
    </row>
    <row r="295" spans="5:7">
      <c r="E295" s="714"/>
      <c r="F295" s="714"/>
      <c r="G295" s="714"/>
    </row>
    <row r="296" spans="5:7">
      <c r="E296" s="714"/>
      <c r="F296" s="714"/>
      <c r="G296" s="714"/>
    </row>
    <row r="297" spans="5:7">
      <c r="E297" s="714"/>
      <c r="F297" s="714"/>
      <c r="G297" s="714"/>
    </row>
    <row r="298" spans="5:7">
      <c r="E298" s="714"/>
      <c r="F298" s="714"/>
      <c r="G298" s="714"/>
    </row>
    <row r="299" spans="5:7">
      <c r="E299" s="714"/>
      <c r="F299" s="714"/>
      <c r="G299" s="714"/>
    </row>
    <row r="300" spans="5:7">
      <c r="E300" s="714"/>
      <c r="F300" s="714"/>
      <c r="G300" s="714"/>
    </row>
    <row r="301" spans="5:7">
      <c r="E301" s="714"/>
      <c r="F301" s="714"/>
      <c r="G301" s="714"/>
    </row>
    <row r="302" spans="5:7">
      <c r="E302" s="714"/>
      <c r="F302" s="714"/>
      <c r="G302" s="714"/>
    </row>
    <row r="303" spans="5:7">
      <c r="E303" s="714"/>
      <c r="F303" s="714"/>
      <c r="G303" s="714"/>
    </row>
    <row r="304" spans="5:7">
      <c r="E304" s="714"/>
      <c r="F304" s="714"/>
      <c r="G304" s="714"/>
    </row>
    <row r="305" spans="5:7">
      <c r="E305" s="714"/>
      <c r="F305" s="714"/>
      <c r="G305" s="714"/>
    </row>
    <row r="306" spans="5:7">
      <c r="E306" s="714"/>
      <c r="F306" s="714"/>
      <c r="G306" s="714"/>
    </row>
    <row r="307" spans="5:7">
      <c r="E307" s="714"/>
      <c r="F307" s="714"/>
      <c r="G307" s="714"/>
    </row>
    <row r="308" spans="5:7">
      <c r="E308" s="714"/>
      <c r="F308" s="714"/>
      <c r="G308" s="714"/>
    </row>
    <row r="309" spans="5:7">
      <c r="E309" s="714"/>
      <c r="F309" s="714"/>
      <c r="G309" s="714"/>
    </row>
    <row r="310" spans="5:7">
      <c r="E310" s="714"/>
      <c r="F310" s="714"/>
      <c r="G310" s="714"/>
    </row>
    <row r="311" spans="5:7">
      <c r="E311" s="714"/>
      <c r="F311" s="714"/>
      <c r="G311" s="714"/>
    </row>
    <row r="312" spans="5:7">
      <c r="E312" s="714"/>
      <c r="F312" s="714"/>
      <c r="G312" s="714"/>
    </row>
    <row r="313" spans="5:7">
      <c r="E313" s="714"/>
      <c r="F313" s="714"/>
      <c r="G313" s="714"/>
    </row>
    <row r="314" spans="5:7">
      <c r="E314" s="714"/>
      <c r="F314" s="714"/>
      <c r="G314" s="714"/>
    </row>
    <row r="315" spans="5:7">
      <c r="E315" s="714"/>
      <c r="F315" s="714"/>
      <c r="G315" s="714"/>
    </row>
    <row r="316" spans="5:7">
      <c r="E316" s="714"/>
      <c r="F316" s="714"/>
      <c r="G316" s="714"/>
    </row>
    <row r="317" spans="5:7">
      <c r="E317" s="714"/>
      <c r="F317" s="714"/>
      <c r="G317" s="714"/>
    </row>
    <row r="318" spans="5:7">
      <c r="E318" s="714"/>
      <c r="F318" s="714"/>
      <c r="G318" s="714"/>
    </row>
    <row r="319" spans="5:7">
      <c r="E319" s="714"/>
      <c r="F319" s="714"/>
      <c r="G319" s="714"/>
    </row>
    <row r="320" spans="5:7">
      <c r="E320" s="714"/>
      <c r="F320" s="714"/>
      <c r="G320" s="714"/>
    </row>
    <row r="321" spans="5:7">
      <c r="E321" s="714"/>
      <c r="F321" s="714"/>
      <c r="G321" s="714"/>
    </row>
    <row r="322" spans="5:7">
      <c r="E322" s="714"/>
      <c r="F322" s="714"/>
      <c r="G322" s="714"/>
    </row>
    <row r="323" spans="5:7">
      <c r="E323" s="714"/>
      <c r="F323" s="714"/>
      <c r="G323" s="714"/>
    </row>
    <row r="324" spans="5:7">
      <c r="E324" s="714"/>
      <c r="F324" s="714"/>
      <c r="G324" s="714"/>
    </row>
    <row r="325" spans="5:7">
      <c r="E325" s="714"/>
      <c r="F325" s="714"/>
      <c r="G325" s="714"/>
    </row>
    <row r="326" spans="5:7">
      <c r="E326" s="714"/>
      <c r="F326" s="714"/>
      <c r="G326" s="714"/>
    </row>
    <row r="327" spans="5:7">
      <c r="E327" s="714"/>
      <c r="F327" s="714"/>
      <c r="G327" s="714"/>
    </row>
    <row r="328" spans="5:7">
      <c r="E328" s="714"/>
      <c r="F328" s="714"/>
      <c r="G328" s="714"/>
    </row>
    <row r="329" spans="5:7">
      <c r="E329" s="714"/>
      <c r="F329" s="714"/>
      <c r="G329" s="714"/>
    </row>
    <row r="330" spans="5:7">
      <c r="E330" s="714"/>
      <c r="F330" s="714"/>
      <c r="G330" s="714"/>
    </row>
    <row r="331" spans="5:7">
      <c r="E331" s="714"/>
      <c r="F331" s="714"/>
      <c r="G331" s="714"/>
    </row>
    <row r="332" spans="5:7">
      <c r="E332" s="714"/>
      <c r="F332" s="714"/>
      <c r="G332" s="714"/>
    </row>
    <row r="333" spans="5:7">
      <c r="E333" s="714"/>
      <c r="F333" s="714"/>
      <c r="G333" s="714"/>
    </row>
    <row r="334" spans="5:7">
      <c r="E334" s="714"/>
      <c r="F334" s="714"/>
      <c r="G334" s="714"/>
    </row>
    <row r="335" spans="5:7">
      <c r="E335" s="714"/>
      <c r="F335" s="714"/>
      <c r="G335" s="714"/>
    </row>
    <row r="336" spans="5:7">
      <c r="E336" s="714"/>
      <c r="F336" s="714"/>
      <c r="G336" s="714"/>
    </row>
    <row r="337" spans="5:7">
      <c r="E337" s="714"/>
      <c r="F337" s="714"/>
      <c r="G337" s="714"/>
    </row>
    <row r="338" spans="5:7">
      <c r="E338" s="714"/>
      <c r="F338" s="714"/>
      <c r="G338" s="714"/>
    </row>
    <row r="339" spans="5:7">
      <c r="E339" s="714"/>
      <c r="F339" s="714"/>
      <c r="G339" s="714"/>
    </row>
    <row r="340" spans="5:7">
      <c r="E340" s="714"/>
      <c r="F340" s="714"/>
      <c r="G340" s="714"/>
    </row>
    <row r="341" spans="5:7">
      <c r="E341" s="714"/>
      <c r="F341" s="714"/>
      <c r="G341" s="714"/>
    </row>
    <row r="342" spans="5:7">
      <c r="E342" s="714"/>
      <c r="F342" s="714"/>
      <c r="G342" s="714"/>
    </row>
    <row r="343" spans="5:7">
      <c r="E343" s="714"/>
      <c r="F343" s="714"/>
      <c r="G343" s="714"/>
    </row>
    <row r="344" spans="5:7">
      <c r="E344" s="714"/>
      <c r="F344" s="714"/>
      <c r="G344" s="714"/>
    </row>
    <row r="345" spans="5:7">
      <c r="E345" s="714"/>
      <c r="F345" s="714"/>
      <c r="G345" s="714"/>
    </row>
    <row r="346" spans="5:7">
      <c r="E346" s="714"/>
      <c r="F346" s="714"/>
      <c r="G346" s="714"/>
    </row>
    <row r="347" spans="5:7">
      <c r="E347" s="714"/>
      <c r="F347" s="714"/>
      <c r="G347" s="714"/>
    </row>
    <row r="348" spans="5:7">
      <c r="E348" s="714"/>
      <c r="F348" s="714"/>
      <c r="G348" s="714"/>
    </row>
    <row r="349" spans="5:7">
      <c r="E349" s="714"/>
      <c r="F349" s="714"/>
      <c r="G349" s="714"/>
    </row>
    <row r="350" spans="5:7">
      <c r="E350" s="714"/>
      <c r="F350" s="714"/>
      <c r="G350" s="714"/>
    </row>
    <row r="351" spans="5:7">
      <c r="E351" s="714"/>
      <c r="F351" s="714"/>
      <c r="G351" s="714"/>
    </row>
    <row r="352" spans="5:7">
      <c r="E352" s="714"/>
      <c r="F352" s="714"/>
      <c r="G352" s="714"/>
    </row>
    <row r="353" spans="5:7">
      <c r="E353" s="714"/>
      <c r="F353" s="714"/>
      <c r="G353" s="714"/>
    </row>
    <row r="354" spans="5:7">
      <c r="E354" s="714"/>
      <c r="F354" s="714"/>
      <c r="G354" s="714"/>
    </row>
    <row r="355" spans="5:7">
      <c r="E355" s="714"/>
      <c r="F355" s="714"/>
      <c r="G355" s="714"/>
    </row>
    <row r="356" spans="5:7">
      <c r="E356" s="714"/>
      <c r="F356" s="714"/>
      <c r="G356" s="714"/>
    </row>
    <row r="357" spans="5:7">
      <c r="E357" s="714"/>
      <c r="F357" s="714"/>
      <c r="G357" s="714"/>
    </row>
    <row r="358" spans="5:7">
      <c r="E358" s="714"/>
      <c r="F358" s="714"/>
      <c r="G358" s="714"/>
    </row>
    <row r="359" spans="5:7">
      <c r="E359" s="714"/>
      <c r="F359" s="714"/>
      <c r="G359" s="714"/>
    </row>
    <row r="360" spans="5:7">
      <c r="E360" s="714"/>
      <c r="F360" s="714"/>
      <c r="G360" s="714"/>
    </row>
    <row r="361" spans="5:7">
      <c r="E361" s="714"/>
      <c r="F361" s="714"/>
      <c r="G361" s="714"/>
    </row>
    <row r="362" spans="5:7">
      <c r="E362" s="714"/>
      <c r="F362" s="714"/>
      <c r="G362" s="714"/>
    </row>
    <row r="363" spans="5:7">
      <c r="E363" s="714"/>
      <c r="F363" s="714"/>
      <c r="G363" s="714"/>
    </row>
    <row r="364" spans="5:7">
      <c r="E364" s="714"/>
      <c r="F364" s="714"/>
      <c r="G364" s="714"/>
    </row>
    <row r="365" spans="5:7">
      <c r="E365" s="714"/>
      <c r="F365" s="714"/>
      <c r="G365" s="714"/>
    </row>
    <row r="366" spans="5:7">
      <c r="E366" s="714"/>
      <c r="F366" s="714"/>
      <c r="G366" s="714"/>
    </row>
    <row r="367" spans="5:7">
      <c r="E367" s="714"/>
      <c r="F367" s="714"/>
      <c r="G367" s="714"/>
    </row>
    <row r="368" spans="5:7">
      <c r="E368" s="714"/>
      <c r="F368" s="714"/>
      <c r="G368" s="714"/>
    </row>
    <row r="369" spans="5:7">
      <c r="E369" s="714"/>
      <c r="F369" s="714"/>
      <c r="G369" s="714"/>
    </row>
    <row r="370" spans="5:7">
      <c r="E370" s="714"/>
      <c r="F370" s="714"/>
      <c r="G370" s="714"/>
    </row>
    <row r="371" spans="5:7">
      <c r="E371" s="714"/>
      <c r="F371" s="714"/>
      <c r="G371" s="714"/>
    </row>
    <row r="372" spans="5:7">
      <c r="E372" s="714"/>
      <c r="F372" s="714"/>
      <c r="G372" s="714"/>
    </row>
    <row r="373" spans="5:7">
      <c r="E373" s="714"/>
      <c r="F373" s="714"/>
      <c r="G373" s="714"/>
    </row>
    <row r="374" spans="5:7">
      <c r="E374" s="714"/>
      <c r="F374" s="714"/>
      <c r="G374" s="714"/>
    </row>
    <row r="375" spans="5:7">
      <c r="E375" s="714"/>
      <c r="F375" s="714"/>
      <c r="G375" s="714"/>
    </row>
    <row r="376" spans="5:7">
      <c r="E376" s="714"/>
      <c r="F376" s="714"/>
      <c r="G376" s="714"/>
    </row>
    <row r="377" spans="5:7">
      <c r="E377" s="714"/>
      <c r="F377" s="714"/>
      <c r="G377" s="714"/>
    </row>
    <row r="378" spans="5:7">
      <c r="E378" s="714"/>
      <c r="F378" s="714"/>
      <c r="G378" s="714"/>
    </row>
    <row r="379" spans="5:7">
      <c r="E379" s="714"/>
      <c r="F379" s="714"/>
      <c r="G379" s="714"/>
    </row>
    <row r="380" spans="5:7">
      <c r="E380" s="714"/>
      <c r="F380" s="714"/>
      <c r="G380" s="714"/>
    </row>
    <row r="381" spans="5:7">
      <c r="E381" s="714"/>
      <c r="F381" s="714"/>
      <c r="G381" s="714"/>
    </row>
    <row r="382" spans="5:7">
      <c r="E382" s="714"/>
      <c r="F382" s="714"/>
      <c r="G382" s="714"/>
    </row>
    <row r="383" spans="5:7">
      <c r="E383" s="714"/>
      <c r="F383" s="714"/>
      <c r="G383" s="714"/>
    </row>
    <row r="384" spans="5:7">
      <c r="E384" s="714"/>
      <c r="F384" s="714"/>
      <c r="G384" s="714"/>
    </row>
    <row r="385" spans="5:7">
      <c r="E385" s="714"/>
      <c r="F385" s="714"/>
      <c r="G385" s="714"/>
    </row>
    <row r="386" spans="5:7">
      <c r="E386" s="714"/>
      <c r="F386" s="714"/>
      <c r="G386" s="714"/>
    </row>
    <row r="387" spans="5:7">
      <c r="E387" s="714"/>
      <c r="F387" s="714"/>
      <c r="G387" s="714"/>
    </row>
    <row r="388" spans="5:7">
      <c r="E388" s="714"/>
      <c r="F388" s="714"/>
      <c r="G388" s="714"/>
    </row>
    <row r="389" spans="5:7">
      <c r="E389" s="714"/>
      <c r="F389" s="714"/>
      <c r="G389" s="714"/>
    </row>
    <row r="390" spans="5:7">
      <c r="E390" s="714"/>
      <c r="F390" s="714"/>
      <c r="G390" s="714"/>
    </row>
    <row r="391" spans="5:7">
      <c r="E391" s="714"/>
      <c r="F391" s="714"/>
      <c r="G391" s="714"/>
    </row>
    <row r="392" spans="5:7">
      <c r="E392" s="714"/>
      <c r="F392" s="714"/>
      <c r="G392" s="714"/>
    </row>
    <row r="393" spans="5:7">
      <c r="E393" s="714"/>
      <c r="F393" s="714"/>
      <c r="G393" s="714"/>
    </row>
    <row r="394" spans="5:7">
      <c r="E394" s="714"/>
      <c r="F394" s="714"/>
      <c r="G394" s="714"/>
    </row>
    <row r="395" spans="5:7">
      <c r="E395" s="714"/>
      <c r="F395" s="714"/>
      <c r="G395" s="714"/>
    </row>
    <row r="396" spans="5:7">
      <c r="E396" s="714"/>
      <c r="F396" s="714"/>
      <c r="G396" s="714"/>
    </row>
    <row r="397" spans="5:7">
      <c r="E397" s="714"/>
      <c r="F397" s="714"/>
      <c r="G397" s="714"/>
    </row>
    <row r="398" spans="5:7">
      <c r="E398" s="714"/>
      <c r="F398" s="714"/>
      <c r="G398" s="714"/>
    </row>
    <row r="399" spans="5:7">
      <c r="E399" s="714"/>
      <c r="F399" s="714"/>
      <c r="G399" s="714"/>
    </row>
    <row r="400" spans="5:7">
      <c r="E400" s="714"/>
      <c r="F400" s="714"/>
      <c r="G400" s="714"/>
    </row>
    <row r="401" spans="5:7">
      <c r="E401" s="714"/>
      <c r="F401" s="714"/>
      <c r="G401" s="714"/>
    </row>
    <row r="402" spans="5:7">
      <c r="E402" s="714"/>
      <c r="F402" s="714"/>
      <c r="G402" s="714"/>
    </row>
    <row r="403" spans="5:7">
      <c r="E403" s="714"/>
      <c r="F403" s="714"/>
      <c r="G403" s="714"/>
    </row>
    <row r="404" spans="5:7">
      <c r="E404" s="714"/>
      <c r="F404" s="714"/>
      <c r="G404" s="714"/>
    </row>
    <row r="405" spans="5:7">
      <c r="E405" s="714"/>
      <c r="F405" s="714"/>
      <c r="G405" s="714"/>
    </row>
    <row r="406" spans="5:7">
      <c r="E406" s="714"/>
      <c r="F406" s="714"/>
      <c r="G406" s="714"/>
    </row>
    <row r="407" spans="5:7">
      <c r="E407" s="714"/>
      <c r="F407" s="714"/>
      <c r="G407" s="714"/>
    </row>
    <row r="408" spans="5:7">
      <c r="E408" s="714"/>
      <c r="F408" s="714"/>
      <c r="G408" s="714"/>
    </row>
    <row r="409" spans="5:7">
      <c r="E409" s="714"/>
      <c r="F409" s="714"/>
      <c r="G409" s="714"/>
    </row>
    <row r="410" spans="5:7">
      <c r="E410" s="714"/>
      <c r="F410" s="714"/>
      <c r="G410" s="714"/>
    </row>
    <row r="411" spans="5:7">
      <c r="E411" s="714"/>
      <c r="F411" s="714"/>
      <c r="G411" s="714"/>
    </row>
    <row r="412" spans="5:7">
      <c r="E412" s="714"/>
      <c r="F412" s="714"/>
      <c r="G412" s="714"/>
    </row>
    <row r="413" spans="5:7">
      <c r="E413" s="714"/>
      <c r="F413" s="714"/>
      <c r="G413" s="714"/>
    </row>
    <row r="414" spans="5:7">
      <c r="E414" s="714"/>
      <c r="F414" s="714"/>
      <c r="G414" s="714"/>
    </row>
    <row r="415" spans="5:7">
      <c r="E415" s="714"/>
      <c r="F415" s="714"/>
      <c r="G415" s="714"/>
    </row>
    <row r="416" spans="5:7">
      <c r="E416" s="714"/>
      <c r="F416" s="714"/>
      <c r="G416" s="714"/>
    </row>
    <row r="417" spans="5:7">
      <c r="E417" s="714"/>
      <c r="F417" s="714"/>
      <c r="G417" s="714"/>
    </row>
    <row r="418" spans="5:7">
      <c r="E418" s="714"/>
      <c r="F418" s="714"/>
      <c r="G418" s="714"/>
    </row>
    <row r="419" spans="5:7">
      <c r="E419" s="714"/>
      <c r="F419" s="714"/>
      <c r="G419" s="714"/>
    </row>
    <row r="420" spans="5:7">
      <c r="E420" s="714"/>
      <c r="F420" s="714"/>
      <c r="G420" s="714"/>
    </row>
    <row r="421" spans="5:7">
      <c r="E421" s="714"/>
      <c r="F421" s="714"/>
      <c r="G421" s="714"/>
    </row>
    <row r="422" spans="5:7">
      <c r="E422" s="714"/>
      <c r="F422" s="714"/>
      <c r="G422" s="714"/>
    </row>
    <row r="423" spans="5:7">
      <c r="E423" s="714"/>
      <c r="F423" s="714"/>
      <c r="G423" s="714"/>
    </row>
    <row r="424" spans="5:7">
      <c r="E424" s="714"/>
      <c r="F424" s="714"/>
      <c r="G424" s="714"/>
    </row>
    <row r="425" spans="5:7">
      <c r="E425" s="714"/>
      <c r="F425" s="714"/>
      <c r="G425" s="714"/>
    </row>
    <row r="426" spans="5:7">
      <c r="E426" s="714"/>
      <c r="F426" s="714"/>
      <c r="G426" s="714"/>
    </row>
    <row r="427" spans="5:7">
      <c r="E427" s="714"/>
      <c r="F427" s="714"/>
      <c r="G427" s="714"/>
    </row>
    <row r="428" spans="5:7">
      <c r="E428" s="714"/>
      <c r="F428" s="714"/>
      <c r="G428" s="714"/>
    </row>
    <row r="429" spans="5:7">
      <c r="E429" s="714"/>
      <c r="F429" s="714"/>
      <c r="G429" s="714"/>
    </row>
    <row r="430" spans="5:7">
      <c r="E430" s="714"/>
      <c r="F430" s="714"/>
      <c r="G430" s="714"/>
    </row>
    <row r="431" spans="5:7">
      <c r="E431" s="714"/>
      <c r="F431" s="714"/>
      <c r="G431" s="714"/>
    </row>
    <row r="432" spans="5:7">
      <c r="E432" s="714"/>
      <c r="F432" s="714"/>
      <c r="G432" s="714"/>
    </row>
    <row r="433" spans="5:7">
      <c r="E433" s="714"/>
      <c r="F433" s="714"/>
      <c r="G433" s="714"/>
    </row>
    <row r="434" spans="5:7">
      <c r="E434" s="714"/>
      <c r="F434" s="714"/>
      <c r="G434" s="714"/>
    </row>
    <row r="435" spans="5:7">
      <c r="E435" s="714"/>
      <c r="F435" s="714"/>
      <c r="G435" s="714"/>
    </row>
    <row r="436" spans="5:7">
      <c r="E436" s="714"/>
      <c r="F436" s="714"/>
      <c r="G436" s="714"/>
    </row>
    <row r="437" spans="5:7">
      <c r="E437" s="714"/>
      <c r="F437" s="714"/>
      <c r="G437" s="714"/>
    </row>
    <row r="438" spans="5:7">
      <c r="E438" s="714"/>
      <c r="F438" s="714"/>
      <c r="G438" s="714"/>
    </row>
    <row r="439" spans="5:7">
      <c r="E439" s="714"/>
      <c r="F439" s="714"/>
      <c r="G439" s="714"/>
    </row>
    <row r="440" spans="5:7">
      <c r="E440" s="714"/>
      <c r="F440" s="714"/>
      <c r="G440" s="714"/>
    </row>
    <row r="441" spans="5:7">
      <c r="E441" s="714"/>
      <c r="F441" s="714"/>
      <c r="G441" s="714"/>
    </row>
    <row r="442" spans="5:7">
      <c r="E442" s="714"/>
      <c r="F442" s="714"/>
      <c r="G442" s="714"/>
    </row>
    <row r="443" spans="5:7">
      <c r="E443" s="714"/>
      <c r="F443" s="714"/>
      <c r="G443" s="714"/>
    </row>
    <row r="444" spans="5:7">
      <c r="E444" s="714"/>
      <c r="F444" s="714"/>
      <c r="G444" s="714"/>
    </row>
    <row r="445" spans="5:7">
      <c r="E445" s="714"/>
      <c r="F445" s="714"/>
      <c r="G445" s="714"/>
    </row>
    <row r="446" spans="5:7">
      <c r="E446" s="714"/>
      <c r="F446" s="714"/>
      <c r="G446" s="714"/>
    </row>
    <row r="447" spans="5:7">
      <c r="E447" s="714"/>
      <c r="F447" s="714"/>
      <c r="G447" s="714"/>
    </row>
    <row r="448" spans="5:7">
      <c r="E448" s="714"/>
      <c r="F448" s="714"/>
      <c r="G448" s="714"/>
    </row>
    <row r="449" spans="5:7">
      <c r="E449" s="714"/>
      <c r="F449" s="714"/>
      <c r="G449" s="714"/>
    </row>
    <row r="450" spans="5:7">
      <c r="E450" s="714"/>
      <c r="F450" s="714"/>
      <c r="G450" s="714"/>
    </row>
  </sheetData>
  <customSheetViews>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1"/>
      <headerFooter alignWithMargins="0"/>
    </customSheetView>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5" firstPageNumber="28" orientation="landscape" useFirstPageNumber="1" horizontalDpi="4294967292" verticalDpi="4294967292" r:id="rId3"/>
  <headerFooter alignWithMargins="0"/>
  <rowBreaks count="1" manualBreakCount="1">
    <brk id="1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N36"/>
  <sheetViews>
    <sheetView view="pageBreakPreview" zoomScale="70" zoomScaleNormal="80" zoomScaleSheetLayoutView="70" workbookViewId="0">
      <selection activeCell="D92" sqref="D92"/>
    </sheetView>
  </sheetViews>
  <sheetFormatPr defaultColWidth="8.84375" defaultRowHeight="15.5"/>
  <cols>
    <col min="1" max="1" width="8.84375" style="219"/>
    <col min="2" max="2" width="51.84375" style="219" customWidth="1"/>
    <col min="3" max="3" width="15.69140625" style="219" customWidth="1"/>
    <col min="4" max="4" width="14.84375" style="219" bestFit="1" customWidth="1"/>
    <col min="5" max="5" width="1.69140625" style="219" customWidth="1"/>
    <col min="6" max="6" width="46.3046875" style="219" customWidth="1"/>
    <col min="7" max="7" width="1.4609375" style="219" customWidth="1"/>
    <col min="8" max="8" width="8.84375" style="219"/>
    <col min="9" max="9" width="35.3046875" style="219" customWidth="1"/>
    <col min="10" max="10" width="16.07421875" style="219" customWidth="1"/>
    <col min="11" max="11" width="9.07421875" style="219" bestFit="1" customWidth="1"/>
    <col min="12" max="12" width="10.07421875" style="219" bestFit="1" customWidth="1"/>
    <col min="13" max="13" width="10.84375" style="219" customWidth="1"/>
    <col min="14" max="257" width="8.84375" style="219"/>
    <col min="258" max="258" width="35.07421875" style="219" customWidth="1"/>
    <col min="259" max="259" width="15.69140625" style="219" customWidth="1"/>
    <col min="260" max="260" width="14.84375" style="219" bestFit="1" customWidth="1"/>
    <col min="261" max="261" width="1.69140625" style="219" customWidth="1"/>
    <col min="262" max="262" width="15.84375" style="219" customWidth="1"/>
    <col min="263" max="263" width="1.4609375" style="219" customWidth="1"/>
    <col min="264" max="264" width="8.84375" style="219"/>
    <col min="265" max="265" width="35.3046875" style="219" customWidth="1"/>
    <col min="266" max="266" width="16.07421875" style="219" customWidth="1"/>
    <col min="267" max="267" width="9.07421875" style="219" bestFit="1" customWidth="1"/>
    <col min="268" max="268" width="10.07421875" style="219" bestFit="1" customWidth="1"/>
    <col min="269" max="269" width="10.84375" style="219" customWidth="1"/>
    <col min="270" max="513" width="8.84375" style="219"/>
    <col min="514" max="514" width="35.07421875" style="219" customWidth="1"/>
    <col min="515" max="515" width="15.69140625" style="219" customWidth="1"/>
    <col min="516" max="516" width="14.84375" style="219" bestFit="1" customWidth="1"/>
    <col min="517" max="517" width="1.69140625" style="219" customWidth="1"/>
    <col min="518" max="518" width="15.84375" style="219" customWidth="1"/>
    <col min="519" max="519" width="1.4609375" style="219" customWidth="1"/>
    <col min="520" max="520" width="8.84375" style="219"/>
    <col min="521" max="521" width="35.3046875" style="219" customWidth="1"/>
    <col min="522" max="522" width="16.07421875" style="219" customWidth="1"/>
    <col min="523" max="523" width="9.07421875" style="219" bestFit="1" customWidth="1"/>
    <col min="524" max="524" width="10.07421875" style="219" bestFit="1" customWidth="1"/>
    <col min="525" max="525" width="10.84375" style="219" customWidth="1"/>
    <col min="526" max="769" width="8.84375" style="219"/>
    <col min="770" max="770" width="35.07421875" style="219" customWidth="1"/>
    <col min="771" max="771" width="15.69140625" style="219" customWidth="1"/>
    <col min="772" max="772" width="14.84375" style="219" bestFit="1" customWidth="1"/>
    <col min="773" max="773" width="1.69140625" style="219" customWidth="1"/>
    <col min="774" max="774" width="15.84375" style="219" customWidth="1"/>
    <col min="775" max="775" width="1.4609375" style="219" customWidth="1"/>
    <col min="776" max="776" width="8.84375" style="219"/>
    <col min="777" max="777" width="35.3046875" style="219" customWidth="1"/>
    <col min="778" max="778" width="16.07421875" style="219" customWidth="1"/>
    <col min="779" max="779" width="9.07421875" style="219" bestFit="1" customWidth="1"/>
    <col min="780" max="780" width="10.07421875" style="219" bestFit="1" customWidth="1"/>
    <col min="781" max="781" width="10.84375" style="219" customWidth="1"/>
    <col min="782" max="1025" width="8.84375" style="219"/>
    <col min="1026" max="1026" width="35.07421875" style="219" customWidth="1"/>
    <col min="1027" max="1027" width="15.69140625" style="219" customWidth="1"/>
    <col min="1028" max="1028" width="14.84375" style="219" bestFit="1" customWidth="1"/>
    <col min="1029" max="1029" width="1.69140625" style="219" customWidth="1"/>
    <col min="1030" max="1030" width="15.84375" style="219" customWidth="1"/>
    <col min="1031" max="1031" width="1.4609375" style="219" customWidth="1"/>
    <col min="1032" max="1032" width="8.84375" style="219"/>
    <col min="1033" max="1033" width="35.3046875" style="219" customWidth="1"/>
    <col min="1034" max="1034" width="16.07421875" style="219" customWidth="1"/>
    <col min="1035" max="1035" width="9.07421875" style="219" bestFit="1" customWidth="1"/>
    <col min="1036" max="1036" width="10.07421875" style="219" bestFit="1" customWidth="1"/>
    <col min="1037" max="1037" width="10.84375" style="219" customWidth="1"/>
    <col min="1038" max="1281" width="8.84375" style="219"/>
    <col min="1282" max="1282" width="35.07421875" style="219" customWidth="1"/>
    <col min="1283" max="1283" width="15.69140625" style="219" customWidth="1"/>
    <col min="1284" max="1284" width="14.84375" style="219" bestFit="1" customWidth="1"/>
    <col min="1285" max="1285" width="1.69140625" style="219" customWidth="1"/>
    <col min="1286" max="1286" width="15.84375" style="219" customWidth="1"/>
    <col min="1287" max="1287" width="1.4609375" style="219" customWidth="1"/>
    <col min="1288" max="1288" width="8.84375" style="219"/>
    <col min="1289" max="1289" width="35.3046875" style="219" customWidth="1"/>
    <col min="1290" max="1290" width="16.07421875" style="219" customWidth="1"/>
    <col min="1291" max="1291" width="9.07421875" style="219" bestFit="1" customWidth="1"/>
    <col min="1292" max="1292" width="10.07421875" style="219" bestFit="1" customWidth="1"/>
    <col min="1293" max="1293" width="10.84375" style="219" customWidth="1"/>
    <col min="1294" max="1537" width="8.84375" style="219"/>
    <col min="1538" max="1538" width="35.07421875" style="219" customWidth="1"/>
    <col min="1539" max="1539" width="15.69140625" style="219" customWidth="1"/>
    <col min="1540" max="1540" width="14.84375" style="219" bestFit="1" customWidth="1"/>
    <col min="1541" max="1541" width="1.69140625" style="219" customWidth="1"/>
    <col min="1542" max="1542" width="15.84375" style="219" customWidth="1"/>
    <col min="1543" max="1543" width="1.4609375" style="219" customWidth="1"/>
    <col min="1544" max="1544" width="8.84375" style="219"/>
    <col min="1545" max="1545" width="35.3046875" style="219" customWidth="1"/>
    <col min="1546" max="1546" width="16.07421875" style="219" customWidth="1"/>
    <col min="1547" max="1547" width="9.07421875" style="219" bestFit="1" customWidth="1"/>
    <col min="1548" max="1548" width="10.07421875" style="219" bestFit="1" customWidth="1"/>
    <col min="1549" max="1549" width="10.84375" style="219" customWidth="1"/>
    <col min="1550" max="1793" width="8.84375" style="219"/>
    <col min="1794" max="1794" width="35.07421875" style="219" customWidth="1"/>
    <col min="1795" max="1795" width="15.69140625" style="219" customWidth="1"/>
    <col min="1796" max="1796" width="14.84375" style="219" bestFit="1" customWidth="1"/>
    <col min="1797" max="1797" width="1.69140625" style="219" customWidth="1"/>
    <col min="1798" max="1798" width="15.84375" style="219" customWidth="1"/>
    <col min="1799" max="1799" width="1.4609375" style="219" customWidth="1"/>
    <col min="1800" max="1800" width="8.84375" style="219"/>
    <col min="1801" max="1801" width="35.3046875" style="219" customWidth="1"/>
    <col min="1802" max="1802" width="16.07421875" style="219" customWidth="1"/>
    <col min="1803" max="1803" width="9.07421875" style="219" bestFit="1" customWidth="1"/>
    <col min="1804" max="1804" width="10.07421875" style="219" bestFit="1" customWidth="1"/>
    <col min="1805" max="1805" width="10.84375" style="219" customWidth="1"/>
    <col min="1806" max="2049" width="8.84375" style="219"/>
    <col min="2050" max="2050" width="35.07421875" style="219" customWidth="1"/>
    <col min="2051" max="2051" width="15.69140625" style="219" customWidth="1"/>
    <col min="2052" max="2052" width="14.84375" style="219" bestFit="1" customWidth="1"/>
    <col min="2053" max="2053" width="1.69140625" style="219" customWidth="1"/>
    <col min="2054" max="2054" width="15.84375" style="219" customWidth="1"/>
    <col min="2055" max="2055" width="1.4609375" style="219" customWidth="1"/>
    <col min="2056" max="2056" width="8.84375" style="219"/>
    <col min="2057" max="2057" width="35.3046875" style="219" customWidth="1"/>
    <col min="2058" max="2058" width="16.07421875" style="219" customWidth="1"/>
    <col min="2059" max="2059" width="9.07421875" style="219" bestFit="1" customWidth="1"/>
    <col min="2060" max="2060" width="10.07421875" style="219" bestFit="1" customWidth="1"/>
    <col min="2061" max="2061" width="10.84375" style="219" customWidth="1"/>
    <col min="2062" max="2305" width="8.84375" style="219"/>
    <col min="2306" max="2306" width="35.07421875" style="219" customWidth="1"/>
    <col min="2307" max="2307" width="15.69140625" style="219" customWidth="1"/>
    <col min="2308" max="2308" width="14.84375" style="219" bestFit="1" customWidth="1"/>
    <col min="2309" max="2309" width="1.69140625" style="219" customWidth="1"/>
    <col min="2310" max="2310" width="15.84375" style="219" customWidth="1"/>
    <col min="2311" max="2311" width="1.4609375" style="219" customWidth="1"/>
    <col min="2312" max="2312" width="8.84375" style="219"/>
    <col min="2313" max="2313" width="35.3046875" style="219" customWidth="1"/>
    <col min="2314" max="2314" width="16.07421875" style="219" customWidth="1"/>
    <col min="2315" max="2315" width="9.07421875" style="219" bestFit="1" customWidth="1"/>
    <col min="2316" max="2316" width="10.07421875" style="219" bestFit="1" customWidth="1"/>
    <col min="2317" max="2317" width="10.84375" style="219" customWidth="1"/>
    <col min="2318" max="2561" width="8.84375" style="219"/>
    <col min="2562" max="2562" width="35.07421875" style="219" customWidth="1"/>
    <col min="2563" max="2563" width="15.69140625" style="219" customWidth="1"/>
    <col min="2564" max="2564" width="14.84375" style="219" bestFit="1" customWidth="1"/>
    <col min="2565" max="2565" width="1.69140625" style="219" customWidth="1"/>
    <col min="2566" max="2566" width="15.84375" style="219" customWidth="1"/>
    <col min="2567" max="2567" width="1.4609375" style="219" customWidth="1"/>
    <col min="2568" max="2568" width="8.84375" style="219"/>
    <col min="2569" max="2569" width="35.3046875" style="219" customWidth="1"/>
    <col min="2570" max="2570" width="16.07421875" style="219" customWidth="1"/>
    <col min="2571" max="2571" width="9.07421875" style="219" bestFit="1" customWidth="1"/>
    <col min="2572" max="2572" width="10.07421875" style="219" bestFit="1" customWidth="1"/>
    <col min="2573" max="2573" width="10.84375" style="219" customWidth="1"/>
    <col min="2574" max="2817" width="8.84375" style="219"/>
    <col min="2818" max="2818" width="35.07421875" style="219" customWidth="1"/>
    <col min="2819" max="2819" width="15.69140625" style="219" customWidth="1"/>
    <col min="2820" max="2820" width="14.84375" style="219" bestFit="1" customWidth="1"/>
    <col min="2821" max="2821" width="1.69140625" style="219" customWidth="1"/>
    <col min="2822" max="2822" width="15.84375" style="219" customWidth="1"/>
    <col min="2823" max="2823" width="1.4609375" style="219" customWidth="1"/>
    <col min="2824" max="2824" width="8.84375" style="219"/>
    <col min="2825" max="2825" width="35.3046875" style="219" customWidth="1"/>
    <col min="2826" max="2826" width="16.07421875" style="219" customWidth="1"/>
    <col min="2827" max="2827" width="9.07421875" style="219" bestFit="1" customWidth="1"/>
    <col min="2828" max="2828" width="10.07421875" style="219" bestFit="1" customWidth="1"/>
    <col min="2829" max="2829" width="10.84375" style="219" customWidth="1"/>
    <col min="2830" max="3073" width="8.84375" style="219"/>
    <col min="3074" max="3074" width="35.07421875" style="219" customWidth="1"/>
    <col min="3075" max="3075" width="15.69140625" style="219" customWidth="1"/>
    <col min="3076" max="3076" width="14.84375" style="219" bestFit="1" customWidth="1"/>
    <col min="3077" max="3077" width="1.69140625" style="219" customWidth="1"/>
    <col min="3078" max="3078" width="15.84375" style="219" customWidth="1"/>
    <col min="3079" max="3079" width="1.4609375" style="219" customWidth="1"/>
    <col min="3080" max="3080" width="8.84375" style="219"/>
    <col min="3081" max="3081" width="35.3046875" style="219" customWidth="1"/>
    <col min="3082" max="3082" width="16.07421875" style="219" customWidth="1"/>
    <col min="3083" max="3083" width="9.07421875" style="219" bestFit="1" customWidth="1"/>
    <col min="3084" max="3084" width="10.07421875" style="219" bestFit="1" customWidth="1"/>
    <col min="3085" max="3085" width="10.84375" style="219" customWidth="1"/>
    <col min="3086" max="3329" width="8.84375" style="219"/>
    <col min="3330" max="3330" width="35.07421875" style="219" customWidth="1"/>
    <col min="3331" max="3331" width="15.69140625" style="219" customWidth="1"/>
    <col min="3332" max="3332" width="14.84375" style="219" bestFit="1" customWidth="1"/>
    <col min="3333" max="3333" width="1.69140625" style="219" customWidth="1"/>
    <col min="3334" max="3334" width="15.84375" style="219" customWidth="1"/>
    <col min="3335" max="3335" width="1.4609375" style="219" customWidth="1"/>
    <col min="3336" max="3336" width="8.84375" style="219"/>
    <col min="3337" max="3337" width="35.3046875" style="219" customWidth="1"/>
    <col min="3338" max="3338" width="16.07421875" style="219" customWidth="1"/>
    <col min="3339" max="3339" width="9.07421875" style="219" bestFit="1" customWidth="1"/>
    <col min="3340" max="3340" width="10.07421875" style="219" bestFit="1" customWidth="1"/>
    <col min="3341" max="3341" width="10.84375" style="219" customWidth="1"/>
    <col min="3342" max="3585" width="8.84375" style="219"/>
    <col min="3586" max="3586" width="35.07421875" style="219" customWidth="1"/>
    <col min="3587" max="3587" width="15.69140625" style="219" customWidth="1"/>
    <col min="3588" max="3588" width="14.84375" style="219" bestFit="1" customWidth="1"/>
    <col min="3589" max="3589" width="1.69140625" style="219" customWidth="1"/>
    <col min="3590" max="3590" width="15.84375" style="219" customWidth="1"/>
    <col min="3591" max="3591" width="1.4609375" style="219" customWidth="1"/>
    <col min="3592" max="3592" width="8.84375" style="219"/>
    <col min="3593" max="3593" width="35.3046875" style="219" customWidth="1"/>
    <col min="3594" max="3594" width="16.07421875" style="219" customWidth="1"/>
    <col min="3595" max="3595" width="9.07421875" style="219" bestFit="1" customWidth="1"/>
    <col min="3596" max="3596" width="10.07421875" style="219" bestFit="1" customWidth="1"/>
    <col min="3597" max="3597" width="10.84375" style="219" customWidth="1"/>
    <col min="3598" max="3841" width="8.84375" style="219"/>
    <col min="3842" max="3842" width="35.07421875" style="219" customWidth="1"/>
    <col min="3843" max="3843" width="15.69140625" style="219" customWidth="1"/>
    <col min="3844" max="3844" width="14.84375" style="219" bestFit="1" customWidth="1"/>
    <col min="3845" max="3845" width="1.69140625" style="219" customWidth="1"/>
    <col min="3846" max="3846" width="15.84375" style="219" customWidth="1"/>
    <col min="3847" max="3847" width="1.4609375" style="219" customWidth="1"/>
    <col min="3848" max="3848" width="8.84375" style="219"/>
    <col min="3849" max="3849" width="35.3046875" style="219" customWidth="1"/>
    <col min="3850" max="3850" width="16.07421875" style="219" customWidth="1"/>
    <col min="3851" max="3851" width="9.07421875" style="219" bestFit="1" customWidth="1"/>
    <col min="3852" max="3852" width="10.07421875" style="219" bestFit="1" customWidth="1"/>
    <col min="3853" max="3853" width="10.84375" style="219" customWidth="1"/>
    <col min="3854" max="4097" width="8.84375" style="219"/>
    <col min="4098" max="4098" width="35.07421875" style="219" customWidth="1"/>
    <col min="4099" max="4099" width="15.69140625" style="219" customWidth="1"/>
    <col min="4100" max="4100" width="14.84375" style="219" bestFit="1" customWidth="1"/>
    <col min="4101" max="4101" width="1.69140625" style="219" customWidth="1"/>
    <col min="4102" max="4102" width="15.84375" style="219" customWidth="1"/>
    <col min="4103" max="4103" width="1.4609375" style="219" customWidth="1"/>
    <col min="4104" max="4104" width="8.84375" style="219"/>
    <col min="4105" max="4105" width="35.3046875" style="219" customWidth="1"/>
    <col min="4106" max="4106" width="16.07421875" style="219" customWidth="1"/>
    <col min="4107" max="4107" width="9.07421875" style="219" bestFit="1" customWidth="1"/>
    <col min="4108" max="4108" width="10.07421875" style="219" bestFit="1" customWidth="1"/>
    <col min="4109" max="4109" width="10.84375" style="219" customWidth="1"/>
    <col min="4110" max="4353" width="8.84375" style="219"/>
    <col min="4354" max="4354" width="35.07421875" style="219" customWidth="1"/>
    <col min="4355" max="4355" width="15.69140625" style="219" customWidth="1"/>
    <col min="4356" max="4356" width="14.84375" style="219" bestFit="1" customWidth="1"/>
    <col min="4357" max="4357" width="1.69140625" style="219" customWidth="1"/>
    <col min="4358" max="4358" width="15.84375" style="219" customWidth="1"/>
    <col min="4359" max="4359" width="1.4609375" style="219" customWidth="1"/>
    <col min="4360" max="4360" width="8.84375" style="219"/>
    <col min="4361" max="4361" width="35.3046875" style="219" customWidth="1"/>
    <col min="4362" max="4362" width="16.07421875" style="219" customWidth="1"/>
    <col min="4363" max="4363" width="9.07421875" style="219" bestFit="1" customWidth="1"/>
    <col min="4364" max="4364" width="10.07421875" style="219" bestFit="1" customWidth="1"/>
    <col min="4365" max="4365" width="10.84375" style="219" customWidth="1"/>
    <col min="4366" max="4609" width="8.84375" style="219"/>
    <col min="4610" max="4610" width="35.07421875" style="219" customWidth="1"/>
    <col min="4611" max="4611" width="15.69140625" style="219" customWidth="1"/>
    <col min="4612" max="4612" width="14.84375" style="219" bestFit="1" customWidth="1"/>
    <col min="4613" max="4613" width="1.69140625" style="219" customWidth="1"/>
    <col min="4614" max="4614" width="15.84375" style="219" customWidth="1"/>
    <col min="4615" max="4615" width="1.4609375" style="219" customWidth="1"/>
    <col min="4616" max="4616" width="8.84375" style="219"/>
    <col min="4617" max="4617" width="35.3046875" style="219" customWidth="1"/>
    <col min="4618" max="4618" width="16.07421875" style="219" customWidth="1"/>
    <col min="4619" max="4619" width="9.07421875" style="219" bestFit="1" customWidth="1"/>
    <col min="4620" max="4620" width="10.07421875" style="219" bestFit="1" customWidth="1"/>
    <col min="4621" max="4621" width="10.84375" style="219" customWidth="1"/>
    <col min="4622" max="4865" width="8.84375" style="219"/>
    <col min="4866" max="4866" width="35.07421875" style="219" customWidth="1"/>
    <col min="4867" max="4867" width="15.69140625" style="219" customWidth="1"/>
    <col min="4868" max="4868" width="14.84375" style="219" bestFit="1" customWidth="1"/>
    <col min="4869" max="4869" width="1.69140625" style="219" customWidth="1"/>
    <col min="4870" max="4870" width="15.84375" style="219" customWidth="1"/>
    <col min="4871" max="4871" width="1.4609375" style="219" customWidth="1"/>
    <col min="4872" max="4872" width="8.84375" style="219"/>
    <col min="4873" max="4873" width="35.3046875" style="219" customWidth="1"/>
    <col min="4874" max="4874" width="16.07421875" style="219" customWidth="1"/>
    <col min="4875" max="4875" width="9.07421875" style="219" bestFit="1" customWidth="1"/>
    <col min="4876" max="4876" width="10.07421875" style="219" bestFit="1" customWidth="1"/>
    <col min="4877" max="4877" width="10.84375" style="219" customWidth="1"/>
    <col min="4878" max="5121" width="8.84375" style="219"/>
    <col min="5122" max="5122" width="35.07421875" style="219" customWidth="1"/>
    <col min="5123" max="5123" width="15.69140625" style="219" customWidth="1"/>
    <col min="5124" max="5124" width="14.84375" style="219" bestFit="1" customWidth="1"/>
    <col min="5125" max="5125" width="1.69140625" style="219" customWidth="1"/>
    <col min="5126" max="5126" width="15.84375" style="219" customWidth="1"/>
    <col min="5127" max="5127" width="1.4609375" style="219" customWidth="1"/>
    <col min="5128" max="5128" width="8.84375" style="219"/>
    <col min="5129" max="5129" width="35.3046875" style="219" customWidth="1"/>
    <col min="5130" max="5130" width="16.07421875" style="219" customWidth="1"/>
    <col min="5131" max="5131" width="9.07421875" style="219" bestFit="1" customWidth="1"/>
    <col min="5132" max="5132" width="10.07421875" style="219" bestFit="1" customWidth="1"/>
    <col min="5133" max="5133" width="10.84375" style="219" customWidth="1"/>
    <col min="5134" max="5377" width="8.84375" style="219"/>
    <col min="5378" max="5378" width="35.07421875" style="219" customWidth="1"/>
    <col min="5379" max="5379" width="15.69140625" style="219" customWidth="1"/>
    <col min="5380" max="5380" width="14.84375" style="219" bestFit="1" customWidth="1"/>
    <col min="5381" max="5381" width="1.69140625" style="219" customWidth="1"/>
    <col min="5382" max="5382" width="15.84375" style="219" customWidth="1"/>
    <col min="5383" max="5383" width="1.4609375" style="219" customWidth="1"/>
    <col min="5384" max="5384" width="8.84375" style="219"/>
    <col min="5385" max="5385" width="35.3046875" style="219" customWidth="1"/>
    <col min="5386" max="5386" width="16.07421875" style="219" customWidth="1"/>
    <col min="5387" max="5387" width="9.07421875" style="219" bestFit="1" customWidth="1"/>
    <col min="5388" max="5388" width="10.07421875" style="219" bestFit="1" customWidth="1"/>
    <col min="5389" max="5389" width="10.84375" style="219" customWidth="1"/>
    <col min="5390" max="5633" width="8.84375" style="219"/>
    <col min="5634" max="5634" width="35.07421875" style="219" customWidth="1"/>
    <col min="5635" max="5635" width="15.69140625" style="219" customWidth="1"/>
    <col min="5636" max="5636" width="14.84375" style="219" bestFit="1" customWidth="1"/>
    <col min="5637" max="5637" width="1.69140625" style="219" customWidth="1"/>
    <col min="5638" max="5638" width="15.84375" style="219" customWidth="1"/>
    <col min="5639" max="5639" width="1.4609375" style="219" customWidth="1"/>
    <col min="5640" max="5640" width="8.84375" style="219"/>
    <col min="5641" max="5641" width="35.3046875" style="219" customWidth="1"/>
    <col min="5642" max="5642" width="16.07421875" style="219" customWidth="1"/>
    <col min="5643" max="5643" width="9.07421875" style="219" bestFit="1" customWidth="1"/>
    <col min="5644" max="5644" width="10.07421875" style="219" bestFit="1" customWidth="1"/>
    <col min="5645" max="5645" width="10.84375" style="219" customWidth="1"/>
    <col min="5646" max="5889" width="8.84375" style="219"/>
    <col min="5890" max="5890" width="35.07421875" style="219" customWidth="1"/>
    <col min="5891" max="5891" width="15.69140625" style="219" customWidth="1"/>
    <col min="5892" max="5892" width="14.84375" style="219" bestFit="1" customWidth="1"/>
    <col min="5893" max="5893" width="1.69140625" style="219" customWidth="1"/>
    <col min="5894" max="5894" width="15.84375" style="219" customWidth="1"/>
    <col min="5895" max="5895" width="1.4609375" style="219" customWidth="1"/>
    <col min="5896" max="5896" width="8.84375" style="219"/>
    <col min="5897" max="5897" width="35.3046875" style="219" customWidth="1"/>
    <col min="5898" max="5898" width="16.07421875" style="219" customWidth="1"/>
    <col min="5899" max="5899" width="9.07421875" style="219" bestFit="1" customWidth="1"/>
    <col min="5900" max="5900" width="10.07421875" style="219" bestFit="1" customWidth="1"/>
    <col min="5901" max="5901" width="10.84375" style="219" customWidth="1"/>
    <col min="5902" max="6145" width="8.84375" style="219"/>
    <col min="6146" max="6146" width="35.07421875" style="219" customWidth="1"/>
    <col min="6147" max="6147" width="15.69140625" style="219" customWidth="1"/>
    <col min="6148" max="6148" width="14.84375" style="219" bestFit="1" customWidth="1"/>
    <col min="6149" max="6149" width="1.69140625" style="219" customWidth="1"/>
    <col min="6150" max="6150" width="15.84375" style="219" customWidth="1"/>
    <col min="6151" max="6151" width="1.4609375" style="219" customWidth="1"/>
    <col min="6152" max="6152" width="8.84375" style="219"/>
    <col min="6153" max="6153" width="35.3046875" style="219" customWidth="1"/>
    <col min="6154" max="6154" width="16.07421875" style="219" customWidth="1"/>
    <col min="6155" max="6155" width="9.07421875" style="219" bestFit="1" customWidth="1"/>
    <col min="6156" max="6156" width="10.07421875" style="219" bestFit="1" customWidth="1"/>
    <col min="6157" max="6157" width="10.84375" style="219" customWidth="1"/>
    <col min="6158" max="6401" width="8.84375" style="219"/>
    <col min="6402" max="6402" width="35.07421875" style="219" customWidth="1"/>
    <col min="6403" max="6403" width="15.69140625" style="219" customWidth="1"/>
    <col min="6404" max="6404" width="14.84375" style="219" bestFit="1" customWidth="1"/>
    <col min="6405" max="6405" width="1.69140625" style="219" customWidth="1"/>
    <col min="6406" max="6406" width="15.84375" style="219" customWidth="1"/>
    <col min="6407" max="6407" width="1.4609375" style="219" customWidth="1"/>
    <col min="6408" max="6408" width="8.84375" style="219"/>
    <col min="6409" max="6409" width="35.3046875" style="219" customWidth="1"/>
    <col min="6410" max="6410" width="16.07421875" style="219" customWidth="1"/>
    <col min="6411" max="6411" width="9.07421875" style="219" bestFit="1" customWidth="1"/>
    <col min="6412" max="6412" width="10.07421875" style="219" bestFit="1" customWidth="1"/>
    <col min="6413" max="6413" width="10.84375" style="219" customWidth="1"/>
    <col min="6414" max="6657" width="8.84375" style="219"/>
    <col min="6658" max="6658" width="35.07421875" style="219" customWidth="1"/>
    <col min="6659" max="6659" width="15.69140625" style="219" customWidth="1"/>
    <col min="6660" max="6660" width="14.84375" style="219" bestFit="1" customWidth="1"/>
    <col min="6661" max="6661" width="1.69140625" style="219" customWidth="1"/>
    <col min="6662" max="6662" width="15.84375" style="219" customWidth="1"/>
    <col min="6663" max="6663" width="1.4609375" style="219" customWidth="1"/>
    <col min="6664" max="6664" width="8.84375" style="219"/>
    <col min="6665" max="6665" width="35.3046875" style="219" customWidth="1"/>
    <col min="6666" max="6666" width="16.07421875" style="219" customWidth="1"/>
    <col min="6667" max="6667" width="9.07421875" style="219" bestFit="1" customWidth="1"/>
    <col min="6668" max="6668" width="10.07421875" style="219" bestFit="1" customWidth="1"/>
    <col min="6669" max="6669" width="10.84375" style="219" customWidth="1"/>
    <col min="6670" max="6913" width="8.84375" style="219"/>
    <col min="6914" max="6914" width="35.07421875" style="219" customWidth="1"/>
    <col min="6915" max="6915" width="15.69140625" style="219" customWidth="1"/>
    <col min="6916" max="6916" width="14.84375" style="219" bestFit="1" customWidth="1"/>
    <col min="6917" max="6917" width="1.69140625" style="219" customWidth="1"/>
    <col min="6918" max="6918" width="15.84375" style="219" customWidth="1"/>
    <col min="6919" max="6919" width="1.4609375" style="219" customWidth="1"/>
    <col min="6920" max="6920" width="8.84375" style="219"/>
    <col min="6921" max="6921" width="35.3046875" style="219" customWidth="1"/>
    <col min="6922" max="6922" width="16.07421875" style="219" customWidth="1"/>
    <col min="6923" max="6923" width="9.07421875" style="219" bestFit="1" customWidth="1"/>
    <col min="6924" max="6924" width="10.07421875" style="219" bestFit="1" customWidth="1"/>
    <col min="6925" max="6925" width="10.84375" style="219" customWidth="1"/>
    <col min="6926" max="7169" width="8.84375" style="219"/>
    <col min="7170" max="7170" width="35.07421875" style="219" customWidth="1"/>
    <col min="7171" max="7171" width="15.69140625" style="219" customWidth="1"/>
    <col min="7172" max="7172" width="14.84375" style="219" bestFit="1" customWidth="1"/>
    <col min="7173" max="7173" width="1.69140625" style="219" customWidth="1"/>
    <col min="7174" max="7174" width="15.84375" style="219" customWidth="1"/>
    <col min="7175" max="7175" width="1.4609375" style="219" customWidth="1"/>
    <col min="7176" max="7176" width="8.84375" style="219"/>
    <col min="7177" max="7177" width="35.3046875" style="219" customWidth="1"/>
    <col min="7178" max="7178" width="16.07421875" style="219" customWidth="1"/>
    <col min="7179" max="7179" width="9.07421875" style="219" bestFit="1" customWidth="1"/>
    <col min="7180" max="7180" width="10.07421875" style="219" bestFit="1" customWidth="1"/>
    <col min="7181" max="7181" width="10.84375" style="219" customWidth="1"/>
    <col min="7182" max="7425" width="8.84375" style="219"/>
    <col min="7426" max="7426" width="35.07421875" style="219" customWidth="1"/>
    <col min="7427" max="7427" width="15.69140625" style="219" customWidth="1"/>
    <col min="7428" max="7428" width="14.84375" style="219" bestFit="1" customWidth="1"/>
    <col min="7429" max="7429" width="1.69140625" style="219" customWidth="1"/>
    <col min="7430" max="7430" width="15.84375" style="219" customWidth="1"/>
    <col min="7431" max="7431" width="1.4609375" style="219" customWidth="1"/>
    <col min="7432" max="7432" width="8.84375" style="219"/>
    <col min="7433" max="7433" width="35.3046875" style="219" customWidth="1"/>
    <col min="7434" max="7434" width="16.07421875" style="219" customWidth="1"/>
    <col min="7435" max="7435" width="9.07421875" style="219" bestFit="1" customWidth="1"/>
    <col min="7436" max="7436" width="10.07421875" style="219" bestFit="1" customWidth="1"/>
    <col min="7437" max="7437" width="10.84375" style="219" customWidth="1"/>
    <col min="7438" max="7681" width="8.84375" style="219"/>
    <col min="7682" max="7682" width="35.07421875" style="219" customWidth="1"/>
    <col min="7683" max="7683" width="15.69140625" style="219" customWidth="1"/>
    <col min="7684" max="7684" width="14.84375" style="219" bestFit="1" customWidth="1"/>
    <col min="7685" max="7685" width="1.69140625" style="219" customWidth="1"/>
    <col min="7686" max="7686" width="15.84375" style="219" customWidth="1"/>
    <col min="7687" max="7687" width="1.4609375" style="219" customWidth="1"/>
    <col min="7688" max="7688" width="8.84375" style="219"/>
    <col min="7689" max="7689" width="35.3046875" style="219" customWidth="1"/>
    <col min="7690" max="7690" width="16.07421875" style="219" customWidth="1"/>
    <col min="7691" max="7691" width="9.07421875" style="219" bestFit="1" customWidth="1"/>
    <col min="7692" max="7692" width="10.07421875" style="219" bestFit="1" customWidth="1"/>
    <col min="7693" max="7693" width="10.84375" style="219" customWidth="1"/>
    <col min="7694" max="7937" width="8.84375" style="219"/>
    <col min="7938" max="7938" width="35.07421875" style="219" customWidth="1"/>
    <col min="7939" max="7939" width="15.69140625" style="219" customWidth="1"/>
    <col min="7940" max="7940" width="14.84375" style="219" bestFit="1" customWidth="1"/>
    <col min="7941" max="7941" width="1.69140625" style="219" customWidth="1"/>
    <col min="7942" max="7942" width="15.84375" style="219" customWidth="1"/>
    <col min="7943" max="7943" width="1.4609375" style="219" customWidth="1"/>
    <col min="7944" max="7944" width="8.84375" style="219"/>
    <col min="7945" max="7945" width="35.3046875" style="219" customWidth="1"/>
    <col min="7946" max="7946" width="16.07421875" style="219" customWidth="1"/>
    <col min="7947" max="7947" width="9.07421875" style="219" bestFit="1" customWidth="1"/>
    <col min="7948" max="7948" width="10.07421875" style="219" bestFit="1" customWidth="1"/>
    <col min="7949" max="7949" width="10.84375" style="219" customWidth="1"/>
    <col min="7950" max="8193" width="8.84375" style="219"/>
    <col min="8194" max="8194" width="35.07421875" style="219" customWidth="1"/>
    <col min="8195" max="8195" width="15.69140625" style="219" customWidth="1"/>
    <col min="8196" max="8196" width="14.84375" style="219" bestFit="1" customWidth="1"/>
    <col min="8197" max="8197" width="1.69140625" style="219" customWidth="1"/>
    <col min="8198" max="8198" width="15.84375" style="219" customWidth="1"/>
    <col min="8199" max="8199" width="1.4609375" style="219" customWidth="1"/>
    <col min="8200" max="8200" width="8.84375" style="219"/>
    <col min="8201" max="8201" width="35.3046875" style="219" customWidth="1"/>
    <col min="8202" max="8202" width="16.07421875" style="219" customWidth="1"/>
    <col min="8203" max="8203" width="9.07421875" style="219" bestFit="1" customWidth="1"/>
    <col min="8204" max="8204" width="10.07421875" style="219" bestFit="1" customWidth="1"/>
    <col min="8205" max="8205" width="10.84375" style="219" customWidth="1"/>
    <col min="8206" max="8449" width="8.84375" style="219"/>
    <col min="8450" max="8450" width="35.07421875" style="219" customWidth="1"/>
    <col min="8451" max="8451" width="15.69140625" style="219" customWidth="1"/>
    <col min="8452" max="8452" width="14.84375" style="219" bestFit="1" customWidth="1"/>
    <col min="8453" max="8453" width="1.69140625" style="219" customWidth="1"/>
    <col min="8454" max="8454" width="15.84375" style="219" customWidth="1"/>
    <col min="8455" max="8455" width="1.4609375" style="219" customWidth="1"/>
    <col min="8456" max="8456" width="8.84375" style="219"/>
    <col min="8457" max="8457" width="35.3046875" style="219" customWidth="1"/>
    <col min="8458" max="8458" width="16.07421875" style="219" customWidth="1"/>
    <col min="8459" max="8459" width="9.07421875" style="219" bestFit="1" customWidth="1"/>
    <col min="8460" max="8460" width="10.07421875" style="219" bestFit="1" customWidth="1"/>
    <col min="8461" max="8461" width="10.84375" style="219" customWidth="1"/>
    <col min="8462" max="8705" width="8.84375" style="219"/>
    <col min="8706" max="8706" width="35.07421875" style="219" customWidth="1"/>
    <col min="8707" max="8707" width="15.69140625" style="219" customWidth="1"/>
    <col min="8708" max="8708" width="14.84375" style="219" bestFit="1" customWidth="1"/>
    <col min="8709" max="8709" width="1.69140625" style="219" customWidth="1"/>
    <col min="8710" max="8710" width="15.84375" style="219" customWidth="1"/>
    <col min="8711" max="8711" width="1.4609375" style="219" customWidth="1"/>
    <col min="8712" max="8712" width="8.84375" style="219"/>
    <col min="8713" max="8713" width="35.3046875" style="219" customWidth="1"/>
    <col min="8714" max="8714" width="16.07421875" style="219" customWidth="1"/>
    <col min="8715" max="8715" width="9.07421875" style="219" bestFit="1" customWidth="1"/>
    <col min="8716" max="8716" width="10.07421875" style="219" bestFit="1" customWidth="1"/>
    <col min="8717" max="8717" width="10.84375" style="219" customWidth="1"/>
    <col min="8718" max="8961" width="8.84375" style="219"/>
    <col min="8962" max="8962" width="35.07421875" style="219" customWidth="1"/>
    <col min="8963" max="8963" width="15.69140625" style="219" customWidth="1"/>
    <col min="8964" max="8964" width="14.84375" style="219" bestFit="1" customWidth="1"/>
    <col min="8965" max="8965" width="1.69140625" style="219" customWidth="1"/>
    <col min="8966" max="8966" width="15.84375" style="219" customWidth="1"/>
    <col min="8967" max="8967" width="1.4609375" style="219" customWidth="1"/>
    <col min="8968" max="8968" width="8.84375" style="219"/>
    <col min="8969" max="8969" width="35.3046875" style="219" customWidth="1"/>
    <col min="8970" max="8970" width="16.07421875" style="219" customWidth="1"/>
    <col min="8971" max="8971" width="9.07421875" style="219" bestFit="1" customWidth="1"/>
    <col min="8972" max="8972" width="10.07421875" style="219" bestFit="1" customWidth="1"/>
    <col min="8973" max="8973" width="10.84375" style="219" customWidth="1"/>
    <col min="8974" max="9217" width="8.84375" style="219"/>
    <col min="9218" max="9218" width="35.07421875" style="219" customWidth="1"/>
    <col min="9219" max="9219" width="15.69140625" style="219" customWidth="1"/>
    <col min="9220" max="9220" width="14.84375" style="219" bestFit="1" customWidth="1"/>
    <col min="9221" max="9221" width="1.69140625" style="219" customWidth="1"/>
    <col min="9222" max="9222" width="15.84375" style="219" customWidth="1"/>
    <col min="9223" max="9223" width="1.4609375" style="219" customWidth="1"/>
    <col min="9224" max="9224" width="8.84375" style="219"/>
    <col min="9225" max="9225" width="35.3046875" style="219" customWidth="1"/>
    <col min="9226" max="9226" width="16.07421875" style="219" customWidth="1"/>
    <col min="9227" max="9227" width="9.07421875" style="219" bestFit="1" customWidth="1"/>
    <col min="9228" max="9228" width="10.07421875" style="219" bestFit="1" customWidth="1"/>
    <col min="9229" max="9229" width="10.84375" style="219" customWidth="1"/>
    <col min="9230" max="9473" width="8.84375" style="219"/>
    <col min="9474" max="9474" width="35.07421875" style="219" customWidth="1"/>
    <col min="9475" max="9475" width="15.69140625" style="219" customWidth="1"/>
    <col min="9476" max="9476" width="14.84375" style="219" bestFit="1" customWidth="1"/>
    <col min="9477" max="9477" width="1.69140625" style="219" customWidth="1"/>
    <col min="9478" max="9478" width="15.84375" style="219" customWidth="1"/>
    <col min="9479" max="9479" width="1.4609375" style="219" customWidth="1"/>
    <col min="9480" max="9480" width="8.84375" style="219"/>
    <col min="9481" max="9481" width="35.3046875" style="219" customWidth="1"/>
    <col min="9482" max="9482" width="16.07421875" style="219" customWidth="1"/>
    <col min="9483" max="9483" width="9.07421875" style="219" bestFit="1" customWidth="1"/>
    <col min="9484" max="9484" width="10.07421875" style="219" bestFit="1" customWidth="1"/>
    <col min="9485" max="9485" width="10.84375" style="219" customWidth="1"/>
    <col min="9486" max="9729" width="8.84375" style="219"/>
    <col min="9730" max="9730" width="35.07421875" style="219" customWidth="1"/>
    <col min="9731" max="9731" width="15.69140625" style="219" customWidth="1"/>
    <col min="9732" max="9732" width="14.84375" style="219" bestFit="1" customWidth="1"/>
    <col min="9733" max="9733" width="1.69140625" style="219" customWidth="1"/>
    <col min="9734" max="9734" width="15.84375" style="219" customWidth="1"/>
    <col min="9735" max="9735" width="1.4609375" style="219" customWidth="1"/>
    <col min="9736" max="9736" width="8.84375" style="219"/>
    <col min="9737" max="9737" width="35.3046875" style="219" customWidth="1"/>
    <col min="9738" max="9738" width="16.07421875" style="219" customWidth="1"/>
    <col min="9739" max="9739" width="9.07421875" style="219" bestFit="1" customWidth="1"/>
    <col min="9740" max="9740" width="10.07421875" style="219" bestFit="1" customWidth="1"/>
    <col min="9741" max="9741" width="10.84375" style="219" customWidth="1"/>
    <col min="9742" max="9985" width="8.84375" style="219"/>
    <col min="9986" max="9986" width="35.07421875" style="219" customWidth="1"/>
    <col min="9987" max="9987" width="15.69140625" style="219" customWidth="1"/>
    <col min="9988" max="9988" width="14.84375" style="219" bestFit="1" customWidth="1"/>
    <col min="9989" max="9989" width="1.69140625" style="219" customWidth="1"/>
    <col min="9990" max="9990" width="15.84375" style="219" customWidth="1"/>
    <col min="9991" max="9991" width="1.4609375" style="219" customWidth="1"/>
    <col min="9992" max="9992" width="8.84375" style="219"/>
    <col min="9993" max="9993" width="35.3046875" style="219" customWidth="1"/>
    <col min="9994" max="9994" width="16.07421875" style="219" customWidth="1"/>
    <col min="9995" max="9995" width="9.07421875" style="219" bestFit="1" customWidth="1"/>
    <col min="9996" max="9996" width="10.07421875" style="219" bestFit="1" customWidth="1"/>
    <col min="9997" max="9997" width="10.84375" style="219" customWidth="1"/>
    <col min="9998" max="10241" width="8.84375" style="219"/>
    <col min="10242" max="10242" width="35.07421875" style="219" customWidth="1"/>
    <col min="10243" max="10243" width="15.69140625" style="219" customWidth="1"/>
    <col min="10244" max="10244" width="14.84375" style="219" bestFit="1" customWidth="1"/>
    <col min="10245" max="10245" width="1.69140625" style="219" customWidth="1"/>
    <col min="10246" max="10246" width="15.84375" style="219" customWidth="1"/>
    <col min="10247" max="10247" width="1.4609375" style="219" customWidth="1"/>
    <col min="10248" max="10248" width="8.84375" style="219"/>
    <col min="10249" max="10249" width="35.3046875" style="219" customWidth="1"/>
    <col min="10250" max="10250" width="16.07421875" style="219" customWidth="1"/>
    <col min="10251" max="10251" width="9.07421875" style="219" bestFit="1" customWidth="1"/>
    <col min="10252" max="10252" width="10.07421875" style="219" bestFit="1" customWidth="1"/>
    <col min="10253" max="10253" width="10.84375" style="219" customWidth="1"/>
    <col min="10254" max="10497" width="8.84375" style="219"/>
    <col min="10498" max="10498" width="35.07421875" style="219" customWidth="1"/>
    <col min="10499" max="10499" width="15.69140625" style="219" customWidth="1"/>
    <col min="10500" max="10500" width="14.84375" style="219" bestFit="1" customWidth="1"/>
    <col min="10501" max="10501" width="1.69140625" style="219" customWidth="1"/>
    <col min="10502" max="10502" width="15.84375" style="219" customWidth="1"/>
    <col min="10503" max="10503" width="1.4609375" style="219" customWidth="1"/>
    <col min="10504" max="10504" width="8.84375" style="219"/>
    <col min="10505" max="10505" width="35.3046875" style="219" customWidth="1"/>
    <col min="10506" max="10506" width="16.07421875" style="219" customWidth="1"/>
    <col min="10507" max="10507" width="9.07421875" style="219" bestFit="1" customWidth="1"/>
    <col min="10508" max="10508" width="10.07421875" style="219" bestFit="1" customWidth="1"/>
    <col min="10509" max="10509" width="10.84375" style="219" customWidth="1"/>
    <col min="10510" max="10753" width="8.84375" style="219"/>
    <col min="10754" max="10754" width="35.07421875" style="219" customWidth="1"/>
    <col min="10755" max="10755" width="15.69140625" style="219" customWidth="1"/>
    <col min="10756" max="10756" width="14.84375" style="219" bestFit="1" customWidth="1"/>
    <col min="10757" max="10757" width="1.69140625" style="219" customWidth="1"/>
    <col min="10758" max="10758" width="15.84375" style="219" customWidth="1"/>
    <col min="10759" max="10759" width="1.4609375" style="219" customWidth="1"/>
    <col min="10760" max="10760" width="8.84375" style="219"/>
    <col min="10761" max="10761" width="35.3046875" style="219" customWidth="1"/>
    <col min="10762" max="10762" width="16.07421875" style="219" customWidth="1"/>
    <col min="10763" max="10763" width="9.07421875" style="219" bestFit="1" customWidth="1"/>
    <col min="10764" max="10764" width="10.07421875" style="219" bestFit="1" customWidth="1"/>
    <col min="10765" max="10765" width="10.84375" style="219" customWidth="1"/>
    <col min="10766" max="11009" width="8.84375" style="219"/>
    <col min="11010" max="11010" width="35.07421875" style="219" customWidth="1"/>
    <col min="11011" max="11011" width="15.69140625" style="219" customWidth="1"/>
    <col min="11012" max="11012" width="14.84375" style="219" bestFit="1" customWidth="1"/>
    <col min="11013" max="11013" width="1.69140625" style="219" customWidth="1"/>
    <col min="11014" max="11014" width="15.84375" style="219" customWidth="1"/>
    <col min="11015" max="11015" width="1.4609375" style="219" customWidth="1"/>
    <col min="11016" max="11016" width="8.84375" style="219"/>
    <col min="11017" max="11017" width="35.3046875" style="219" customWidth="1"/>
    <col min="11018" max="11018" width="16.07421875" style="219" customWidth="1"/>
    <col min="11019" max="11019" width="9.07421875" style="219" bestFit="1" customWidth="1"/>
    <col min="11020" max="11020" width="10.07421875" style="219" bestFit="1" customWidth="1"/>
    <col min="11021" max="11021" width="10.84375" style="219" customWidth="1"/>
    <col min="11022" max="11265" width="8.84375" style="219"/>
    <col min="11266" max="11266" width="35.07421875" style="219" customWidth="1"/>
    <col min="11267" max="11267" width="15.69140625" style="219" customWidth="1"/>
    <col min="11268" max="11268" width="14.84375" style="219" bestFit="1" customWidth="1"/>
    <col min="11269" max="11269" width="1.69140625" style="219" customWidth="1"/>
    <col min="11270" max="11270" width="15.84375" style="219" customWidth="1"/>
    <col min="11271" max="11271" width="1.4609375" style="219" customWidth="1"/>
    <col min="11272" max="11272" width="8.84375" style="219"/>
    <col min="11273" max="11273" width="35.3046875" style="219" customWidth="1"/>
    <col min="11274" max="11274" width="16.07421875" style="219" customWidth="1"/>
    <col min="11275" max="11275" width="9.07421875" style="219" bestFit="1" customWidth="1"/>
    <col min="11276" max="11276" width="10.07421875" style="219" bestFit="1" customWidth="1"/>
    <col min="11277" max="11277" width="10.84375" style="219" customWidth="1"/>
    <col min="11278" max="11521" width="8.84375" style="219"/>
    <col min="11522" max="11522" width="35.07421875" style="219" customWidth="1"/>
    <col min="11523" max="11523" width="15.69140625" style="219" customWidth="1"/>
    <col min="11524" max="11524" width="14.84375" style="219" bestFit="1" customWidth="1"/>
    <col min="11525" max="11525" width="1.69140625" style="219" customWidth="1"/>
    <col min="11526" max="11526" width="15.84375" style="219" customWidth="1"/>
    <col min="11527" max="11527" width="1.4609375" style="219" customWidth="1"/>
    <col min="11528" max="11528" width="8.84375" style="219"/>
    <col min="11529" max="11529" width="35.3046875" style="219" customWidth="1"/>
    <col min="11530" max="11530" width="16.07421875" style="219" customWidth="1"/>
    <col min="11531" max="11531" width="9.07421875" style="219" bestFit="1" customWidth="1"/>
    <col min="11532" max="11532" width="10.07421875" style="219" bestFit="1" customWidth="1"/>
    <col min="11533" max="11533" width="10.84375" style="219" customWidth="1"/>
    <col min="11534" max="11777" width="8.84375" style="219"/>
    <col min="11778" max="11778" width="35.07421875" style="219" customWidth="1"/>
    <col min="11779" max="11779" width="15.69140625" style="219" customWidth="1"/>
    <col min="11780" max="11780" width="14.84375" style="219" bestFit="1" customWidth="1"/>
    <col min="11781" max="11781" width="1.69140625" style="219" customWidth="1"/>
    <col min="11782" max="11782" width="15.84375" style="219" customWidth="1"/>
    <col min="11783" max="11783" width="1.4609375" style="219" customWidth="1"/>
    <col min="11784" max="11784" width="8.84375" style="219"/>
    <col min="11785" max="11785" width="35.3046875" style="219" customWidth="1"/>
    <col min="11786" max="11786" width="16.07421875" style="219" customWidth="1"/>
    <col min="11787" max="11787" width="9.07421875" style="219" bestFit="1" customWidth="1"/>
    <col min="11788" max="11788" width="10.07421875" style="219" bestFit="1" customWidth="1"/>
    <col min="11789" max="11789" width="10.84375" style="219" customWidth="1"/>
    <col min="11790" max="12033" width="8.84375" style="219"/>
    <col min="12034" max="12034" width="35.07421875" style="219" customWidth="1"/>
    <col min="12035" max="12035" width="15.69140625" style="219" customWidth="1"/>
    <col min="12036" max="12036" width="14.84375" style="219" bestFit="1" customWidth="1"/>
    <col min="12037" max="12037" width="1.69140625" style="219" customWidth="1"/>
    <col min="12038" max="12038" width="15.84375" style="219" customWidth="1"/>
    <col min="12039" max="12039" width="1.4609375" style="219" customWidth="1"/>
    <col min="12040" max="12040" width="8.84375" style="219"/>
    <col min="12041" max="12041" width="35.3046875" style="219" customWidth="1"/>
    <col min="12042" max="12042" width="16.07421875" style="219" customWidth="1"/>
    <col min="12043" max="12043" width="9.07421875" style="219" bestFit="1" customWidth="1"/>
    <col min="12044" max="12044" width="10.07421875" style="219" bestFit="1" customWidth="1"/>
    <col min="12045" max="12045" width="10.84375" style="219" customWidth="1"/>
    <col min="12046" max="12289" width="8.84375" style="219"/>
    <col min="12290" max="12290" width="35.07421875" style="219" customWidth="1"/>
    <col min="12291" max="12291" width="15.69140625" style="219" customWidth="1"/>
    <col min="12292" max="12292" width="14.84375" style="219" bestFit="1" customWidth="1"/>
    <col min="12293" max="12293" width="1.69140625" style="219" customWidth="1"/>
    <col min="12294" max="12294" width="15.84375" style="219" customWidth="1"/>
    <col min="12295" max="12295" width="1.4609375" style="219" customWidth="1"/>
    <col min="12296" max="12296" width="8.84375" style="219"/>
    <col min="12297" max="12297" width="35.3046875" style="219" customWidth="1"/>
    <col min="12298" max="12298" width="16.07421875" style="219" customWidth="1"/>
    <col min="12299" max="12299" width="9.07421875" style="219" bestFit="1" customWidth="1"/>
    <col min="12300" max="12300" width="10.07421875" style="219" bestFit="1" customWidth="1"/>
    <col min="12301" max="12301" width="10.84375" style="219" customWidth="1"/>
    <col min="12302" max="12545" width="8.84375" style="219"/>
    <col min="12546" max="12546" width="35.07421875" style="219" customWidth="1"/>
    <col min="12547" max="12547" width="15.69140625" style="219" customWidth="1"/>
    <col min="12548" max="12548" width="14.84375" style="219" bestFit="1" customWidth="1"/>
    <col min="12549" max="12549" width="1.69140625" style="219" customWidth="1"/>
    <col min="12550" max="12550" width="15.84375" style="219" customWidth="1"/>
    <col min="12551" max="12551" width="1.4609375" style="219" customWidth="1"/>
    <col min="12552" max="12552" width="8.84375" style="219"/>
    <col min="12553" max="12553" width="35.3046875" style="219" customWidth="1"/>
    <col min="12554" max="12554" width="16.07421875" style="219" customWidth="1"/>
    <col min="12555" max="12555" width="9.07421875" style="219" bestFit="1" customWidth="1"/>
    <col min="12556" max="12556" width="10.07421875" style="219" bestFit="1" customWidth="1"/>
    <col min="12557" max="12557" width="10.84375" style="219" customWidth="1"/>
    <col min="12558" max="12801" width="8.84375" style="219"/>
    <col min="12802" max="12802" width="35.07421875" style="219" customWidth="1"/>
    <col min="12803" max="12803" width="15.69140625" style="219" customWidth="1"/>
    <col min="12804" max="12804" width="14.84375" style="219" bestFit="1" customWidth="1"/>
    <col min="12805" max="12805" width="1.69140625" style="219" customWidth="1"/>
    <col min="12806" max="12806" width="15.84375" style="219" customWidth="1"/>
    <col min="12807" max="12807" width="1.4609375" style="219" customWidth="1"/>
    <col min="12808" max="12808" width="8.84375" style="219"/>
    <col min="12809" max="12809" width="35.3046875" style="219" customWidth="1"/>
    <col min="12810" max="12810" width="16.07421875" style="219" customWidth="1"/>
    <col min="12811" max="12811" width="9.07421875" style="219" bestFit="1" customWidth="1"/>
    <col min="12812" max="12812" width="10.07421875" style="219" bestFit="1" customWidth="1"/>
    <col min="12813" max="12813" width="10.84375" style="219" customWidth="1"/>
    <col min="12814" max="13057" width="8.84375" style="219"/>
    <col min="13058" max="13058" width="35.07421875" style="219" customWidth="1"/>
    <col min="13059" max="13059" width="15.69140625" style="219" customWidth="1"/>
    <col min="13060" max="13060" width="14.84375" style="219" bestFit="1" customWidth="1"/>
    <col min="13061" max="13061" width="1.69140625" style="219" customWidth="1"/>
    <col min="13062" max="13062" width="15.84375" style="219" customWidth="1"/>
    <col min="13063" max="13063" width="1.4609375" style="219" customWidth="1"/>
    <col min="13064" max="13064" width="8.84375" style="219"/>
    <col min="13065" max="13065" width="35.3046875" style="219" customWidth="1"/>
    <col min="13066" max="13066" width="16.07421875" style="219" customWidth="1"/>
    <col min="13067" max="13067" width="9.07421875" style="219" bestFit="1" customWidth="1"/>
    <col min="13068" max="13068" width="10.07421875" style="219" bestFit="1" customWidth="1"/>
    <col min="13069" max="13069" width="10.84375" style="219" customWidth="1"/>
    <col min="13070" max="13313" width="8.84375" style="219"/>
    <col min="13314" max="13314" width="35.07421875" style="219" customWidth="1"/>
    <col min="13315" max="13315" width="15.69140625" style="219" customWidth="1"/>
    <col min="13316" max="13316" width="14.84375" style="219" bestFit="1" customWidth="1"/>
    <col min="13317" max="13317" width="1.69140625" style="219" customWidth="1"/>
    <col min="13318" max="13318" width="15.84375" style="219" customWidth="1"/>
    <col min="13319" max="13319" width="1.4609375" style="219" customWidth="1"/>
    <col min="13320" max="13320" width="8.84375" style="219"/>
    <col min="13321" max="13321" width="35.3046875" style="219" customWidth="1"/>
    <col min="13322" max="13322" width="16.07421875" style="219" customWidth="1"/>
    <col min="13323" max="13323" width="9.07421875" style="219" bestFit="1" customWidth="1"/>
    <col min="13324" max="13324" width="10.07421875" style="219" bestFit="1" customWidth="1"/>
    <col min="13325" max="13325" width="10.84375" style="219" customWidth="1"/>
    <col min="13326" max="13569" width="8.84375" style="219"/>
    <col min="13570" max="13570" width="35.07421875" style="219" customWidth="1"/>
    <col min="13571" max="13571" width="15.69140625" style="219" customWidth="1"/>
    <col min="13572" max="13572" width="14.84375" style="219" bestFit="1" customWidth="1"/>
    <col min="13573" max="13573" width="1.69140625" style="219" customWidth="1"/>
    <col min="13574" max="13574" width="15.84375" style="219" customWidth="1"/>
    <col min="13575" max="13575" width="1.4609375" style="219" customWidth="1"/>
    <col min="13576" max="13576" width="8.84375" style="219"/>
    <col min="13577" max="13577" width="35.3046875" style="219" customWidth="1"/>
    <col min="13578" max="13578" width="16.07421875" style="219" customWidth="1"/>
    <col min="13579" max="13579" width="9.07421875" style="219" bestFit="1" customWidth="1"/>
    <col min="13580" max="13580" width="10.07421875" style="219" bestFit="1" customWidth="1"/>
    <col min="13581" max="13581" width="10.84375" style="219" customWidth="1"/>
    <col min="13582" max="13825" width="8.84375" style="219"/>
    <col min="13826" max="13826" width="35.07421875" style="219" customWidth="1"/>
    <col min="13827" max="13827" width="15.69140625" style="219" customWidth="1"/>
    <col min="13828" max="13828" width="14.84375" style="219" bestFit="1" customWidth="1"/>
    <col min="13829" max="13829" width="1.69140625" style="219" customWidth="1"/>
    <col min="13830" max="13830" width="15.84375" style="219" customWidth="1"/>
    <col min="13831" max="13831" width="1.4609375" style="219" customWidth="1"/>
    <col min="13832" max="13832" width="8.84375" style="219"/>
    <col min="13833" max="13833" width="35.3046875" style="219" customWidth="1"/>
    <col min="13834" max="13834" width="16.07421875" style="219" customWidth="1"/>
    <col min="13835" max="13835" width="9.07421875" style="219" bestFit="1" customWidth="1"/>
    <col min="13836" max="13836" width="10.07421875" style="219" bestFit="1" customWidth="1"/>
    <col min="13837" max="13837" width="10.84375" style="219" customWidth="1"/>
    <col min="13838" max="14081" width="8.84375" style="219"/>
    <col min="14082" max="14082" width="35.07421875" style="219" customWidth="1"/>
    <col min="14083" max="14083" width="15.69140625" style="219" customWidth="1"/>
    <col min="14084" max="14084" width="14.84375" style="219" bestFit="1" customWidth="1"/>
    <col min="14085" max="14085" width="1.69140625" style="219" customWidth="1"/>
    <col min="14086" max="14086" width="15.84375" style="219" customWidth="1"/>
    <col min="14087" max="14087" width="1.4609375" style="219" customWidth="1"/>
    <col min="14088" max="14088" width="8.84375" style="219"/>
    <col min="14089" max="14089" width="35.3046875" style="219" customWidth="1"/>
    <col min="14090" max="14090" width="16.07421875" style="219" customWidth="1"/>
    <col min="14091" max="14091" width="9.07421875" style="219" bestFit="1" customWidth="1"/>
    <col min="14092" max="14092" width="10.07421875" style="219" bestFit="1" customWidth="1"/>
    <col min="14093" max="14093" width="10.84375" style="219" customWidth="1"/>
    <col min="14094" max="14337" width="8.84375" style="219"/>
    <col min="14338" max="14338" width="35.07421875" style="219" customWidth="1"/>
    <col min="14339" max="14339" width="15.69140625" style="219" customWidth="1"/>
    <col min="14340" max="14340" width="14.84375" style="219" bestFit="1" customWidth="1"/>
    <col min="14341" max="14341" width="1.69140625" style="219" customWidth="1"/>
    <col min="14342" max="14342" width="15.84375" style="219" customWidth="1"/>
    <col min="14343" max="14343" width="1.4609375" style="219" customWidth="1"/>
    <col min="14344" max="14344" width="8.84375" style="219"/>
    <col min="14345" max="14345" width="35.3046875" style="219" customWidth="1"/>
    <col min="14346" max="14346" width="16.07421875" style="219" customWidth="1"/>
    <col min="14347" max="14347" width="9.07421875" style="219" bestFit="1" customWidth="1"/>
    <col min="14348" max="14348" width="10.07421875" style="219" bestFit="1" customWidth="1"/>
    <col min="14349" max="14349" width="10.84375" style="219" customWidth="1"/>
    <col min="14350" max="14593" width="8.84375" style="219"/>
    <col min="14594" max="14594" width="35.07421875" style="219" customWidth="1"/>
    <col min="14595" max="14595" width="15.69140625" style="219" customWidth="1"/>
    <col min="14596" max="14596" width="14.84375" style="219" bestFit="1" customWidth="1"/>
    <col min="14597" max="14597" width="1.69140625" style="219" customWidth="1"/>
    <col min="14598" max="14598" width="15.84375" style="219" customWidth="1"/>
    <col min="14599" max="14599" width="1.4609375" style="219" customWidth="1"/>
    <col min="14600" max="14600" width="8.84375" style="219"/>
    <col min="14601" max="14601" width="35.3046875" style="219" customWidth="1"/>
    <col min="14602" max="14602" width="16.07421875" style="219" customWidth="1"/>
    <col min="14603" max="14603" width="9.07421875" style="219" bestFit="1" customWidth="1"/>
    <col min="14604" max="14604" width="10.07421875" style="219" bestFit="1" customWidth="1"/>
    <col min="14605" max="14605" width="10.84375" style="219" customWidth="1"/>
    <col min="14606" max="14849" width="8.84375" style="219"/>
    <col min="14850" max="14850" width="35.07421875" style="219" customWidth="1"/>
    <col min="14851" max="14851" width="15.69140625" style="219" customWidth="1"/>
    <col min="14852" max="14852" width="14.84375" style="219" bestFit="1" customWidth="1"/>
    <col min="14853" max="14853" width="1.69140625" style="219" customWidth="1"/>
    <col min="14854" max="14854" width="15.84375" style="219" customWidth="1"/>
    <col min="14855" max="14855" width="1.4609375" style="219" customWidth="1"/>
    <col min="14856" max="14856" width="8.84375" style="219"/>
    <col min="14857" max="14857" width="35.3046875" style="219" customWidth="1"/>
    <col min="14858" max="14858" width="16.07421875" style="219" customWidth="1"/>
    <col min="14859" max="14859" width="9.07421875" style="219" bestFit="1" customWidth="1"/>
    <col min="14860" max="14860" width="10.07421875" style="219" bestFit="1" customWidth="1"/>
    <col min="14861" max="14861" width="10.84375" style="219" customWidth="1"/>
    <col min="14862" max="15105" width="8.84375" style="219"/>
    <col min="15106" max="15106" width="35.07421875" style="219" customWidth="1"/>
    <col min="15107" max="15107" width="15.69140625" style="219" customWidth="1"/>
    <col min="15108" max="15108" width="14.84375" style="219" bestFit="1" customWidth="1"/>
    <col min="15109" max="15109" width="1.69140625" style="219" customWidth="1"/>
    <col min="15110" max="15110" width="15.84375" style="219" customWidth="1"/>
    <col min="15111" max="15111" width="1.4609375" style="219" customWidth="1"/>
    <col min="15112" max="15112" width="8.84375" style="219"/>
    <col min="15113" max="15113" width="35.3046875" style="219" customWidth="1"/>
    <col min="15114" max="15114" width="16.07421875" style="219" customWidth="1"/>
    <col min="15115" max="15115" width="9.07421875" style="219" bestFit="1" customWidth="1"/>
    <col min="15116" max="15116" width="10.07421875" style="219" bestFit="1" customWidth="1"/>
    <col min="15117" max="15117" width="10.84375" style="219" customWidth="1"/>
    <col min="15118" max="15361" width="8.84375" style="219"/>
    <col min="15362" max="15362" width="35.07421875" style="219" customWidth="1"/>
    <col min="15363" max="15363" width="15.69140625" style="219" customWidth="1"/>
    <col min="15364" max="15364" width="14.84375" style="219" bestFit="1" customWidth="1"/>
    <col min="15365" max="15365" width="1.69140625" style="219" customWidth="1"/>
    <col min="15366" max="15366" width="15.84375" style="219" customWidth="1"/>
    <col min="15367" max="15367" width="1.4609375" style="219" customWidth="1"/>
    <col min="15368" max="15368" width="8.84375" style="219"/>
    <col min="15369" max="15369" width="35.3046875" style="219" customWidth="1"/>
    <col min="15370" max="15370" width="16.07421875" style="219" customWidth="1"/>
    <col min="15371" max="15371" width="9.07421875" style="219" bestFit="1" customWidth="1"/>
    <col min="15372" max="15372" width="10.07421875" style="219" bestFit="1" customWidth="1"/>
    <col min="15373" max="15373" width="10.84375" style="219" customWidth="1"/>
    <col min="15374" max="15617" width="8.84375" style="219"/>
    <col min="15618" max="15618" width="35.07421875" style="219" customWidth="1"/>
    <col min="15619" max="15619" width="15.69140625" style="219" customWidth="1"/>
    <col min="15620" max="15620" width="14.84375" style="219" bestFit="1" customWidth="1"/>
    <col min="15621" max="15621" width="1.69140625" style="219" customWidth="1"/>
    <col min="15622" max="15622" width="15.84375" style="219" customWidth="1"/>
    <col min="15623" max="15623" width="1.4609375" style="219" customWidth="1"/>
    <col min="15624" max="15624" width="8.84375" style="219"/>
    <col min="15625" max="15625" width="35.3046875" style="219" customWidth="1"/>
    <col min="15626" max="15626" width="16.07421875" style="219" customWidth="1"/>
    <col min="15627" max="15627" width="9.07421875" style="219" bestFit="1" customWidth="1"/>
    <col min="15628" max="15628" width="10.07421875" style="219" bestFit="1" customWidth="1"/>
    <col min="15629" max="15629" width="10.84375" style="219" customWidth="1"/>
    <col min="15630" max="15873" width="8.84375" style="219"/>
    <col min="15874" max="15874" width="35.07421875" style="219" customWidth="1"/>
    <col min="15875" max="15875" width="15.69140625" style="219" customWidth="1"/>
    <col min="15876" max="15876" width="14.84375" style="219" bestFit="1" customWidth="1"/>
    <col min="15877" max="15877" width="1.69140625" style="219" customWidth="1"/>
    <col min="15878" max="15878" width="15.84375" style="219" customWidth="1"/>
    <col min="15879" max="15879" width="1.4609375" style="219" customWidth="1"/>
    <col min="15880" max="15880" width="8.84375" style="219"/>
    <col min="15881" max="15881" width="35.3046875" style="219" customWidth="1"/>
    <col min="15882" max="15882" width="16.07421875" style="219" customWidth="1"/>
    <col min="15883" max="15883" width="9.07421875" style="219" bestFit="1" customWidth="1"/>
    <col min="15884" max="15884" width="10.07421875" style="219" bestFit="1" customWidth="1"/>
    <col min="15885" max="15885" width="10.84375" style="219" customWidth="1"/>
    <col min="15886" max="16129" width="8.84375" style="219"/>
    <col min="16130" max="16130" width="35.07421875" style="219" customWidth="1"/>
    <col min="16131" max="16131" width="15.69140625" style="219" customWidth="1"/>
    <col min="16132" max="16132" width="14.84375" style="219" bestFit="1" customWidth="1"/>
    <col min="16133" max="16133" width="1.69140625" style="219" customWidth="1"/>
    <col min="16134" max="16134" width="15.84375" style="219" customWidth="1"/>
    <col min="16135" max="16135" width="1.4609375" style="219" customWidth="1"/>
    <col min="16136" max="16136" width="8.84375" style="219"/>
    <col min="16137" max="16137" width="35.3046875" style="219" customWidth="1"/>
    <col min="16138" max="16138" width="16.07421875" style="219" customWidth="1"/>
    <col min="16139" max="16139" width="9.07421875" style="219" bestFit="1" customWidth="1"/>
    <col min="16140" max="16140" width="10.07421875" style="219" bestFit="1" customWidth="1"/>
    <col min="16141" max="16141" width="10.84375" style="219" customWidth="1"/>
    <col min="16142" max="16384" width="8.84375" style="219"/>
  </cols>
  <sheetData>
    <row r="1" spans="1:8">
      <c r="A1" s="1265" t="s">
        <v>491</v>
      </c>
      <c r="B1" s="1265"/>
      <c r="C1" s="1265"/>
      <c r="D1" s="1265"/>
      <c r="E1" s="1265"/>
      <c r="F1" s="1265"/>
      <c r="G1" s="1265"/>
      <c r="H1" s="770"/>
    </row>
    <row r="2" spans="1:8">
      <c r="A2" s="1301" t="s">
        <v>732</v>
      </c>
      <c r="B2" s="1301"/>
      <c r="C2" s="1301"/>
      <c r="D2" s="1301"/>
      <c r="E2" s="1301"/>
      <c r="F2" s="1301"/>
      <c r="G2" s="1301"/>
      <c r="H2" s="772"/>
    </row>
    <row r="3" spans="1:8">
      <c r="A3" s="1302" t="str">
        <f>+'Attachment H-29A'!D5</f>
        <v>Transource Pennsylvania, LLC</v>
      </c>
      <c r="B3" s="1302"/>
      <c r="C3" s="1302"/>
      <c r="D3" s="1302"/>
      <c r="E3" s="1302"/>
      <c r="F3" s="1302"/>
      <c r="G3" s="1302"/>
      <c r="H3" s="773"/>
    </row>
    <row r="4" spans="1:8">
      <c r="A4" s="641"/>
      <c r="F4" s="642"/>
    </row>
    <row r="5" spans="1:8">
      <c r="A5" s="641"/>
    </row>
    <row r="6" spans="1:8">
      <c r="A6" s="641"/>
    </row>
    <row r="7" spans="1:8">
      <c r="A7" s="643"/>
      <c r="B7" s="644"/>
      <c r="C7" s="643"/>
      <c r="D7" s="669" t="s">
        <v>190</v>
      </c>
      <c r="E7" s="643"/>
      <c r="F7" s="669" t="s">
        <v>191</v>
      </c>
      <c r="G7" s="643"/>
    </row>
    <row r="8" spans="1:8">
      <c r="F8" s="645" t="s">
        <v>487</v>
      </c>
      <c r="G8" s="646"/>
    </row>
    <row r="9" spans="1:8">
      <c r="D9" s="647" t="s">
        <v>282</v>
      </c>
      <c r="F9" s="1088">
        <v>2024</v>
      </c>
    </row>
    <row r="10" spans="1:8">
      <c r="A10" s="647" t="s">
        <v>8</v>
      </c>
      <c r="D10" s="647" t="s">
        <v>488</v>
      </c>
      <c r="F10" s="647" t="s">
        <v>282</v>
      </c>
    </row>
    <row r="11" spans="1:8">
      <c r="A11" s="648" t="s">
        <v>10</v>
      </c>
      <c r="B11" s="649" t="s">
        <v>474</v>
      </c>
      <c r="C11" s="648" t="s">
        <v>199</v>
      </c>
      <c r="D11" s="648" t="s">
        <v>478</v>
      </c>
      <c r="F11" s="648" t="s">
        <v>305</v>
      </c>
    </row>
    <row r="12" spans="1:8">
      <c r="F12" s="648"/>
    </row>
    <row r="13" spans="1:8">
      <c r="A13" s="650">
        <v>1</v>
      </c>
      <c r="B13" s="651" t="s">
        <v>492</v>
      </c>
      <c r="D13" s="652"/>
      <c r="E13" s="254"/>
      <c r="F13" s="1178">
        <v>0</v>
      </c>
    </row>
    <row r="14" spans="1:8">
      <c r="A14" s="650">
        <f>+A13+1</f>
        <v>2</v>
      </c>
      <c r="B14" s="219" t="s">
        <v>642</v>
      </c>
      <c r="D14" s="652"/>
      <c r="E14" s="254"/>
      <c r="F14" s="1178">
        <v>0</v>
      </c>
    </row>
    <row r="15" spans="1:8">
      <c r="A15" s="650">
        <f t="shared" ref="A15:A30" si="0">+A14+1</f>
        <v>3</v>
      </c>
      <c r="D15" s="652"/>
      <c r="E15" s="652"/>
      <c r="F15" s="1146"/>
    </row>
    <row r="16" spans="1:8" ht="21.65" customHeight="1">
      <c r="A16" s="650">
        <f t="shared" si="0"/>
        <v>4</v>
      </c>
      <c r="B16" s="1089" t="s">
        <v>1002</v>
      </c>
      <c r="D16" s="1186"/>
      <c r="E16" s="254"/>
      <c r="F16" s="1194">
        <v>0</v>
      </c>
    </row>
    <row r="17" spans="1:14">
      <c r="A17" s="650">
        <f t="shared" si="0"/>
        <v>5</v>
      </c>
      <c r="B17" s="1089" t="s">
        <v>493</v>
      </c>
      <c r="D17" s="1186"/>
      <c r="E17" s="254"/>
      <c r="F17" s="1178">
        <v>0</v>
      </c>
    </row>
    <row r="18" spans="1:14">
      <c r="A18" s="650">
        <f t="shared" si="0"/>
        <v>6</v>
      </c>
      <c r="D18" s="1186"/>
      <c r="E18" s="254"/>
      <c r="F18" s="1195"/>
    </row>
    <row r="19" spans="1:14">
      <c r="A19" s="650">
        <f t="shared" si="0"/>
        <v>7</v>
      </c>
      <c r="B19" s="219" t="s">
        <v>494</v>
      </c>
      <c r="C19" s="219" t="s">
        <v>644</v>
      </c>
      <c r="D19"/>
      <c r="E19" s="254"/>
      <c r="F19" s="1196">
        <f>+F16+F17</f>
        <v>0</v>
      </c>
    </row>
    <row r="20" spans="1:14">
      <c r="A20" s="650">
        <f t="shared" si="0"/>
        <v>8</v>
      </c>
      <c r="D20" s="254"/>
      <c r="E20" s="254"/>
      <c r="F20" s="254"/>
      <c r="I20" s="654"/>
      <c r="J20" s="655"/>
      <c r="K20" s="655"/>
      <c r="L20" s="655"/>
      <c r="M20" s="655"/>
      <c r="N20" s="655"/>
    </row>
    <row r="21" spans="1:14">
      <c r="A21" s="650">
        <f t="shared" si="0"/>
        <v>9</v>
      </c>
      <c r="B21" s="219" t="s">
        <v>489</v>
      </c>
      <c r="C21" s="219" t="s">
        <v>645</v>
      </c>
      <c r="D21" s="254"/>
      <c r="E21" s="254"/>
      <c r="F21" s="1195">
        <f>+F14+F19</f>
        <v>0</v>
      </c>
    </row>
    <row r="22" spans="1:14">
      <c r="A22" s="650">
        <f t="shared" si="0"/>
        <v>10</v>
      </c>
      <c r="D22" s="254"/>
      <c r="E22" s="254"/>
      <c r="F22" s="254"/>
    </row>
    <row r="23" spans="1:14">
      <c r="A23" s="650">
        <f t="shared" si="0"/>
        <v>11</v>
      </c>
      <c r="D23" s="254"/>
      <c r="E23" s="254"/>
      <c r="F23" s="254"/>
    </row>
    <row r="24" spans="1:14">
      <c r="A24" s="650">
        <f t="shared" si="0"/>
        <v>12</v>
      </c>
      <c r="B24" s="219" t="s">
        <v>494</v>
      </c>
      <c r="C24" s="219" t="s">
        <v>643</v>
      </c>
      <c r="D24" s="254"/>
      <c r="E24" s="254"/>
      <c r="F24" s="1195">
        <f>+F19</f>
        <v>0</v>
      </c>
    </row>
    <row r="25" spans="1:14">
      <c r="A25" s="650">
        <f t="shared" si="0"/>
        <v>13</v>
      </c>
    </row>
    <row r="26" spans="1:14">
      <c r="A26" s="650">
        <f t="shared" si="0"/>
        <v>14</v>
      </c>
      <c r="B26" s="219" t="s">
        <v>651</v>
      </c>
      <c r="C26" s="219" t="s">
        <v>295</v>
      </c>
      <c r="F26" s="828">
        <v>3.0124999999999987E-3</v>
      </c>
    </row>
    <row r="27" spans="1:14">
      <c r="A27" s="650">
        <f t="shared" si="0"/>
        <v>15</v>
      </c>
      <c r="B27" s="219" t="s">
        <v>649</v>
      </c>
      <c r="C27" s="219" t="s">
        <v>296</v>
      </c>
      <c r="F27" s="827">
        <v>42</v>
      </c>
    </row>
    <row r="28" spans="1:14">
      <c r="A28" s="650">
        <f t="shared" si="0"/>
        <v>16</v>
      </c>
      <c r="B28" s="219" t="s">
        <v>495</v>
      </c>
      <c r="C28" s="219" t="s">
        <v>650</v>
      </c>
      <c r="F28" s="1196">
        <f>+F24*F26*F27</f>
        <v>0</v>
      </c>
    </row>
    <row r="29" spans="1:14">
      <c r="A29" s="650">
        <f t="shared" si="0"/>
        <v>17</v>
      </c>
      <c r="F29" s="1197"/>
    </row>
    <row r="30" spans="1:14">
      <c r="A30" s="650">
        <f t="shared" si="0"/>
        <v>18</v>
      </c>
      <c r="B30" s="655" t="s">
        <v>646</v>
      </c>
      <c r="C30" s="655" t="s">
        <v>647</v>
      </c>
      <c r="D30" s="655"/>
      <c r="E30" s="655"/>
      <c r="F30" s="1195">
        <f>+F24+F28</f>
        <v>0</v>
      </c>
      <c r="G30" s="655"/>
    </row>
    <row r="31" spans="1:14">
      <c r="A31" s="650"/>
      <c r="B31" s="655"/>
      <c r="C31" s="655"/>
      <c r="D31" s="655"/>
      <c r="E31" s="655"/>
      <c r="F31" s="655"/>
      <c r="G31" s="655"/>
    </row>
    <row r="33" spans="1:8">
      <c r="A33" s="671" t="s">
        <v>176</v>
      </c>
    </row>
    <row r="34" spans="1:8" ht="56.25" customHeight="1">
      <c r="A34" s="672" t="s">
        <v>62</v>
      </c>
      <c r="B34" s="1303" t="s">
        <v>641</v>
      </c>
      <c r="C34" s="1303"/>
      <c r="D34" s="1303"/>
      <c r="E34" s="1303"/>
      <c r="F34" s="1303"/>
      <c r="G34" s="762"/>
      <c r="H34" s="762"/>
    </row>
    <row r="35" spans="1:8" ht="86.25" customHeight="1">
      <c r="A35" s="672" t="s">
        <v>63</v>
      </c>
      <c r="B35" s="1303" t="s">
        <v>648</v>
      </c>
      <c r="C35" s="1303"/>
      <c r="D35" s="1303"/>
      <c r="E35" s="1303"/>
      <c r="F35" s="1303"/>
      <c r="G35" s="762"/>
      <c r="H35" s="762"/>
    </row>
    <row r="36" spans="1:8">
      <c r="A36" s="670"/>
    </row>
  </sheetData>
  <customSheetViews>
    <customSheetView guid="{F1DC5514-577A-46EB-866C-26F0BED2C286}" scale="70" showPageBreaks="1" fitToPage="1" printArea="1" view="pageBreakPreview">
      <selection sqref="A1:G1"/>
      <pageMargins left="1" right="0.7" top="1" bottom="0.75" header="0.3" footer="0.3"/>
      <pageSetup scale="74" orientation="landscape" r:id="rId1"/>
    </customSheetView>
    <customSheetView guid="{63AFAF34-E340-4B5E-A289-FFB7051CA9B6}" scale="80" showPageBreaks="1" fitToPage="1" printArea="1">
      <selection activeCell="I26" sqref="I26"/>
      <pageMargins left="1" right="0.7" top="1" bottom="0.75" header="0.3" footer="0.3"/>
      <pageSetup scale="66" orientation="portrait" r:id="rId2"/>
    </customSheetView>
  </customSheetViews>
  <mergeCells count="5">
    <mergeCell ref="B34:F34"/>
    <mergeCell ref="B35:F35"/>
    <mergeCell ref="A1:G1"/>
    <mergeCell ref="A2:G2"/>
    <mergeCell ref="A3:G3"/>
  </mergeCells>
  <pageMargins left="1" right="0.7" top="1" bottom="0.75" header="0.3" footer="0.3"/>
  <pageSetup scale="70"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55"/>
  <sheetViews>
    <sheetView view="pageBreakPreview" zoomScaleNormal="100" zoomScaleSheetLayoutView="100" workbookViewId="0">
      <selection activeCell="D92" sqref="D92"/>
    </sheetView>
  </sheetViews>
  <sheetFormatPr defaultColWidth="8.84375" defaultRowHeight="15.5"/>
  <cols>
    <col min="1" max="1" width="7.3046875" style="334" customWidth="1"/>
    <col min="2" max="2" width="45.69140625" style="334" customWidth="1"/>
    <col min="3" max="3" width="17" style="334" customWidth="1"/>
    <col min="4" max="4" width="11.69140625" style="334" customWidth="1"/>
    <col min="5" max="5" width="10.84375" style="738" bestFit="1" customWidth="1"/>
    <col min="6" max="6" width="10.4609375" style="334" customWidth="1"/>
    <col min="7" max="16384" width="8.84375" style="334"/>
  </cols>
  <sheetData>
    <row r="1" spans="1:9" ht="13">
      <c r="A1" s="1265" t="s">
        <v>673</v>
      </c>
      <c r="B1" s="1265"/>
      <c r="C1" s="1265"/>
      <c r="D1" s="1265"/>
      <c r="E1" s="1265"/>
      <c r="F1" s="1265"/>
      <c r="G1" s="1265"/>
      <c r="H1" s="391"/>
      <c r="I1" s="391"/>
    </row>
    <row r="2" spans="1:9" ht="13">
      <c r="A2" s="1301" t="s">
        <v>674</v>
      </c>
      <c r="B2" s="1301"/>
      <c r="C2" s="1301"/>
      <c r="D2" s="1301"/>
      <c r="E2" s="1301"/>
      <c r="F2" s="1301"/>
      <c r="G2" s="1301"/>
      <c r="H2" s="678"/>
      <c r="I2" s="678"/>
    </row>
    <row r="3" spans="1:9" ht="13">
      <c r="A3" s="1302" t="str">
        <f>+'Attachment H-29A'!D5</f>
        <v>Transource Pennsylvania, LLC</v>
      </c>
      <c r="B3" s="1302"/>
      <c r="C3" s="1302"/>
      <c r="D3" s="1302"/>
      <c r="E3" s="1302"/>
      <c r="F3" s="1302"/>
      <c r="G3" s="1302"/>
      <c r="H3" s="354"/>
      <c r="I3" s="354"/>
    </row>
    <row r="4" spans="1:9" ht="13">
      <c r="A4" s="677"/>
      <c r="B4" s="677"/>
      <c r="C4" s="677"/>
      <c r="D4" s="677"/>
      <c r="E4" s="677"/>
      <c r="F4" s="677"/>
      <c r="G4" s="677"/>
      <c r="H4" s="354"/>
      <c r="I4" s="354"/>
    </row>
    <row r="5" spans="1:9">
      <c r="A5" s="722"/>
      <c r="D5" s="723"/>
      <c r="E5" s="724"/>
      <c r="F5" s="722"/>
      <c r="H5" s="725"/>
    </row>
    <row r="6" spans="1:9" ht="13">
      <c r="A6" s="675" t="s">
        <v>148</v>
      </c>
      <c r="B6" s="532" t="s">
        <v>687</v>
      </c>
      <c r="C6" s="532"/>
      <c r="D6" s="210" t="s">
        <v>190</v>
      </c>
      <c r="E6" s="210" t="s">
        <v>191</v>
      </c>
      <c r="F6" s="363" t="s">
        <v>685</v>
      </c>
      <c r="G6" s="726"/>
      <c r="H6" s="726"/>
      <c r="I6" s="726"/>
    </row>
    <row r="7" spans="1:9" ht="26">
      <c r="A7" s="333">
        <v>1</v>
      </c>
      <c r="B7" s="727" t="s">
        <v>666</v>
      </c>
      <c r="C7" s="382" t="s">
        <v>199</v>
      </c>
      <c r="D7" s="741" t="s">
        <v>18</v>
      </c>
      <c r="E7" s="362" t="s">
        <v>684</v>
      </c>
      <c r="F7" s="362" t="s">
        <v>683</v>
      </c>
    </row>
    <row r="8" spans="1:9" ht="13">
      <c r="A8" s="333">
        <f t="shared" ref="A8:A14" si="0">+A7+1</f>
        <v>2</v>
      </c>
      <c r="B8" s="320" t="s">
        <v>668</v>
      </c>
      <c r="C8" s="320" t="s">
        <v>676</v>
      </c>
      <c r="D8" s="1179">
        <v>0</v>
      </c>
      <c r="E8" s="1179">
        <v>0</v>
      </c>
      <c r="F8" s="1180">
        <f>+D8-E8</f>
        <v>0</v>
      </c>
    </row>
    <row r="9" spans="1:9" ht="13">
      <c r="A9" s="333">
        <f t="shared" si="0"/>
        <v>3</v>
      </c>
      <c r="B9" s="320" t="s">
        <v>669</v>
      </c>
      <c r="C9" s="320" t="s">
        <v>676</v>
      </c>
      <c r="D9" s="1179">
        <v>0</v>
      </c>
      <c r="E9" s="1179">
        <v>0</v>
      </c>
      <c r="F9" s="1180">
        <f t="shared" ref="F9:F14" si="1">+D9-E9</f>
        <v>0</v>
      </c>
    </row>
    <row r="10" spans="1:9" ht="13">
      <c r="A10" s="333">
        <f t="shared" si="0"/>
        <v>4</v>
      </c>
      <c r="B10" s="320" t="s">
        <v>670</v>
      </c>
      <c r="C10" s="320" t="s">
        <v>676</v>
      </c>
      <c r="D10" s="1179">
        <v>0</v>
      </c>
      <c r="E10" s="1179">
        <v>0</v>
      </c>
      <c r="F10" s="1180">
        <f t="shared" si="1"/>
        <v>0</v>
      </c>
    </row>
    <row r="11" spans="1:9" ht="13">
      <c r="A11" s="333">
        <f t="shared" si="0"/>
        <v>5</v>
      </c>
      <c r="B11" s="320" t="s">
        <v>671</v>
      </c>
      <c r="C11" s="320" t="s">
        <v>676</v>
      </c>
      <c r="D11" s="1179">
        <v>0</v>
      </c>
      <c r="E11" s="1179">
        <v>0</v>
      </c>
      <c r="F11" s="1180">
        <f t="shared" si="1"/>
        <v>0</v>
      </c>
    </row>
    <row r="12" spans="1:9" ht="13">
      <c r="A12" s="333">
        <f t="shared" si="0"/>
        <v>6</v>
      </c>
      <c r="B12" s="320" t="s">
        <v>672</v>
      </c>
      <c r="C12" s="320" t="s">
        <v>676</v>
      </c>
      <c r="D12" s="1181">
        <v>0</v>
      </c>
      <c r="E12" s="1181">
        <v>0</v>
      </c>
      <c r="F12" s="1180">
        <f t="shared" si="1"/>
        <v>0</v>
      </c>
    </row>
    <row r="13" spans="1:9" ht="13">
      <c r="A13" s="333">
        <f t="shared" si="0"/>
        <v>7</v>
      </c>
      <c r="B13" s="320" t="s">
        <v>672</v>
      </c>
      <c r="C13" s="320" t="s">
        <v>676</v>
      </c>
      <c r="D13" s="1181">
        <v>0</v>
      </c>
      <c r="E13" s="1181">
        <v>0</v>
      </c>
      <c r="F13" s="1180">
        <f t="shared" si="1"/>
        <v>0</v>
      </c>
    </row>
    <row r="14" spans="1:9" ht="13">
      <c r="A14" s="333">
        <f t="shared" si="0"/>
        <v>8</v>
      </c>
      <c r="B14" s="730" t="s">
        <v>682</v>
      </c>
      <c r="C14" s="320" t="s">
        <v>680</v>
      </c>
      <c r="D14" s="1182">
        <f>+SUM(D8:D13)</f>
        <v>0</v>
      </c>
      <c r="E14" s="1182">
        <f>+SUM(E8:E13)</f>
        <v>0</v>
      </c>
      <c r="F14" s="1183">
        <f t="shared" si="1"/>
        <v>0</v>
      </c>
    </row>
    <row r="15" spans="1:9" ht="13">
      <c r="A15" s="333"/>
      <c r="B15" s="730"/>
      <c r="C15" s="730"/>
      <c r="D15" s="732"/>
      <c r="E15" s="732"/>
    </row>
    <row r="16" spans="1:9" ht="13">
      <c r="A16" s="333"/>
      <c r="B16" s="730"/>
      <c r="C16" s="730"/>
      <c r="D16" s="732"/>
      <c r="E16" s="732"/>
    </row>
    <row r="17" spans="1:7" ht="13">
      <c r="A17" s="333"/>
      <c r="B17" s="730"/>
      <c r="C17" s="730"/>
      <c r="D17" s="732"/>
      <c r="E17" s="732"/>
    </row>
    <row r="18" spans="1:7" ht="13">
      <c r="A18" s="289"/>
      <c r="B18" s="730" t="s">
        <v>794</v>
      </c>
      <c r="C18" s="728"/>
      <c r="D18" s="729"/>
      <c r="E18" s="334"/>
    </row>
    <row r="19" spans="1:7" ht="13">
      <c r="A19" s="333">
        <f>+A14+1</f>
        <v>9</v>
      </c>
      <c r="B19" s="320" t="s">
        <v>404</v>
      </c>
      <c r="C19" s="320" t="s">
        <v>676</v>
      </c>
      <c r="D19" s="1179">
        <v>0</v>
      </c>
      <c r="E19" s="1179">
        <v>0</v>
      </c>
      <c r="F19" s="1180">
        <f t="shared" ref="F19" si="2">+D19-E19</f>
        <v>0</v>
      </c>
    </row>
    <row r="20" spans="1:7" ht="13">
      <c r="A20" s="333">
        <f>+A19+1</f>
        <v>10</v>
      </c>
      <c r="B20" s="320" t="s">
        <v>404</v>
      </c>
      <c r="C20" s="320" t="s">
        <v>676</v>
      </c>
      <c r="D20" s="1179">
        <v>0</v>
      </c>
      <c r="E20" s="1179">
        <v>0</v>
      </c>
      <c r="F20" s="1180">
        <f t="shared" ref="F20:F21" si="3">+D20-E20</f>
        <v>0</v>
      </c>
    </row>
    <row r="21" spans="1:7" ht="13">
      <c r="A21" s="333">
        <f t="shared" ref="A21" si="4">+A20+1</f>
        <v>11</v>
      </c>
      <c r="B21" s="730" t="s">
        <v>798</v>
      </c>
      <c r="C21" s="320" t="s">
        <v>795</v>
      </c>
      <c r="D21" s="1182">
        <f>+SUM(D19:D20)</f>
        <v>0</v>
      </c>
      <c r="E21" s="1182">
        <f>+SUM(E19:E20)</f>
        <v>0</v>
      </c>
      <c r="F21" s="1183">
        <f t="shared" si="3"/>
        <v>0</v>
      </c>
    </row>
    <row r="22" spans="1:7" ht="13">
      <c r="A22" s="333"/>
      <c r="B22" s="730"/>
      <c r="C22" s="320"/>
      <c r="D22" s="732"/>
      <c r="E22" s="732"/>
      <c r="F22" s="805"/>
    </row>
    <row r="23" spans="1:7" ht="13">
      <c r="A23" s="289"/>
      <c r="B23" s="730" t="s">
        <v>796</v>
      </c>
      <c r="C23" s="728"/>
      <c r="D23" s="729"/>
      <c r="E23" s="334"/>
    </row>
    <row r="24" spans="1:7" ht="13">
      <c r="A24" s="333">
        <f>+A21+1</f>
        <v>12</v>
      </c>
      <c r="B24" s="320" t="s">
        <v>678</v>
      </c>
      <c r="C24" s="320" t="s">
        <v>676</v>
      </c>
      <c r="D24" s="1179">
        <v>0</v>
      </c>
      <c r="E24" s="1179">
        <v>0</v>
      </c>
      <c r="F24" s="1180">
        <f t="shared" ref="F24:F32" si="5">+D24-E24</f>
        <v>0</v>
      </c>
    </row>
    <row r="25" spans="1:7" ht="13">
      <c r="A25" s="333">
        <f t="shared" ref="A25:A32" si="6">+A24+1</f>
        <v>13</v>
      </c>
      <c r="B25" s="320" t="s">
        <v>679</v>
      </c>
      <c r="C25" s="320" t="s">
        <v>676</v>
      </c>
      <c r="D25" s="1179">
        <v>0</v>
      </c>
      <c r="E25" s="1179">
        <v>0</v>
      </c>
      <c r="F25" s="1180">
        <f t="shared" si="5"/>
        <v>0</v>
      </c>
    </row>
    <row r="26" spans="1:7" ht="13">
      <c r="A26" s="333">
        <f t="shared" si="6"/>
        <v>14</v>
      </c>
      <c r="B26" s="320" t="s">
        <v>677</v>
      </c>
      <c r="C26" s="320" t="s">
        <v>676</v>
      </c>
      <c r="D26" s="1179">
        <v>2992898.4400000004</v>
      </c>
      <c r="E26" s="1179">
        <v>0</v>
      </c>
      <c r="F26" s="1180">
        <f t="shared" si="5"/>
        <v>2992898.4400000004</v>
      </c>
    </row>
    <row r="27" spans="1:7" ht="13">
      <c r="A27" s="333">
        <f t="shared" si="6"/>
        <v>15</v>
      </c>
      <c r="B27" s="320" t="s">
        <v>686</v>
      </c>
      <c r="C27" s="320" t="s">
        <v>676</v>
      </c>
      <c r="D27" s="1179">
        <v>8313784.9699999997</v>
      </c>
      <c r="E27" s="1179">
        <v>0</v>
      </c>
      <c r="F27" s="1180">
        <f t="shared" si="5"/>
        <v>8313784.9699999997</v>
      </c>
    </row>
    <row r="28" spans="1:7" ht="13">
      <c r="A28" s="333">
        <f t="shared" si="6"/>
        <v>16</v>
      </c>
      <c r="B28" s="320" t="s">
        <v>404</v>
      </c>
      <c r="C28" s="320" t="s">
        <v>676</v>
      </c>
      <c r="D28" s="1181">
        <v>0</v>
      </c>
      <c r="E28" s="1181">
        <v>0</v>
      </c>
      <c r="F28" s="1180">
        <f t="shared" si="5"/>
        <v>0</v>
      </c>
    </row>
    <row r="29" spans="1:7" ht="13">
      <c r="A29" s="333">
        <f t="shared" si="6"/>
        <v>17</v>
      </c>
      <c r="B29" s="320" t="s">
        <v>689</v>
      </c>
      <c r="C29" s="320" t="s">
        <v>681</v>
      </c>
      <c r="D29" s="1182">
        <f>+SUM(D24:D28)</f>
        <v>11306683.41</v>
      </c>
      <c r="E29" s="1182">
        <f>+SUM(E24:E28)</f>
        <v>0</v>
      </c>
      <c r="F29" s="1183">
        <f t="shared" si="5"/>
        <v>11306683.41</v>
      </c>
      <c r="G29" s="560"/>
    </row>
    <row r="30" spans="1:7" ht="13">
      <c r="A30" s="333">
        <f t="shared" si="6"/>
        <v>18</v>
      </c>
      <c r="B30" s="320" t="s">
        <v>688</v>
      </c>
      <c r="C30" s="320" t="s">
        <v>676</v>
      </c>
      <c r="D30" s="731">
        <f>D27</f>
        <v>8313784.9699999997</v>
      </c>
      <c r="E30" s="731"/>
      <c r="F30" s="740">
        <f t="shared" si="5"/>
        <v>8313784.9699999997</v>
      </c>
    </row>
    <row r="31" spans="1:7" ht="13">
      <c r="A31" s="333">
        <f t="shared" si="6"/>
        <v>19</v>
      </c>
      <c r="B31" s="320" t="s">
        <v>691</v>
      </c>
      <c r="C31" s="320" t="s">
        <v>676</v>
      </c>
      <c r="D31" s="731">
        <f>D26</f>
        <v>2992898.4400000004</v>
      </c>
      <c r="E31" s="731"/>
      <c r="F31" s="740">
        <f t="shared" si="5"/>
        <v>2992898.4400000004</v>
      </c>
    </row>
    <row r="32" spans="1:7" ht="13">
      <c r="A32" s="333">
        <f t="shared" si="6"/>
        <v>20</v>
      </c>
      <c r="B32" s="730" t="s">
        <v>690</v>
      </c>
      <c r="C32" s="509" t="str">
        <f>"(Line "&amp;A29&amp;" - line "&amp;A30&amp;" - line "&amp;A31&amp;")"</f>
        <v>(Line 17 - line 18 - line 19)</v>
      </c>
      <c r="D32" s="1182">
        <f>+D29-D30-D31</f>
        <v>0</v>
      </c>
      <c r="E32" s="1182">
        <f>+E29-E30-E31</f>
        <v>0</v>
      </c>
      <c r="F32" s="1183">
        <f t="shared" si="5"/>
        <v>0</v>
      </c>
    </row>
    <row r="33" spans="1:9" ht="13">
      <c r="A33" s="333"/>
      <c r="B33" s="730"/>
      <c r="C33" s="730"/>
      <c r="D33" s="1184"/>
      <c r="E33" s="1184"/>
      <c r="F33" s="1180"/>
    </row>
    <row r="34" spans="1:9" ht="13">
      <c r="A34" s="676">
        <f>+A32+1</f>
        <v>21</v>
      </c>
      <c r="B34" s="742" t="s">
        <v>797</v>
      </c>
      <c r="C34" s="509" t="str">
        <f>"(Line "&amp;A21&amp;" + line "&amp;A32&amp;")"</f>
        <v>(Line 11 + line 20)</v>
      </c>
      <c r="D34" s="1185">
        <f>+D21+D32</f>
        <v>0</v>
      </c>
      <c r="E34" s="1185">
        <f>+E21+E32</f>
        <v>0</v>
      </c>
      <c r="F34" s="1185">
        <f>+F21+F32</f>
        <v>0</v>
      </c>
    </row>
    <row r="35" spans="1:9" ht="14.25" customHeight="1">
      <c r="A35" s="320"/>
      <c r="B35" s="320"/>
      <c r="C35" s="320"/>
      <c r="E35" s="739"/>
      <c r="F35" s="333"/>
    </row>
    <row r="36" spans="1:9" s="735" customFormat="1" ht="13">
      <c r="A36" s="320"/>
      <c r="B36" s="320"/>
      <c r="C36" s="320"/>
      <c r="D36" s="320"/>
      <c r="E36" s="734"/>
      <c r="F36" s="732"/>
    </row>
    <row r="37" spans="1:9" ht="41.25" customHeight="1">
      <c r="A37" s="736" t="s">
        <v>667</v>
      </c>
      <c r="B37" s="1295" t="s">
        <v>799</v>
      </c>
      <c r="C37" s="1295"/>
      <c r="D37" s="1295"/>
      <c r="E37" s="1295"/>
      <c r="F37" s="1295"/>
      <c r="G37" s="1295"/>
    </row>
    <row r="38" spans="1:9" ht="13">
      <c r="A38" s="532"/>
      <c r="B38" s="532"/>
      <c r="C38" s="532"/>
      <c r="D38" s="532"/>
      <c r="E38" s="532"/>
      <c r="F38" s="532"/>
      <c r="G38" s="532"/>
      <c r="H38" s="532"/>
      <c r="I38" s="532"/>
    </row>
    <row r="42" spans="1:9" ht="13">
      <c r="A42" s="333"/>
      <c r="B42" s="320"/>
      <c r="C42" s="320"/>
      <c r="D42" s="737"/>
      <c r="E42" s="334"/>
    </row>
    <row r="113" spans="5:5">
      <c r="E113" s="219"/>
    </row>
    <row r="232" spans="4:8">
      <c r="D232" s="733"/>
      <c r="F232" s="733"/>
      <c r="G232" s="733"/>
      <c r="H232" s="733"/>
    </row>
    <row r="233" spans="4:8" ht="99.75" customHeight="1">
      <c r="D233" s="733"/>
      <c r="F233" s="733"/>
      <c r="G233" s="733"/>
      <c r="H233" s="733"/>
    </row>
    <row r="234" spans="4:8">
      <c r="D234" s="733"/>
      <c r="F234" s="733"/>
      <c r="G234" s="733"/>
      <c r="H234" s="733"/>
    </row>
    <row r="235" spans="4:8">
      <c r="D235" s="733"/>
      <c r="F235" s="733"/>
      <c r="G235" s="733"/>
      <c r="H235" s="733"/>
    </row>
    <row r="236" spans="4:8">
      <c r="D236" s="733"/>
      <c r="F236" s="733"/>
      <c r="G236" s="733"/>
      <c r="H236" s="733"/>
    </row>
    <row r="237" spans="4:8">
      <c r="D237" s="733"/>
      <c r="F237" s="733"/>
      <c r="G237" s="733"/>
      <c r="H237" s="733"/>
    </row>
    <row r="238" spans="4:8">
      <c r="D238" s="733"/>
      <c r="F238" s="733"/>
      <c r="G238" s="733"/>
      <c r="H238" s="733"/>
    </row>
    <row r="239" spans="4:8">
      <c r="D239" s="733"/>
      <c r="F239" s="733"/>
      <c r="G239" s="733"/>
      <c r="H239" s="733"/>
    </row>
    <row r="240" spans="4:8">
      <c r="D240" s="733"/>
      <c r="F240" s="733"/>
      <c r="G240" s="733"/>
      <c r="H240" s="733"/>
    </row>
    <row r="241" spans="4:8">
      <c r="D241" s="733"/>
      <c r="F241" s="733"/>
      <c r="G241" s="733"/>
      <c r="H241" s="733"/>
    </row>
    <row r="242" spans="4:8">
      <c r="D242" s="733"/>
      <c r="F242" s="733"/>
      <c r="G242" s="733"/>
      <c r="H242" s="733"/>
    </row>
    <row r="243" spans="4:8">
      <c r="D243" s="733"/>
      <c r="F243" s="733"/>
      <c r="G243" s="733"/>
      <c r="H243" s="733"/>
    </row>
    <row r="244" spans="4:8">
      <c r="D244" s="733"/>
      <c r="F244" s="733"/>
      <c r="G244" s="733"/>
      <c r="H244" s="733"/>
    </row>
    <row r="245" spans="4:8">
      <c r="D245" s="733"/>
      <c r="F245" s="733"/>
      <c r="G245" s="733"/>
      <c r="H245" s="733"/>
    </row>
    <row r="246" spans="4:8">
      <c r="D246" s="733"/>
      <c r="F246" s="733"/>
      <c r="G246" s="733"/>
      <c r="H246" s="733"/>
    </row>
    <row r="247" spans="4:8">
      <c r="D247" s="733"/>
      <c r="F247" s="733"/>
      <c r="G247" s="733"/>
      <c r="H247" s="733"/>
    </row>
    <row r="248" spans="4:8">
      <c r="D248" s="733"/>
      <c r="F248" s="733"/>
      <c r="G248" s="733"/>
      <c r="H248" s="733"/>
    </row>
    <row r="249" spans="4:8">
      <c r="D249" s="733"/>
      <c r="F249" s="733"/>
      <c r="G249" s="733"/>
      <c r="H249" s="733"/>
    </row>
    <row r="250" spans="4:8">
      <c r="D250" s="733"/>
      <c r="F250" s="733"/>
      <c r="G250" s="733"/>
      <c r="H250" s="733"/>
    </row>
    <row r="251" spans="4:8">
      <c r="D251" s="733"/>
      <c r="F251" s="733"/>
      <c r="G251" s="733"/>
      <c r="H251" s="733"/>
    </row>
    <row r="252" spans="4:8">
      <c r="D252" s="733"/>
      <c r="F252" s="733"/>
      <c r="G252" s="733"/>
      <c r="H252" s="733"/>
    </row>
    <row r="253" spans="4:8">
      <c r="D253" s="733"/>
      <c r="F253" s="733"/>
      <c r="G253" s="733"/>
      <c r="H253" s="733"/>
    </row>
    <row r="254" spans="4:8" ht="40.5" customHeight="1">
      <c r="D254" s="733"/>
      <c r="F254" s="733"/>
      <c r="G254" s="733"/>
      <c r="H254" s="733"/>
    </row>
    <row r="255" spans="4:8">
      <c r="D255" s="733"/>
      <c r="F255" s="733"/>
      <c r="G255" s="733"/>
      <c r="H255" s="733"/>
    </row>
  </sheetData>
  <customSheetViews>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1"/>
      <headerFooter alignWithMargins="0"/>
    </customSheetView>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2"/>
      <headerFooter alignWithMargins="0"/>
    </customSheetView>
  </customSheetViews>
  <mergeCells count="4">
    <mergeCell ref="B37:G37"/>
    <mergeCell ref="A1:G1"/>
    <mergeCell ref="A2:G2"/>
    <mergeCell ref="A3:G3"/>
  </mergeCells>
  <pageMargins left="0.75" right="0.75" top="1.28" bottom="1" header="0.5" footer="0.5"/>
  <pageSetup scale="78" orientation="landscape" r:id="rId3"/>
  <headerFooter alignWithMargins="0"/>
  <rowBreaks count="1" manualBreakCount="1">
    <brk id="5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85" zoomScaleNormal="100" zoomScaleSheetLayoutView="85" workbookViewId="0">
      <selection activeCell="F60" sqref="F60"/>
    </sheetView>
  </sheetViews>
  <sheetFormatPr defaultColWidth="8.84375" defaultRowHeight="13"/>
  <cols>
    <col min="1" max="1" width="6" style="23" customWidth="1"/>
    <col min="2" max="2" width="1.4609375" style="23" customWidth="1"/>
    <col min="3" max="3" width="13.4609375" style="23" customWidth="1"/>
    <col min="4" max="4" width="13.53515625" style="507" customWidth="1"/>
    <col min="5" max="5" width="24.69140625" style="23" customWidth="1"/>
    <col min="6" max="6" width="17.07421875" style="23" customWidth="1"/>
    <col min="7" max="7" width="10.3046875" style="23" customWidth="1"/>
    <col min="8" max="8" width="11.4609375" style="23" customWidth="1"/>
    <col min="9" max="9" width="11.07421875" style="23" bestFit="1" customWidth="1"/>
    <col min="10" max="10" width="9.07421875" style="23" customWidth="1"/>
    <col min="11" max="11" width="10.3046875" style="23" customWidth="1"/>
    <col min="12" max="12" width="5.84375" style="395" customWidth="1"/>
    <col min="13" max="13" width="13.53515625" style="23" customWidth="1"/>
    <col min="14" max="14" width="12.53515625" style="23" customWidth="1"/>
    <col min="15" max="15" width="12.4609375" style="23" bestFit="1" customWidth="1"/>
    <col min="16" max="16" width="12.4609375" style="23" customWidth="1"/>
    <col min="17" max="17" width="11.69140625" style="23" bestFit="1" customWidth="1"/>
    <col min="18" max="18" width="10.3046875" style="23" bestFit="1" customWidth="1"/>
    <col min="19" max="19" width="11.84375" style="23" customWidth="1"/>
    <col min="20" max="20" width="9.3046875" style="23" customWidth="1"/>
    <col min="21" max="21" width="10.84375" style="23" customWidth="1"/>
    <col min="22" max="16384" width="8.84375" style="23"/>
  </cols>
  <sheetData>
    <row r="1" spans="1:23">
      <c r="S1" s="51"/>
    </row>
    <row r="2" spans="1:23">
      <c r="K2" s="23" t="s">
        <v>303</v>
      </c>
      <c r="S2" s="51"/>
    </row>
    <row r="3" spans="1:23">
      <c r="F3" s="18" t="s">
        <v>181</v>
      </c>
      <c r="S3" s="51"/>
    </row>
    <row r="4" spans="1:23">
      <c r="E4" s="17"/>
      <c r="F4" s="18" t="s">
        <v>577</v>
      </c>
      <c r="G4" s="17"/>
      <c r="I4" s="17"/>
      <c r="J4" s="17"/>
      <c r="K4" s="17"/>
      <c r="L4" s="391"/>
      <c r="M4" s="22"/>
      <c r="N4" s="52"/>
      <c r="O4" s="53"/>
      <c r="P4" s="53"/>
      <c r="Q4" s="53"/>
      <c r="R4" s="53"/>
      <c r="S4" s="53"/>
      <c r="T4" s="24"/>
      <c r="U4" s="54"/>
      <c r="V4" s="54"/>
      <c r="W4" s="24"/>
    </row>
    <row r="5" spans="1:23">
      <c r="E5" s="17"/>
      <c r="F5" s="206" t="str">
        <f>+'Attachment H-29A'!D5</f>
        <v>Transource Pennsylvania, LLC</v>
      </c>
      <c r="G5" s="20"/>
      <c r="I5" s="20"/>
      <c r="J5" s="20"/>
      <c r="K5" s="20"/>
      <c r="L5" s="393"/>
      <c r="M5" s="22"/>
      <c r="R5" s="24"/>
      <c r="S5" s="22"/>
      <c r="T5" s="24"/>
      <c r="U5" s="55"/>
      <c r="V5" s="54"/>
      <c r="W5" s="24"/>
    </row>
    <row r="6" spans="1:23">
      <c r="C6" s="24"/>
      <c r="D6" s="508"/>
      <c r="E6" s="24"/>
      <c r="G6" s="24"/>
      <c r="I6" s="24"/>
      <c r="J6" s="24"/>
      <c r="K6" s="24"/>
      <c r="L6" s="24"/>
      <c r="M6" s="24"/>
      <c r="R6" s="24"/>
      <c r="S6" s="24"/>
      <c r="T6" s="24"/>
      <c r="U6" s="54"/>
      <c r="V6" s="54"/>
      <c r="W6" s="24"/>
    </row>
    <row r="7" spans="1:23">
      <c r="A7" s="18"/>
      <c r="C7" s="24"/>
      <c r="D7" s="508"/>
      <c r="E7" s="24"/>
      <c r="F7" s="24"/>
      <c r="G7" s="24"/>
      <c r="H7" s="56"/>
      <c r="I7" s="24"/>
      <c r="J7" s="24"/>
      <c r="K7" s="24"/>
      <c r="L7" s="24"/>
      <c r="M7" s="24"/>
      <c r="N7" s="24"/>
      <c r="O7" s="24"/>
      <c r="P7" s="24"/>
      <c r="Q7" s="24"/>
      <c r="R7" s="24"/>
      <c r="S7" s="24"/>
      <c r="T7" s="24"/>
      <c r="U7" s="54"/>
      <c r="V7" s="54"/>
      <c r="W7" s="24"/>
    </row>
    <row r="8" spans="1:23">
      <c r="A8" s="18"/>
      <c r="C8" s="24" t="s">
        <v>742</v>
      </c>
      <c r="D8" s="508"/>
      <c r="E8" s="24"/>
      <c r="F8" s="24"/>
      <c r="G8" s="24"/>
      <c r="H8" s="56"/>
      <c r="I8" s="24"/>
      <c r="J8" s="24"/>
      <c r="K8" s="24"/>
      <c r="L8" s="24"/>
      <c r="M8" s="24"/>
      <c r="N8" s="24"/>
      <c r="O8" s="24"/>
      <c r="P8" s="24"/>
      <c r="Q8" s="24"/>
      <c r="R8" s="24"/>
      <c r="S8" s="24"/>
      <c r="T8" s="24"/>
      <c r="U8" s="54"/>
      <c r="V8" s="54"/>
      <c r="W8" s="24"/>
    </row>
    <row r="9" spans="1:23">
      <c r="A9" s="18"/>
      <c r="C9" s="24"/>
      <c r="D9" s="508"/>
      <c r="E9" s="24"/>
      <c r="F9" s="24"/>
      <c r="G9" s="24"/>
      <c r="H9" s="24"/>
      <c r="N9" s="57"/>
      <c r="O9" s="57"/>
      <c r="P9" s="57"/>
      <c r="Q9" s="57"/>
      <c r="R9" s="24"/>
      <c r="S9" s="24"/>
      <c r="T9" s="24"/>
      <c r="U9" s="24"/>
      <c r="V9" s="24"/>
      <c r="W9" s="24"/>
    </row>
    <row r="10" spans="1:23">
      <c r="C10" s="58" t="s">
        <v>3</v>
      </c>
      <c r="D10" s="515"/>
      <c r="E10" s="58"/>
      <c r="F10" s="58" t="s">
        <v>4</v>
      </c>
      <c r="G10" s="58"/>
      <c r="I10" s="58" t="s">
        <v>5</v>
      </c>
      <c r="K10" s="59" t="s">
        <v>6</v>
      </c>
      <c r="L10" s="59"/>
      <c r="O10" s="59"/>
      <c r="P10" s="59"/>
      <c r="Q10" s="59"/>
      <c r="R10" s="20"/>
      <c r="S10" s="59"/>
      <c r="T10" s="20"/>
      <c r="U10" s="59"/>
      <c r="V10" s="20"/>
      <c r="W10" s="60"/>
    </row>
    <row r="11" spans="1:23">
      <c r="C11" s="60"/>
      <c r="D11" s="516"/>
      <c r="E11" s="60"/>
      <c r="F11" s="61" t="s">
        <v>741</v>
      </c>
      <c r="G11" s="61"/>
      <c r="I11" s="20"/>
      <c r="R11" s="20"/>
      <c r="T11" s="20"/>
      <c r="U11" s="58"/>
      <c r="V11" s="58"/>
      <c r="W11" s="60"/>
    </row>
    <row r="12" spans="1:23">
      <c r="A12" s="18" t="s">
        <v>8</v>
      </c>
      <c r="C12" s="60"/>
      <c r="D12" s="516"/>
      <c r="E12" s="60"/>
      <c r="F12" s="62" t="s">
        <v>17</v>
      </c>
      <c r="G12" s="62"/>
      <c r="I12" s="63" t="s">
        <v>16</v>
      </c>
      <c r="K12" s="63" t="s">
        <v>14</v>
      </c>
      <c r="L12" s="63"/>
      <c r="O12" s="63"/>
      <c r="P12" s="63"/>
      <c r="Q12" s="63"/>
      <c r="R12" s="20"/>
      <c r="T12" s="24"/>
      <c r="U12" s="64"/>
      <c r="V12" s="58"/>
      <c r="W12" s="60"/>
    </row>
    <row r="13" spans="1:23">
      <c r="A13" s="18" t="s">
        <v>10</v>
      </c>
      <c r="C13" s="65"/>
      <c r="D13" s="517"/>
      <c r="E13" s="65"/>
      <c r="F13" s="20"/>
      <c r="G13" s="20"/>
      <c r="I13" s="20"/>
      <c r="K13" s="20"/>
      <c r="L13" s="393"/>
      <c r="O13" s="20"/>
      <c r="P13" s="20"/>
      <c r="Q13" s="20"/>
      <c r="R13" s="20"/>
      <c r="S13" s="20"/>
      <c r="T13" s="24"/>
      <c r="U13" s="20"/>
      <c r="V13" s="20"/>
      <c r="W13" s="60"/>
    </row>
    <row r="14" spans="1:23">
      <c r="A14" s="66"/>
      <c r="C14" s="60"/>
      <c r="D14" s="516"/>
      <c r="E14" s="60"/>
      <c r="F14" s="20"/>
      <c r="G14" s="20"/>
      <c r="I14" s="20"/>
      <c r="K14" s="20"/>
      <c r="L14" s="393"/>
      <c r="O14" s="20"/>
      <c r="P14" s="20"/>
      <c r="Q14" s="20"/>
      <c r="R14" s="20"/>
      <c r="S14" s="20"/>
      <c r="T14" s="24"/>
      <c r="U14" s="20"/>
      <c r="V14" s="20"/>
      <c r="W14" s="60"/>
    </row>
    <row r="15" spans="1:23">
      <c r="A15" s="21">
        <v>1</v>
      </c>
      <c r="C15" s="60" t="s">
        <v>497</v>
      </c>
      <c r="D15" s="516"/>
      <c r="E15" s="60"/>
      <c r="F15" s="67" t="str">
        <f>"Attach H-29A, p 2, line "&amp;'Attachment H-29A'!A66&amp;" col 5 plus line "&amp;'Attachment H-29A'!A92&amp;" col 5 (Note A)"</f>
        <v>Attach H-29A, p 2, line 2 col 5 plus line 25 col 5 (Note A)</v>
      </c>
      <c r="G15" s="21"/>
      <c r="I15" s="47">
        <f>+'Attachment H-29A'!I66+'Attachment H-29A'!I92</f>
        <v>102205875.59307691</v>
      </c>
      <c r="R15" s="20"/>
      <c r="S15" s="20"/>
      <c r="T15" s="24"/>
      <c r="U15" s="20"/>
      <c r="V15" s="20"/>
      <c r="W15" s="60"/>
    </row>
    <row r="16" spans="1:23">
      <c r="A16" s="21">
        <v>2</v>
      </c>
      <c r="C16" s="60" t="s">
        <v>498</v>
      </c>
      <c r="D16" s="516"/>
      <c r="E16" s="60"/>
      <c r="F16" s="67" t="str">
        <f>"Attach H-29A, p 2, line "&amp;'Attachment H-29A'!A80&amp;" col 5 plus line "&amp;'Attachment H-29A'!A92&amp;" &amp; "&amp;'Attachment H-29A'!A94&amp;" col 5 (Note B)"</f>
        <v>Attach H-29A, p 2, line 14 col 5 plus line 25 &amp; 27 col 5 (Note B)</v>
      </c>
      <c r="G16" s="21"/>
      <c r="I16" s="47">
        <f>+'Attachment H-29A'!I80+'Attachment H-29A'!I92+'Attachment H-29A'!I94</f>
        <v>102205875.59307691</v>
      </c>
      <c r="R16" s="20"/>
      <c r="S16" s="20"/>
      <c r="T16" s="24"/>
      <c r="U16" s="20"/>
      <c r="V16" s="20"/>
      <c r="W16" s="60"/>
    </row>
    <row r="17" spans="1:23">
      <c r="A17" s="21"/>
      <c r="F17" s="67"/>
      <c r="G17" s="21"/>
      <c r="R17" s="20"/>
      <c r="S17" s="20"/>
      <c r="T17" s="24"/>
      <c r="U17" s="20"/>
      <c r="V17" s="20"/>
      <c r="W17" s="60"/>
    </row>
    <row r="18" spans="1:23">
      <c r="A18" s="21"/>
      <c r="C18" s="60" t="s">
        <v>121</v>
      </c>
      <c r="D18" s="516"/>
      <c r="E18" s="60"/>
      <c r="F18" s="67"/>
      <c r="G18" s="21"/>
      <c r="I18" s="20"/>
      <c r="K18" s="20"/>
      <c r="L18" s="393"/>
      <c r="O18" s="20"/>
      <c r="P18" s="20"/>
      <c r="Q18" s="20"/>
      <c r="R18" s="20"/>
      <c r="S18" s="20"/>
      <c r="T18" s="20"/>
      <c r="U18" s="20"/>
      <c r="V18" s="20"/>
      <c r="W18" s="60"/>
    </row>
    <row r="19" spans="1:23">
      <c r="A19" s="21">
        <v>3</v>
      </c>
      <c r="C19" s="60" t="s">
        <v>122</v>
      </c>
      <c r="D19" s="516"/>
      <c r="E19" s="60"/>
      <c r="F19" s="67" t="s">
        <v>819</v>
      </c>
      <c r="G19" s="21"/>
      <c r="I19" s="47">
        <f>+'Attachment H-29A'!I134</f>
        <v>485607.70722649602</v>
      </c>
      <c r="R19" s="20"/>
      <c r="S19" s="20"/>
      <c r="T19" s="20"/>
      <c r="U19" s="20"/>
      <c r="V19" s="20"/>
      <c r="W19" s="60"/>
    </row>
    <row r="20" spans="1:23">
      <c r="A20" s="21">
        <v>4</v>
      </c>
      <c r="C20" s="60" t="s">
        <v>123</v>
      </c>
      <c r="D20" s="516"/>
      <c r="E20" s="60"/>
      <c r="F20" s="67" t="s">
        <v>124</v>
      </c>
      <c r="G20" s="21"/>
      <c r="I20" s="471">
        <f>IF(I19=0,0,+I19/I15)</f>
        <v>4.7512699676865687E-3</v>
      </c>
      <c r="J20" s="374"/>
      <c r="K20" s="68">
        <f>I20</f>
        <v>4.7512699676865687E-3</v>
      </c>
      <c r="L20" s="376"/>
      <c r="O20" s="68"/>
      <c r="P20" s="68"/>
      <c r="Q20" s="68"/>
      <c r="R20" s="20"/>
      <c r="S20" s="69"/>
      <c r="T20" s="70"/>
      <c r="U20" s="71"/>
      <c r="V20" s="20"/>
      <c r="W20" s="60"/>
    </row>
    <row r="21" spans="1:23">
      <c r="A21" s="21"/>
      <c r="C21" s="60"/>
      <c r="D21" s="516"/>
      <c r="E21" s="60"/>
      <c r="F21" s="67"/>
      <c r="G21" s="21"/>
      <c r="I21" s="72"/>
      <c r="K21" s="68"/>
      <c r="L21" s="376"/>
      <c r="O21" s="68"/>
      <c r="P21" s="68"/>
      <c r="Q21" s="68"/>
      <c r="R21" s="20"/>
      <c r="S21" s="69"/>
      <c r="T21" s="70"/>
      <c r="U21" s="71"/>
      <c r="V21" s="20"/>
      <c r="W21" s="60"/>
    </row>
    <row r="22" spans="1:23">
      <c r="A22" s="59"/>
      <c r="C22" s="60" t="s">
        <v>508</v>
      </c>
      <c r="D22" s="516"/>
      <c r="E22" s="60"/>
      <c r="F22" s="205"/>
      <c r="G22" s="50"/>
      <c r="I22" s="20"/>
      <c r="K22" s="471"/>
      <c r="L22" s="375"/>
      <c r="O22" s="20"/>
      <c r="P22" s="20"/>
      <c r="Q22" s="20"/>
      <c r="R22" s="20"/>
      <c r="S22" s="69"/>
      <c r="T22" s="70"/>
      <c r="U22" s="71"/>
      <c r="V22" s="20"/>
      <c r="W22" s="60"/>
    </row>
    <row r="23" spans="1:23">
      <c r="A23" s="59" t="s">
        <v>125</v>
      </c>
      <c r="C23" s="60" t="s">
        <v>507</v>
      </c>
      <c r="D23" s="516"/>
      <c r="E23" s="60"/>
      <c r="F23" s="67" t="s">
        <v>744</v>
      </c>
      <c r="G23" s="21"/>
      <c r="I23" s="47">
        <f>+'Attachment H-29A'!I138</f>
        <v>146477.20000000001</v>
      </c>
      <c r="K23" s="471"/>
      <c r="L23" s="375"/>
      <c r="R23" s="20"/>
      <c r="S23" s="69"/>
      <c r="T23" s="70"/>
      <c r="U23" s="71"/>
      <c r="V23" s="20"/>
      <c r="W23" s="60"/>
    </row>
    <row r="24" spans="1:23">
      <c r="A24" s="59" t="s">
        <v>126</v>
      </c>
      <c r="C24" s="60" t="s">
        <v>727</v>
      </c>
      <c r="D24" s="516"/>
      <c r="E24" s="60"/>
      <c r="F24" s="67" t="s">
        <v>127</v>
      </c>
      <c r="G24" s="21"/>
      <c r="I24" s="471">
        <f>IF(I23=0,0,I23/I15)</f>
        <v>1.4331583106159691E-3</v>
      </c>
      <c r="J24" s="48"/>
      <c r="K24" s="68">
        <f>I24</f>
        <v>1.4331583106159691E-3</v>
      </c>
      <c r="L24" s="376"/>
      <c r="O24" s="68"/>
      <c r="P24" s="68"/>
      <c r="Q24" s="68"/>
      <c r="R24" s="20"/>
      <c r="S24" s="69"/>
      <c r="T24" s="70"/>
      <c r="U24" s="71"/>
      <c r="V24" s="20"/>
      <c r="W24" s="60"/>
    </row>
    <row r="25" spans="1:23">
      <c r="A25" s="21"/>
      <c r="C25" s="60"/>
      <c r="D25" s="516"/>
      <c r="E25" s="60"/>
      <c r="F25" s="67"/>
      <c r="G25" s="21"/>
      <c r="I25" s="48"/>
      <c r="J25" s="48"/>
      <c r="K25" s="68"/>
      <c r="L25" s="376"/>
      <c r="O25" s="68"/>
      <c r="P25" s="68"/>
      <c r="Q25" s="68"/>
      <c r="R25" s="20"/>
      <c r="S25" s="69"/>
      <c r="T25" s="70"/>
      <c r="U25" s="71"/>
      <c r="V25" s="20"/>
      <c r="W25" s="60"/>
    </row>
    <row r="26" spans="1:23">
      <c r="A26" s="59"/>
      <c r="C26" s="60" t="s">
        <v>128</v>
      </c>
      <c r="D26" s="516"/>
      <c r="E26" s="60"/>
      <c r="F26" s="205"/>
      <c r="G26" s="50"/>
      <c r="I26" s="48"/>
      <c r="J26" s="48"/>
      <c r="K26" s="471"/>
      <c r="L26" s="375"/>
      <c r="O26" s="20"/>
      <c r="P26" s="20"/>
      <c r="Q26" s="20"/>
      <c r="R26" s="20"/>
      <c r="S26" s="20"/>
      <c r="T26" s="20"/>
      <c r="U26" s="20"/>
      <c r="V26" s="20"/>
      <c r="W26" s="60"/>
    </row>
    <row r="27" spans="1:23">
      <c r="A27" s="59" t="s">
        <v>129</v>
      </c>
      <c r="C27" s="60" t="s">
        <v>130</v>
      </c>
      <c r="D27" s="516"/>
      <c r="E27" s="60"/>
      <c r="F27" s="67" t="s">
        <v>745</v>
      </c>
      <c r="G27" s="21"/>
      <c r="I27" s="1123">
        <f>+'Attachment H-29A'!I151</f>
        <v>0</v>
      </c>
      <c r="J27" s="48"/>
      <c r="K27" s="471"/>
      <c r="L27" s="375"/>
      <c r="R27" s="20"/>
      <c r="S27" s="64"/>
      <c r="T27" s="20"/>
      <c r="U27" s="21"/>
      <c r="V27" s="58"/>
      <c r="W27" s="60"/>
    </row>
    <row r="28" spans="1:23">
      <c r="A28" s="59" t="s">
        <v>131</v>
      </c>
      <c r="C28" s="60" t="s">
        <v>132</v>
      </c>
      <c r="D28" s="516"/>
      <c r="E28" s="60"/>
      <c r="F28" s="67" t="s">
        <v>133</v>
      </c>
      <c r="G28" s="21"/>
      <c r="I28" s="471">
        <f>IF(I27=0,0,I27/I15)</f>
        <v>0</v>
      </c>
      <c r="J28" s="48"/>
      <c r="K28" s="68">
        <f>I28</f>
        <v>0</v>
      </c>
      <c r="L28" s="376"/>
      <c r="O28" s="68"/>
      <c r="P28" s="68"/>
      <c r="Q28" s="68"/>
      <c r="R28" s="20"/>
      <c r="S28" s="69"/>
      <c r="T28" s="20"/>
      <c r="U28" s="71"/>
      <c r="V28" s="58"/>
      <c r="W28" s="60"/>
    </row>
    <row r="29" spans="1:23">
      <c r="A29" s="59"/>
      <c r="C29" s="60"/>
      <c r="D29" s="516"/>
      <c r="E29" s="60"/>
      <c r="F29" s="67"/>
      <c r="G29" s="21"/>
      <c r="I29" s="20"/>
      <c r="K29" s="471"/>
      <c r="L29" s="375"/>
      <c r="O29" s="20"/>
      <c r="P29" s="20"/>
      <c r="Q29" s="20"/>
      <c r="R29" s="20"/>
      <c r="V29" s="20"/>
      <c r="W29" s="60"/>
    </row>
    <row r="30" spans="1:23">
      <c r="A30" s="59" t="s">
        <v>134</v>
      </c>
      <c r="C30" s="60" t="s">
        <v>175</v>
      </c>
      <c r="D30" s="516"/>
      <c r="E30" s="60"/>
      <c r="F30" s="67" t="s">
        <v>746</v>
      </c>
      <c r="G30" s="21"/>
      <c r="I30" s="1123">
        <f>-'Attachment H-29A'!I18</f>
        <v>0</v>
      </c>
      <c r="K30" s="471"/>
      <c r="L30" s="375"/>
      <c r="O30" s="20"/>
      <c r="P30" s="20"/>
      <c r="Q30" s="20"/>
      <c r="R30" s="20"/>
      <c r="V30" s="20"/>
      <c r="W30" s="60"/>
    </row>
    <row r="31" spans="1:23">
      <c r="A31" s="59" t="s">
        <v>137</v>
      </c>
      <c r="C31" s="60" t="s">
        <v>378</v>
      </c>
      <c r="D31" s="516"/>
      <c r="E31" s="60"/>
      <c r="F31" s="67" t="s">
        <v>170</v>
      </c>
      <c r="G31" s="21"/>
      <c r="I31" s="470">
        <f>IF(I30=0,0,I30/I15)</f>
        <v>0</v>
      </c>
      <c r="K31" s="471">
        <f>+I31</f>
        <v>0</v>
      </c>
      <c r="L31" s="375"/>
      <c r="O31" s="20"/>
      <c r="P31" s="20"/>
      <c r="Q31" s="20"/>
      <c r="R31" s="20"/>
      <c r="V31" s="20"/>
      <c r="W31" s="60"/>
    </row>
    <row r="32" spans="1:23">
      <c r="A32" s="59"/>
      <c r="C32" s="60"/>
      <c r="D32" s="516"/>
      <c r="E32" s="60"/>
      <c r="F32" s="67"/>
      <c r="G32" s="21"/>
      <c r="I32" s="20"/>
      <c r="K32" s="471"/>
      <c r="L32" s="375"/>
      <c r="O32" s="20"/>
      <c r="P32" s="20"/>
      <c r="Q32" s="20"/>
      <c r="R32" s="20"/>
      <c r="V32" s="20"/>
      <c r="W32" s="60"/>
    </row>
    <row r="33" spans="1:23">
      <c r="A33" s="73" t="s">
        <v>138</v>
      </c>
      <c r="B33" s="74"/>
      <c r="C33" s="65" t="s">
        <v>135</v>
      </c>
      <c r="D33" s="517"/>
      <c r="E33" s="65"/>
      <c r="F33" s="75" t="s">
        <v>171</v>
      </c>
      <c r="G33" s="61"/>
      <c r="I33" s="70"/>
      <c r="K33" s="76">
        <f>K20+K24+K28+K31</f>
        <v>6.1844282783025378E-3</v>
      </c>
      <c r="L33" s="377"/>
      <c r="O33" s="76"/>
      <c r="P33" s="76"/>
      <c r="Q33" s="76"/>
      <c r="R33" s="20"/>
      <c r="V33" s="20"/>
      <c r="W33" s="60"/>
    </row>
    <row r="34" spans="1:23">
      <c r="A34" s="59"/>
      <c r="C34" s="60"/>
      <c r="D34" s="516"/>
      <c r="E34" s="60"/>
      <c r="F34" s="67"/>
      <c r="G34" s="21"/>
      <c r="I34" s="20"/>
      <c r="K34" s="471"/>
      <c r="L34" s="375"/>
      <c r="O34" s="20"/>
      <c r="P34" s="20"/>
      <c r="Q34" s="20"/>
      <c r="R34" s="20"/>
      <c r="S34" s="20"/>
      <c r="T34" s="20"/>
      <c r="U34" s="77"/>
      <c r="V34" s="20"/>
      <c r="W34" s="60"/>
    </row>
    <row r="35" spans="1:23">
      <c r="A35" s="59"/>
      <c r="B35" s="78"/>
      <c r="C35" s="20" t="s">
        <v>136</v>
      </c>
      <c r="D35" s="506"/>
      <c r="E35" s="20"/>
      <c r="F35" s="67"/>
      <c r="G35" s="21"/>
      <c r="I35" s="20"/>
      <c r="K35" s="471"/>
      <c r="L35" s="375"/>
      <c r="O35" s="20"/>
      <c r="P35" s="20"/>
      <c r="Q35" s="20"/>
      <c r="R35" s="79"/>
      <c r="S35" s="78"/>
      <c r="V35" s="58"/>
      <c r="W35" s="20" t="s">
        <v>2</v>
      </c>
    </row>
    <row r="36" spans="1:23">
      <c r="A36" s="59" t="s">
        <v>140</v>
      </c>
      <c r="B36" s="78"/>
      <c r="C36" s="20" t="s">
        <v>42</v>
      </c>
      <c r="D36" s="506"/>
      <c r="E36" s="20"/>
      <c r="F36" s="67" t="s">
        <v>747</v>
      </c>
      <c r="G36" s="21"/>
      <c r="I36" s="47">
        <f>+'Attachment H-29A'!I166</f>
        <v>2030964.1506073272</v>
      </c>
      <c r="J36" s="507"/>
      <c r="K36" s="471"/>
      <c r="L36" s="375"/>
      <c r="O36" s="20"/>
      <c r="P36" s="20"/>
      <c r="Q36" s="20"/>
      <c r="R36" s="79"/>
      <c r="S36" s="78"/>
      <c r="V36" s="58"/>
      <c r="W36" s="20"/>
    </row>
    <row r="37" spans="1:23">
      <c r="A37" s="59" t="s">
        <v>142</v>
      </c>
      <c r="B37" s="78"/>
      <c r="C37" s="20" t="s">
        <v>139</v>
      </c>
      <c r="D37" s="506"/>
      <c r="E37" s="20"/>
      <c r="F37" s="67" t="s">
        <v>144</v>
      </c>
      <c r="G37" s="21"/>
      <c r="I37" s="471">
        <f>IF(I16=0,0,I36/I16)</f>
        <v>1.9871305233893011E-2</v>
      </c>
      <c r="K37" s="68">
        <f>I37</f>
        <v>1.9871305233893011E-2</v>
      </c>
      <c r="L37" s="376"/>
      <c r="O37" s="68"/>
      <c r="P37" s="68"/>
      <c r="Q37" s="68"/>
      <c r="R37" s="79"/>
      <c r="S37" s="78"/>
      <c r="T37" s="20"/>
      <c r="U37" s="20"/>
      <c r="V37" s="58"/>
      <c r="W37" s="20"/>
    </row>
    <row r="38" spans="1:23">
      <c r="A38" s="59"/>
      <c r="C38" s="20"/>
      <c r="D38" s="506"/>
      <c r="E38" s="20"/>
      <c r="F38" s="67"/>
      <c r="G38" s="21"/>
      <c r="I38" s="20"/>
      <c r="K38" s="471"/>
      <c r="L38" s="375"/>
      <c r="O38" s="20"/>
      <c r="P38" s="20"/>
      <c r="Q38" s="20"/>
      <c r="R38" s="20"/>
      <c r="T38" s="24"/>
      <c r="U38" s="20"/>
      <c r="V38" s="24"/>
      <c r="W38" s="60"/>
    </row>
    <row r="39" spans="1:23">
      <c r="A39" s="59"/>
      <c r="C39" s="60" t="s">
        <v>43</v>
      </c>
      <c r="D39" s="516"/>
      <c r="E39" s="60"/>
      <c r="F39" s="80"/>
      <c r="G39" s="81"/>
      <c r="K39" s="471"/>
      <c r="L39" s="375"/>
      <c r="R39" s="20"/>
      <c r="T39" s="20"/>
      <c r="U39" s="20"/>
      <c r="V39" s="20"/>
      <c r="W39" s="60"/>
    </row>
    <row r="40" spans="1:23">
      <c r="A40" s="59" t="s">
        <v>145</v>
      </c>
      <c r="C40" s="60" t="s">
        <v>141</v>
      </c>
      <c r="D40" s="516"/>
      <c r="E40" s="60"/>
      <c r="F40" s="67" t="s">
        <v>748</v>
      </c>
      <c r="G40" s="21"/>
      <c r="I40" s="47">
        <f>+'Attachment H-29A'!I169</f>
        <v>8679521.1306004915</v>
      </c>
      <c r="K40" s="471"/>
      <c r="L40" s="375"/>
      <c r="O40" s="20"/>
      <c r="P40" s="20"/>
      <c r="Q40" s="20"/>
      <c r="R40" s="20"/>
      <c r="T40" s="20"/>
      <c r="U40" s="20"/>
      <c r="V40" s="20"/>
      <c r="W40" s="60"/>
    </row>
    <row r="41" spans="1:23">
      <c r="A41" s="59" t="s">
        <v>168</v>
      </c>
      <c r="B41" s="78"/>
      <c r="C41" s="20" t="s">
        <v>143</v>
      </c>
      <c r="D41" s="506"/>
      <c r="E41" s="20"/>
      <c r="F41" s="67" t="s">
        <v>329</v>
      </c>
      <c r="G41" s="21"/>
      <c r="I41" s="471">
        <f>IF(I16=0,0,I40/I16)</f>
        <v>8.4921938980858494E-2</v>
      </c>
      <c r="K41" s="68">
        <f>I41</f>
        <v>8.4921938980858494E-2</v>
      </c>
      <c r="L41" s="376"/>
      <c r="O41" s="68"/>
      <c r="P41" s="68"/>
      <c r="Q41" s="68"/>
      <c r="R41" s="20"/>
      <c r="U41" s="82"/>
      <c r="V41" s="58"/>
      <c r="W41" s="20"/>
    </row>
    <row r="42" spans="1:23">
      <c r="A42" s="59"/>
      <c r="C42" s="60"/>
      <c r="D42" s="516"/>
      <c r="E42" s="60"/>
      <c r="F42" s="67"/>
      <c r="G42" s="21"/>
      <c r="I42" s="374"/>
      <c r="K42" s="471"/>
      <c r="L42" s="375"/>
      <c r="O42" s="20"/>
      <c r="P42" s="20"/>
      <c r="Q42" s="20"/>
      <c r="R42" s="20"/>
      <c r="S42" s="81"/>
      <c r="T42" s="20"/>
      <c r="U42" s="20"/>
      <c r="V42" s="20"/>
      <c r="W42" s="60"/>
    </row>
    <row r="43" spans="1:23">
      <c r="A43" s="73" t="s">
        <v>169</v>
      </c>
      <c r="B43" s="74"/>
      <c r="C43" s="65" t="s">
        <v>146</v>
      </c>
      <c r="D43" s="517"/>
      <c r="E43" s="65"/>
      <c r="F43" s="75" t="s">
        <v>172</v>
      </c>
      <c r="G43" s="61"/>
      <c r="I43" s="471">
        <f>+I41+I37</f>
        <v>0.1047932442147515</v>
      </c>
      <c r="K43" s="76">
        <f>K37+K41</f>
        <v>0.1047932442147515</v>
      </c>
      <c r="L43" s="377"/>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16"/>
      <c r="E48" s="60"/>
      <c r="F48" s="50" t="str">
        <f>+F3</f>
        <v>Attachment 1</v>
      </c>
      <c r="I48" s="50"/>
      <c r="P48" s="50" t="str">
        <f>+F48</f>
        <v>Attachment 1</v>
      </c>
      <c r="R48" s="20"/>
      <c r="S48" s="51"/>
      <c r="T48" s="20"/>
      <c r="U48" s="24"/>
      <c r="V48" s="20"/>
      <c r="W48" s="60"/>
    </row>
    <row r="49" spans="1:23">
      <c r="A49" s="18"/>
      <c r="C49" s="60"/>
      <c r="D49" s="516"/>
      <c r="E49" s="60"/>
      <c r="F49" s="50" t="str">
        <f>+F4</f>
        <v>Project Revenue Requirement Worksheet</v>
      </c>
      <c r="I49" s="50"/>
      <c r="N49" s="20"/>
      <c r="O49" s="20"/>
      <c r="P49" s="514" t="str">
        <f>+F49</f>
        <v>Project Revenue Requirement Worksheet</v>
      </c>
      <c r="Q49" s="20"/>
      <c r="R49" s="20"/>
      <c r="T49" s="20"/>
      <c r="U49" s="24"/>
      <c r="V49" s="20"/>
      <c r="W49" s="60"/>
    </row>
    <row r="50" spans="1:23" ht="14.25" customHeight="1">
      <c r="A50" s="18"/>
      <c r="F50" s="50" t="str">
        <f>+F5</f>
        <v>Transource Pennsylvania, LLC</v>
      </c>
      <c r="P50" s="514" t="str">
        <f>+F50</f>
        <v>Transource Pennsylvania, LLC</v>
      </c>
      <c r="R50" s="20"/>
      <c r="T50" s="20"/>
      <c r="U50" s="24"/>
      <c r="V50" s="20"/>
      <c r="W50" s="60"/>
    </row>
    <row r="51" spans="1:23" s="395" customFormat="1">
      <c r="A51" s="431"/>
      <c r="D51" s="507"/>
      <c r="F51" s="65"/>
      <c r="G51" s="65"/>
      <c r="I51" s="24"/>
      <c r="J51" s="24"/>
      <c r="K51" s="24"/>
      <c r="L51" s="24"/>
      <c r="M51" s="24"/>
      <c r="N51" s="24"/>
      <c r="O51" s="24"/>
      <c r="P51" s="24"/>
      <c r="Q51" s="24"/>
      <c r="R51" s="393"/>
      <c r="S51" s="393"/>
      <c r="T51" s="393"/>
      <c r="U51" s="24"/>
      <c r="V51" s="393"/>
      <c r="W51" s="60"/>
    </row>
    <row r="52" spans="1:23" s="395" customFormat="1" ht="53.25" customHeight="1">
      <c r="A52" s="431"/>
      <c r="C52" s="1253" t="s">
        <v>768</v>
      </c>
      <c r="D52" s="1253"/>
      <c r="E52" s="1253"/>
      <c r="F52" s="1253"/>
      <c r="G52" s="1253"/>
      <c r="H52" s="1253"/>
      <c r="I52" s="1253"/>
      <c r="J52" s="1253"/>
      <c r="K52" s="1253"/>
      <c r="L52" s="430"/>
      <c r="M52" s="24"/>
      <c r="N52" s="24"/>
      <c r="O52" s="24"/>
      <c r="P52" s="24"/>
      <c r="Q52" s="24"/>
      <c r="R52" s="393"/>
      <c r="S52" s="393"/>
      <c r="T52" s="393"/>
      <c r="U52" s="24"/>
      <c r="V52" s="393"/>
      <c r="W52" s="60"/>
    </row>
    <row r="53" spans="1:23" s="395" customFormat="1" ht="28.5" customHeight="1">
      <c r="A53" s="431"/>
      <c r="C53" s="1254" t="s">
        <v>662</v>
      </c>
      <c r="D53" s="1254"/>
      <c r="E53" s="1254"/>
      <c r="F53" s="1254"/>
      <c r="G53" s="1254"/>
      <c r="H53" s="1254"/>
      <c r="I53" s="1254"/>
      <c r="J53" s="1254"/>
      <c r="K53" s="1254"/>
      <c r="L53" s="24"/>
      <c r="M53" s="24"/>
      <c r="N53" s="24"/>
      <c r="O53" s="24"/>
      <c r="P53" s="24"/>
      <c r="Q53" s="24"/>
      <c r="R53" s="393"/>
      <c r="S53" s="393"/>
      <c r="T53" s="393"/>
      <c r="U53" s="24"/>
      <c r="V53" s="393"/>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18"/>
      <c r="E55" s="84">
        <v>-2</v>
      </c>
      <c r="F55" s="84">
        <v>-3</v>
      </c>
      <c r="G55" s="84">
        <v>-4</v>
      </c>
      <c r="H55" s="84">
        <v>-5</v>
      </c>
      <c r="I55" s="84">
        <v>-6</v>
      </c>
      <c r="J55" s="84">
        <v>-7</v>
      </c>
      <c r="K55" s="84">
        <v>-8</v>
      </c>
      <c r="L55" s="84"/>
      <c r="M55" s="84">
        <v>-9</v>
      </c>
      <c r="N55" s="84">
        <v>-10</v>
      </c>
      <c r="O55" s="84">
        <v>-11</v>
      </c>
      <c r="P55" s="84">
        <v>-12</v>
      </c>
      <c r="Q55" s="84" t="s">
        <v>293</v>
      </c>
      <c r="R55" s="84">
        <v>-13</v>
      </c>
      <c r="S55" s="203" t="s">
        <v>260</v>
      </c>
      <c r="T55" s="203" t="s">
        <v>261</v>
      </c>
      <c r="U55" s="203" t="s">
        <v>271</v>
      </c>
      <c r="V55" s="20"/>
      <c r="W55" s="60"/>
    </row>
    <row r="56" spans="1:23" ht="53.25" customHeight="1">
      <c r="A56" s="519" t="s">
        <v>148</v>
      </c>
      <c r="B56" s="85"/>
      <c r="C56" s="85" t="s">
        <v>310</v>
      </c>
      <c r="D56" s="520" t="s">
        <v>578</v>
      </c>
      <c r="E56" s="387" t="s">
        <v>548</v>
      </c>
      <c r="F56" s="86" t="s">
        <v>149</v>
      </c>
      <c r="G56" s="86" t="s">
        <v>135</v>
      </c>
      <c r="H56" s="87" t="s">
        <v>150</v>
      </c>
      <c r="I56" s="86" t="s">
        <v>151</v>
      </c>
      <c r="J56" s="86" t="s">
        <v>146</v>
      </c>
      <c r="K56" s="87" t="s">
        <v>152</v>
      </c>
      <c r="L56" s="519" t="s">
        <v>148</v>
      </c>
      <c r="M56" s="86" t="s">
        <v>173</v>
      </c>
      <c r="N56" s="88" t="s">
        <v>153</v>
      </c>
      <c r="O56" s="88" t="s">
        <v>496</v>
      </c>
      <c r="P56" s="88" t="s">
        <v>174</v>
      </c>
      <c r="Q56" s="88" t="s">
        <v>291</v>
      </c>
      <c r="R56" s="88" t="s">
        <v>665</v>
      </c>
      <c r="S56" s="88" t="s">
        <v>180</v>
      </c>
      <c r="T56" s="88" t="s">
        <v>154</v>
      </c>
      <c r="U56" s="88" t="s">
        <v>567</v>
      </c>
      <c r="V56" s="20"/>
      <c r="W56" s="60"/>
    </row>
    <row r="57" spans="1:23" ht="46.5" customHeight="1">
      <c r="A57" s="521"/>
      <c r="B57" s="89"/>
      <c r="C57" s="89"/>
      <c r="D57" s="522"/>
      <c r="E57" s="89"/>
      <c r="F57" s="90" t="s">
        <v>104</v>
      </c>
      <c r="G57" s="90" t="s">
        <v>265</v>
      </c>
      <c r="H57" s="91" t="s">
        <v>155</v>
      </c>
      <c r="I57" s="90" t="s">
        <v>486</v>
      </c>
      <c r="J57" s="218" t="s">
        <v>266</v>
      </c>
      <c r="K57" s="273" t="s">
        <v>156</v>
      </c>
      <c r="L57" s="521"/>
      <c r="M57" s="90" t="s">
        <v>158</v>
      </c>
      <c r="N57" s="273" t="s">
        <v>157</v>
      </c>
      <c r="O57" s="90" t="s">
        <v>233</v>
      </c>
      <c r="P57" s="273" t="s">
        <v>289</v>
      </c>
      <c r="Q57" s="92" t="s">
        <v>292</v>
      </c>
      <c r="R57" s="218" t="s">
        <v>767</v>
      </c>
      <c r="S57" s="92" t="s">
        <v>272</v>
      </c>
      <c r="T57" s="93" t="s">
        <v>549</v>
      </c>
      <c r="U57" s="92" t="s">
        <v>585</v>
      </c>
      <c r="V57" s="20"/>
      <c r="W57" s="60"/>
    </row>
    <row r="58" spans="1:23">
      <c r="A58" s="523"/>
      <c r="B58" s="24"/>
      <c r="C58" s="24"/>
      <c r="D58" s="508"/>
      <c r="E58" s="24"/>
      <c r="F58" s="24"/>
      <c r="G58" s="24"/>
      <c r="H58" s="94"/>
      <c r="I58" s="24"/>
      <c r="J58" s="24"/>
      <c r="K58" s="94"/>
      <c r="L58" s="523"/>
      <c r="M58" s="24"/>
      <c r="N58" s="94"/>
      <c r="O58" s="271"/>
      <c r="P58" s="94"/>
      <c r="Q58" s="94"/>
      <c r="R58" s="24"/>
      <c r="S58" s="217"/>
      <c r="T58" s="20"/>
      <c r="U58" s="95"/>
      <c r="V58" s="20"/>
      <c r="W58" s="60"/>
    </row>
    <row r="59" spans="1:23">
      <c r="A59" s="484" t="s">
        <v>501</v>
      </c>
      <c r="B59" s="96"/>
      <c r="C59" s="808" t="s">
        <v>844</v>
      </c>
      <c r="D59" s="526" t="s">
        <v>579</v>
      </c>
      <c r="E59" s="810" t="s">
        <v>845</v>
      </c>
      <c r="F59" s="531">
        <f>+I59</f>
        <v>92325560.483846143</v>
      </c>
      <c r="G59" s="375">
        <f>$K$33</f>
        <v>6.1844282783025378E-3</v>
      </c>
      <c r="H59" s="257">
        <f>F59*G59</f>
        <v>570980.80706642941</v>
      </c>
      <c r="I59" s="528">
        <f>I16-I63</f>
        <v>92325560.483846143</v>
      </c>
      <c r="J59" s="375">
        <f>$K$43</f>
        <v>0.1047932442147515</v>
      </c>
      <c r="K59" s="535">
        <f>I59*J59</f>
        <v>9675095.0070475005</v>
      </c>
      <c r="L59" s="484" t="str">
        <f>+A59</f>
        <v>1a</v>
      </c>
      <c r="M59" s="1127">
        <f>+'Attachment H-29A'!D137</f>
        <v>0</v>
      </c>
      <c r="N59" s="257">
        <f>H59+K59+M59</f>
        <v>10246075.81411393</v>
      </c>
      <c r="O59" s="1140">
        <v>0</v>
      </c>
      <c r="P59" s="1133">
        <f>O59/100*'2-Incentive ROE'!$J$38*I59</f>
        <v>0</v>
      </c>
      <c r="Q59" s="257">
        <f>+N59+P59</f>
        <v>10246075.81411393</v>
      </c>
      <c r="R59" s="1127">
        <v>0</v>
      </c>
      <c r="S59" s="535">
        <f>+N59+P59-R59</f>
        <v>10246075.81411393</v>
      </c>
      <c r="T59" s="1127">
        <v>0</v>
      </c>
      <c r="U59" s="257">
        <f>+S59+T59</f>
        <v>10246075.81411393</v>
      </c>
    </row>
    <row r="60" spans="1:23">
      <c r="A60" s="484" t="s">
        <v>502</v>
      </c>
      <c r="B60" s="96"/>
      <c r="C60" s="808"/>
      <c r="D60" s="526"/>
      <c r="E60" s="810"/>
      <c r="F60" s="1127">
        <v>0</v>
      </c>
      <c r="G60" s="375">
        <f>$K$33</f>
        <v>6.1844282783025378E-3</v>
      </c>
      <c r="H60" s="1133">
        <f>F60*G60</f>
        <v>0</v>
      </c>
      <c r="I60" s="1134">
        <v>0</v>
      </c>
      <c r="J60" s="375">
        <f>$K$43</f>
        <v>0.1047932442147515</v>
      </c>
      <c r="K60" s="1133">
        <f>I60*J60</f>
        <v>0</v>
      </c>
      <c r="L60" s="484" t="str">
        <f>+A60</f>
        <v>1b</v>
      </c>
      <c r="M60" s="1127">
        <v>0</v>
      </c>
      <c r="N60" s="1133">
        <f>H60+K60+M60</f>
        <v>0</v>
      </c>
      <c r="O60" s="1140">
        <v>0</v>
      </c>
      <c r="P60" s="1133">
        <f>O60/100*'2-Incentive ROE'!$J$38*I60</f>
        <v>0</v>
      </c>
      <c r="Q60" s="1133">
        <f>+N60+P60</f>
        <v>0</v>
      </c>
      <c r="R60" s="1127">
        <v>0</v>
      </c>
      <c r="S60" s="1133">
        <f>+N60+P60-R60</f>
        <v>0</v>
      </c>
      <c r="T60" s="1127">
        <f>+'3-Project True-up'!L20</f>
        <v>0</v>
      </c>
      <c r="U60" s="257">
        <f>+S60+T60</f>
        <v>0</v>
      </c>
    </row>
    <row r="61" spans="1:23" s="507" customFormat="1">
      <c r="A61" s="487">
        <v>2</v>
      </c>
      <c r="B61" s="488"/>
      <c r="C61" s="488" t="s">
        <v>580</v>
      </c>
      <c r="D61" s="488"/>
      <c r="E61" s="502"/>
      <c r="F61" s="504">
        <f>+F59+F60</f>
        <v>92325560.483846143</v>
      </c>
      <c r="G61" s="482"/>
      <c r="H61" s="483">
        <f>+H59+H60</f>
        <v>570980.80706642941</v>
      </c>
      <c r="I61" s="503">
        <f>+I59+I60</f>
        <v>92325560.483846143</v>
      </c>
      <c r="J61" s="482"/>
      <c r="K61" s="483">
        <f>+K59+K60</f>
        <v>9675095.0070475005</v>
      </c>
      <c r="L61" s="500">
        <f>+A61</f>
        <v>2</v>
      </c>
      <c r="M61" s="1135">
        <f>+M59+M60</f>
        <v>0</v>
      </c>
      <c r="N61" s="483">
        <f>+N59+N60</f>
        <v>10246075.81411393</v>
      </c>
      <c r="O61" s="1141"/>
      <c r="P61" s="1138">
        <f t="shared" ref="P61:U61" si="0">+P59+P60</f>
        <v>0</v>
      </c>
      <c r="Q61" s="483">
        <f t="shared" si="0"/>
        <v>10246075.81411393</v>
      </c>
      <c r="R61" s="1135">
        <f t="shared" si="0"/>
        <v>0</v>
      </c>
      <c r="S61" s="483">
        <f t="shared" si="0"/>
        <v>10246075.81411393</v>
      </c>
      <c r="T61" s="1135">
        <f t="shared" si="0"/>
        <v>0</v>
      </c>
      <c r="U61" s="483">
        <f t="shared" si="0"/>
        <v>10246075.81411393</v>
      </c>
    </row>
    <row r="62" spans="1:23" s="507" customFormat="1">
      <c r="A62" s="484"/>
      <c r="B62" s="525"/>
      <c r="C62" s="525"/>
      <c r="D62" s="525"/>
      <c r="E62" s="498"/>
      <c r="F62" s="513"/>
      <c r="G62" s="554"/>
      <c r="H62" s="535"/>
      <c r="I62" s="499"/>
      <c r="J62" s="554"/>
      <c r="K62" s="535"/>
      <c r="L62" s="484"/>
      <c r="M62" s="1123"/>
      <c r="N62" s="535"/>
      <c r="O62" s="485"/>
      <c r="P62" s="535"/>
      <c r="Q62" s="535"/>
      <c r="R62" s="1123"/>
      <c r="S62" s="535"/>
      <c r="T62" s="513"/>
      <c r="U62" s="535"/>
    </row>
    <row r="63" spans="1:23">
      <c r="A63" s="484" t="s">
        <v>330</v>
      </c>
      <c r="B63" s="96"/>
      <c r="C63" s="1231" t="s">
        <v>1020</v>
      </c>
      <c r="D63" s="1231" t="s">
        <v>579</v>
      </c>
      <c r="E63" s="1232" t="s">
        <v>1021</v>
      </c>
      <c r="F63" s="531">
        <f>I63</f>
        <v>9880315.1092307698</v>
      </c>
      <c r="G63" s="554">
        <f>$K$33</f>
        <v>6.1844282783025378E-3</v>
      </c>
      <c r="H63" s="535">
        <f>F63*G63</f>
        <v>61104.100160066599</v>
      </c>
      <c r="I63" s="1238">
        <v>9880315.1092307698</v>
      </c>
      <c r="J63" s="375">
        <f>$K$43</f>
        <v>0.1047932442147515</v>
      </c>
      <c r="K63" s="1133">
        <f>I63*J63</f>
        <v>1035390.2741603192</v>
      </c>
      <c r="L63" s="484" t="str">
        <f t="shared" ref="L63:L69" si="1">+A63</f>
        <v>3a</v>
      </c>
      <c r="M63" s="1127">
        <v>0</v>
      </c>
      <c r="N63" s="1133">
        <f>H63+K63+M63</f>
        <v>1096494.3743203857</v>
      </c>
      <c r="O63" s="1140">
        <v>0</v>
      </c>
      <c r="P63" s="1133">
        <f>O63/100*'2-Incentive ROE'!$J$38*I63</f>
        <v>0</v>
      </c>
      <c r="Q63" s="1133">
        <f>+N63+P63</f>
        <v>1096494.3743203857</v>
      </c>
      <c r="R63" s="1127">
        <v>0</v>
      </c>
      <c r="S63" s="1133">
        <f>+N63+P63-R63</f>
        <v>1096494.3743203857</v>
      </c>
      <c r="T63" s="1127">
        <v>0</v>
      </c>
      <c r="U63" s="1133">
        <f>+S63+T63</f>
        <v>1096494.3743203857</v>
      </c>
    </row>
    <row r="64" spans="1:23">
      <c r="A64" s="484" t="s">
        <v>331</v>
      </c>
      <c r="B64" s="96"/>
      <c r="C64" s="809"/>
      <c r="D64" s="526"/>
      <c r="E64" s="811"/>
      <c r="F64" s="1127">
        <v>0</v>
      </c>
      <c r="G64" s="375">
        <f>$K$33</f>
        <v>6.1844282783025378E-3</v>
      </c>
      <c r="H64" s="1133">
        <f>F64*G64</f>
        <v>0</v>
      </c>
      <c r="I64" s="1134">
        <v>0</v>
      </c>
      <c r="J64" s="375">
        <f>$K$43</f>
        <v>0.1047932442147515</v>
      </c>
      <c r="K64" s="1133">
        <f>I64*J64</f>
        <v>0</v>
      </c>
      <c r="L64" s="484" t="str">
        <f t="shared" si="1"/>
        <v>3b</v>
      </c>
      <c r="M64" s="1127">
        <v>0</v>
      </c>
      <c r="N64" s="1133">
        <f>H64+K64+M64</f>
        <v>0</v>
      </c>
      <c r="O64" s="1140">
        <v>0</v>
      </c>
      <c r="P64" s="1133">
        <f>O64/100*'2-Incentive ROE'!$J$38*I64</f>
        <v>0</v>
      </c>
      <c r="Q64" s="1133">
        <f>+N64+P64</f>
        <v>0</v>
      </c>
      <c r="R64" s="1127">
        <v>0</v>
      </c>
      <c r="S64" s="1133">
        <f>+N64+P64-R64</f>
        <v>0</v>
      </c>
      <c r="T64" s="1127">
        <f>+'3-Project True-up'!L24</f>
        <v>0</v>
      </c>
      <c r="U64" s="1133">
        <f>+S64+T64</f>
        <v>0</v>
      </c>
    </row>
    <row r="65" spans="1:21" s="507" customFormat="1">
      <c r="A65" s="487">
        <v>4</v>
      </c>
      <c r="B65" s="488"/>
      <c r="C65" s="488" t="s">
        <v>581</v>
      </c>
      <c r="D65" s="488"/>
      <c r="E65" s="812"/>
      <c r="F65" s="1135">
        <f>+F63+F64</f>
        <v>9880315.1092307698</v>
      </c>
      <c r="G65" s="482"/>
      <c r="H65" s="1138">
        <f>+H63+H64</f>
        <v>61104.100160066599</v>
      </c>
      <c r="I65" s="1139">
        <f>+I63+I64</f>
        <v>9880315.1092307698</v>
      </c>
      <c r="J65" s="482"/>
      <c r="K65" s="1138">
        <f>+K63+K64</f>
        <v>1035390.2741603192</v>
      </c>
      <c r="L65" s="500">
        <f t="shared" si="1"/>
        <v>4</v>
      </c>
      <c r="M65" s="1135">
        <f>+M63+M64</f>
        <v>0</v>
      </c>
      <c r="N65" s="1138">
        <f>+N63+N64</f>
        <v>1096494.3743203857</v>
      </c>
      <c r="O65" s="1141"/>
      <c r="P65" s="1138">
        <f t="shared" ref="P65:U65" si="2">+P63+P64</f>
        <v>0</v>
      </c>
      <c r="Q65" s="1138">
        <f t="shared" si="2"/>
        <v>1096494.3743203857</v>
      </c>
      <c r="R65" s="1135">
        <f t="shared" si="2"/>
        <v>0</v>
      </c>
      <c r="S65" s="1138">
        <f t="shared" si="2"/>
        <v>1096494.3743203857</v>
      </c>
      <c r="T65" s="1135">
        <f t="shared" si="2"/>
        <v>0</v>
      </c>
      <c r="U65" s="1138">
        <f t="shared" si="2"/>
        <v>1096494.3743203857</v>
      </c>
    </row>
    <row r="66" spans="1:21" s="507" customFormat="1">
      <c r="A66" s="486"/>
      <c r="B66" s="525"/>
      <c r="C66" s="525"/>
      <c r="D66" s="525"/>
      <c r="E66" s="498"/>
      <c r="F66" s="513"/>
      <c r="G66" s="554"/>
      <c r="H66" s="535"/>
      <c r="I66" s="499"/>
      <c r="J66" s="554"/>
      <c r="K66" s="535"/>
      <c r="L66" s="524"/>
      <c r="M66" s="1123"/>
      <c r="N66" s="535"/>
      <c r="O66" s="485"/>
      <c r="P66" s="535"/>
      <c r="Q66" s="535"/>
      <c r="R66" s="1123"/>
      <c r="S66" s="1133"/>
      <c r="T66" s="1123"/>
      <c r="U66" s="535"/>
    </row>
    <row r="67" spans="1:21" s="507" customFormat="1">
      <c r="A67" s="486">
        <f>+A65+1</f>
        <v>5</v>
      </c>
      <c r="B67" s="525"/>
      <c r="C67" s="526" t="s">
        <v>404</v>
      </c>
      <c r="D67" s="526"/>
      <c r="E67" s="527"/>
      <c r="F67" s="531"/>
      <c r="G67" s="554"/>
      <c r="H67" s="535"/>
      <c r="I67" s="528"/>
      <c r="J67" s="554"/>
      <c r="K67" s="535"/>
      <c r="L67" s="486">
        <f t="shared" si="1"/>
        <v>5</v>
      </c>
      <c r="M67" s="1127"/>
      <c r="N67" s="535"/>
      <c r="O67" s="537"/>
      <c r="P67" s="535"/>
      <c r="Q67" s="535"/>
      <c r="R67" s="1127"/>
      <c r="S67" s="1133"/>
      <c r="T67" s="1127"/>
      <c r="U67" s="535"/>
    </row>
    <row r="68" spans="1:21">
      <c r="A68" s="547"/>
      <c r="B68" s="46"/>
      <c r="C68" s="46"/>
      <c r="D68" s="512"/>
      <c r="E68" s="46"/>
      <c r="F68" s="481"/>
      <c r="G68" s="46"/>
      <c r="H68" s="401"/>
      <c r="I68" s="46"/>
      <c r="J68" s="46"/>
      <c r="K68" s="401"/>
      <c r="L68" s="547"/>
      <c r="M68" s="1136"/>
      <c r="N68" s="401"/>
      <c r="O68" s="272"/>
      <c r="P68" s="461"/>
      <c r="Q68" s="461"/>
      <c r="R68" s="1142"/>
      <c r="S68" s="202"/>
      <c r="T68" s="46"/>
      <c r="U68" s="1145">
        <f>N68+T68</f>
        <v>0</v>
      </c>
    </row>
    <row r="69" spans="1:21">
      <c r="A69" s="622">
        <f>+A67+1</f>
        <v>6</v>
      </c>
      <c r="B69" s="623"/>
      <c r="C69" s="624" t="s">
        <v>159</v>
      </c>
      <c r="D69" s="624"/>
      <c r="E69" s="624"/>
      <c r="F69" s="625">
        <f>+F61+F65+F67</f>
        <v>102205875.59307691</v>
      </c>
      <c r="G69" s="626"/>
      <c r="H69" s="629">
        <f>+H61+H65+H67</f>
        <v>632084.90722649603</v>
      </c>
      <c r="I69" s="625">
        <f>+I61+I65+I67</f>
        <v>102205875.59307691</v>
      </c>
      <c r="J69" s="627"/>
      <c r="K69" s="629">
        <f>+K61+K65+K67</f>
        <v>10710485.28120782</v>
      </c>
      <c r="L69" s="622">
        <f t="shared" si="1"/>
        <v>6</v>
      </c>
      <c r="M69" s="1137">
        <f>+M61+M65+M67</f>
        <v>0</v>
      </c>
      <c r="N69" s="629">
        <f>+N61+N65+N67</f>
        <v>11342570.188434316</v>
      </c>
      <c r="O69" s="628"/>
      <c r="P69" s="1143">
        <f t="shared" ref="P69:U69" si="3">+P61+P65+P67</f>
        <v>0</v>
      </c>
      <c r="Q69" s="629">
        <f t="shared" si="3"/>
        <v>11342570.188434316</v>
      </c>
      <c r="R69" s="1144">
        <f t="shared" si="3"/>
        <v>0</v>
      </c>
      <c r="S69" s="629">
        <f t="shared" si="3"/>
        <v>11342570.188434316</v>
      </c>
      <c r="T69" s="1143">
        <f t="shared" si="3"/>
        <v>0</v>
      </c>
      <c r="U69" s="629">
        <f t="shared" si="3"/>
        <v>11342570.188434316</v>
      </c>
    </row>
    <row r="70" spans="1:21">
      <c r="M70" s="49"/>
      <c r="N70" s="49"/>
      <c r="O70" s="49"/>
      <c r="P70" s="49"/>
      <c r="Q70" s="49"/>
    </row>
    <row r="71" spans="1:21">
      <c r="M71" s="49"/>
      <c r="N71" s="49"/>
      <c r="O71" s="49"/>
      <c r="P71" s="49"/>
      <c r="Q71" s="49"/>
    </row>
    <row r="72" spans="1:21">
      <c r="A72" s="514"/>
      <c r="L72" s="514"/>
    </row>
    <row r="73" spans="1:21" ht="13.5" thickBot="1">
      <c r="A73" s="501" t="s">
        <v>523</v>
      </c>
      <c r="L73" s="501" t="str">
        <f>+A73</f>
        <v>Notes</v>
      </c>
    </row>
    <row r="74" spans="1:21" s="395" customFormat="1" ht="27.75" customHeight="1">
      <c r="A74" s="97" t="s">
        <v>62</v>
      </c>
      <c r="C74" s="1251" t="s">
        <v>818</v>
      </c>
      <c r="D74" s="1251"/>
      <c r="E74" s="1251"/>
      <c r="F74" s="1251"/>
      <c r="G74" s="1251"/>
      <c r="H74" s="1251"/>
      <c r="I74" s="1251"/>
      <c r="J74" s="1251"/>
      <c r="K74" s="1251"/>
      <c r="L74" s="529" t="str">
        <f>+A74</f>
        <v>A</v>
      </c>
      <c r="M74" s="1251" t="str">
        <f>+C74</f>
        <v>Gross Transmission Plant is that identified on page 2 line 2 of Attachment H-29A inclusive of any CWIP included in rate base when authorized by FERC order.</v>
      </c>
      <c r="N74" s="1251"/>
      <c r="O74" s="1251"/>
      <c r="P74" s="1251"/>
      <c r="Q74" s="1251"/>
      <c r="R74" s="1251"/>
      <c r="S74" s="1251"/>
      <c r="T74" s="1251"/>
      <c r="U74" s="1251"/>
    </row>
    <row r="75" spans="1:21" ht="29.25" customHeight="1">
      <c r="A75" s="97" t="s">
        <v>63</v>
      </c>
      <c r="C75" s="1251" t="s">
        <v>749</v>
      </c>
      <c r="D75" s="1251"/>
      <c r="E75" s="1251"/>
      <c r="F75" s="1251"/>
      <c r="G75" s="1251"/>
      <c r="H75" s="1251"/>
      <c r="I75" s="1251"/>
      <c r="J75" s="1251"/>
      <c r="K75" s="1251"/>
      <c r="L75" s="529" t="str">
        <f t="shared" ref="L75:L82" si="4">+A75</f>
        <v>B</v>
      </c>
      <c r="M75" s="1251" t="str">
        <f t="shared" ref="M75:M82" si="5">+C75</f>
        <v>Net Plant is that identified on page 2 line 14 of Attachment H-29A inclusive of any CWIP or unamortized Abandoned Plant included in rate base when authorized by FERC order less any prefunded AFUDC, if applicable.</v>
      </c>
      <c r="N75" s="1251"/>
      <c r="O75" s="1251"/>
      <c r="P75" s="1251"/>
      <c r="Q75" s="1251"/>
      <c r="R75" s="1251"/>
      <c r="S75" s="1251"/>
      <c r="T75" s="1251"/>
      <c r="U75" s="1251"/>
    </row>
    <row r="76" spans="1:21" s="395" customFormat="1" ht="15" customHeight="1">
      <c r="A76" s="97" t="s">
        <v>64</v>
      </c>
      <c r="B76" s="454"/>
      <c r="C76" s="1251" t="s">
        <v>630</v>
      </c>
      <c r="D76" s="1251"/>
      <c r="E76" s="1251"/>
      <c r="F76" s="1251"/>
      <c r="G76" s="1251"/>
      <c r="H76" s="1251"/>
      <c r="I76" s="1251"/>
      <c r="J76" s="1251"/>
      <c r="K76" s="1251"/>
      <c r="L76" s="529" t="str">
        <f t="shared" si="4"/>
        <v>C</v>
      </c>
      <c r="M76" s="1251" t="str">
        <f t="shared" si="5"/>
        <v>General and Intangible Depreciation and Amortization Expense includes all expense not directly associated with a project, which is entered on page 3 , column 9.</v>
      </c>
      <c r="N76" s="1251"/>
      <c r="O76" s="1251"/>
      <c r="P76" s="1251"/>
      <c r="Q76" s="1251"/>
      <c r="R76" s="1251"/>
      <c r="S76" s="1251"/>
      <c r="T76" s="1251"/>
      <c r="U76" s="1251"/>
    </row>
    <row r="77" spans="1:21" ht="30" customHeight="1">
      <c r="A77" s="97" t="s">
        <v>65</v>
      </c>
      <c r="C77" s="1251" t="s">
        <v>499</v>
      </c>
      <c r="D77" s="1251"/>
      <c r="E77" s="1251"/>
      <c r="F77" s="1251"/>
      <c r="G77" s="1251"/>
      <c r="H77" s="1251"/>
      <c r="I77" s="1251"/>
      <c r="J77" s="1251"/>
      <c r="K77" s="1251"/>
      <c r="L77" s="529" t="str">
        <f t="shared" si="4"/>
        <v>D</v>
      </c>
      <c r="M77" s="1251" t="str">
        <f t="shared" si="5"/>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251"/>
      <c r="O77" s="1251"/>
      <c r="P77" s="1251"/>
      <c r="Q77" s="1251"/>
      <c r="R77" s="1251"/>
      <c r="S77" s="1251"/>
      <c r="T77" s="1251"/>
      <c r="U77" s="1251"/>
    </row>
    <row r="78" spans="1:21" ht="29.25" customHeight="1">
      <c r="A78" s="97" t="s">
        <v>66</v>
      </c>
      <c r="C78" s="1251" t="s">
        <v>820</v>
      </c>
      <c r="D78" s="1251"/>
      <c r="E78" s="1251"/>
      <c r="F78" s="1251"/>
      <c r="G78" s="1251"/>
      <c r="H78" s="1251"/>
      <c r="I78" s="1251"/>
      <c r="J78" s="1251"/>
      <c r="K78" s="1251"/>
      <c r="L78" s="529" t="str">
        <f t="shared" si="4"/>
        <v>E</v>
      </c>
      <c r="M78" s="1251" t="str">
        <f t="shared" si="5"/>
        <v>Project Net Plant is the Project Gross Plant Identified in Column 3 less the associated Accumulated Depreciation plus CWIP in rate base, if applicable and Unamortized Abandoned Plant, if applicable.</v>
      </c>
      <c r="N78" s="1251"/>
      <c r="O78" s="1251"/>
      <c r="P78" s="1251"/>
      <c r="Q78" s="1251"/>
      <c r="R78" s="1251"/>
      <c r="S78" s="1251"/>
      <c r="T78" s="1251"/>
      <c r="U78" s="1251"/>
    </row>
    <row r="79" spans="1:21" ht="27" customHeight="1">
      <c r="A79" s="97" t="s">
        <v>67</v>
      </c>
      <c r="C79" s="1251" t="s">
        <v>821</v>
      </c>
      <c r="D79" s="1251"/>
      <c r="E79" s="1251"/>
      <c r="F79" s="1251"/>
      <c r="G79" s="1251"/>
      <c r="H79" s="1251"/>
      <c r="I79" s="1251"/>
      <c r="J79" s="1251"/>
      <c r="K79" s="1251"/>
      <c r="L79" s="529" t="str">
        <f t="shared" si="4"/>
        <v>F</v>
      </c>
      <c r="M79" s="1251" t="str">
        <f t="shared" si="5"/>
        <v>Project Depreciation Expense is the actual value booked for the project (excluding General and Intangible depreciation) at Attachment H-29A, page 3, line 19, plus amortization of Abandoned Plant at Attachment H-29A, page 3, line 21, if applicable.</v>
      </c>
      <c r="N79" s="1251"/>
      <c r="O79" s="1251"/>
      <c r="P79" s="1251"/>
      <c r="Q79" s="1251"/>
      <c r="R79" s="1251"/>
      <c r="S79" s="1251"/>
      <c r="T79" s="1251"/>
      <c r="U79" s="1251"/>
    </row>
    <row r="80" spans="1:21">
      <c r="A80" s="460" t="s">
        <v>68</v>
      </c>
      <c r="C80" s="459" t="s">
        <v>500</v>
      </c>
      <c r="D80" s="568"/>
      <c r="E80" s="459"/>
      <c r="F80" s="459"/>
      <c r="G80" s="459"/>
      <c r="H80" s="459"/>
      <c r="I80" s="459"/>
      <c r="J80" s="459"/>
      <c r="K80" s="459"/>
      <c r="L80" s="529" t="str">
        <f t="shared" si="4"/>
        <v>G</v>
      </c>
      <c r="M80" s="1251" t="str">
        <f t="shared" si="5"/>
        <v>Requires approval by FERC of incentive return applicable to the specified project(s).</v>
      </c>
      <c r="N80" s="1251"/>
      <c r="O80" s="1251"/>
      <c r="P80" s="1251"/>
      <c r="Q80" s="1251"/>
      <c r="R80" s="1251"/>
      <c r="S80" s="1251"/>
      <c r="T80" s="1251"/>
      <c r="U80" s="1251"/>
    </row>
    <row r="81" spans="1:21" ht="88.5" customHeight="1">
      <c r="A81" s="97" t="s">
        <v>69</v>
      </c>
      <c r="C81" s="1252" t="s">
        <v>849</v>
      </c>
      <c r="D81" s="1252"/>
      <c r="E81" s="1252"/>
      <c r="F81" s="1252"/>
      <c r="G81" s="1252"/>
      <c r="H81" s="1252"/>
      <c r="I81" s="1252"/>
      <c r="J81" s="1252"/>
      <c r="K81" s="1252"/>
      <c r="L81" s="529" t="str">
        <f t="shared" si="4"/>
        <v>H</v>
      </c>
      <c r="M81" s="1251" t="str">
        <f t="shared" si="5"/>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1251"/>
      <c r="O81" s="1251"/>
      <c r="P81" s="1251"/>
      <c r="Q81" s="1251"/>
      <c r="R81" s="1251"/>
      <c r="S81" s="1251"/>
      <c r="T81" s="1251"/>
      <c r="U81" s="1251"/>
    </row>
    <row r="82" spans="1:21">
      <c r="A82" s="97" t="s">
        <v>70</v>
      </c>
      <c r="C82" s="1252" t="s">
        <v>584</v>
      </c>
      <c r="D82" s="1252"/>
      <c r="E82" s="1252"/>
      <c r="F82" s="1252"/>
      <c r="G82" s="1252"/>
      <c r="H82" s="1252"/>
      <c r="I82" s="1252"/>
      <c r="J82" s="1252"/>
      <c r="K82" s="1252"/>
      <c r="L82" s="529" t="str">
        <f t="shared" si="4"/>
        <v>I</v>
      </c>
      <c r="M82" s="1251" t="str">
        <f t="shared" si="5"/>
        <v>True-Up Adjustment is calculated on the Project True-up Schedule for the relevant true-up year.</v>
      </c>
      <c r="N82" s="1251"/>
      <c r="O82" s="1251"/>
      <c r="P82" s="1251"/>
      <c r="Q82" s="1251"/>
      <c r="R82" s="1251"/>
      <c r="S82" s="1251"/>
      <c r="T82" s="1251"/>
      <c r="U82" s="1251"/>
    </row>
    <row r="83" spans="1:21" ht="15.75" customHeight="1">
      <c r="A83" s="97"/>
      <c r="C83" s="1251"/>
      <c r="D83" s="1251"/>
      <c r="E83" s="1251"/>
      <c r="F83" s="1251"/>
      <c r="G83" s="1251"/>
      <c r="H83" s="1251"/>
      <c r="I83" s="1251"/>
      <c r="J83" s="1251"/>
      <c r="K83" s="1251"/>
      <c r="L83" s="429"/>
      <c r="M83" s="459"/>
      <c r="N83" s="459"/>
      <c r="O83" s="459"/>
      <c r="P83" s="459"/>
      <c r="Q83" s="459"/>
      <c r="R83" s="459"/>
      <c r="S83" s="459"/>
    </row>
    <row r="85" spans="1:21">
      <c r="C85" s="307"/>
      <c r="D85" s="549"/>
    </row>
    <row r="86" spans="1:21">
      <c r="C86" s="307"/>
      <c r="D86" s="549"/>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3"/>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47"/>
  <sheetViews>
    <sheetView view="pageBreakPreview" zoomScaleNormal="100" zoomScaleSheetLayoutView="100" workbookViewId="0">
      <selection activeCell="D92" sqref="D92"/>
    </sheetView>
  </sheetViews>
  <sheetFormatPr defaultColWidth="8.84375" defaultRowHeight="15.5"/>
  <cols>
    <col min="1" max="1" width="7.3046875" style="334" customWidth="1"/>
    <col min="2" max="2" width="49.69140625" style="334" customWidth="1"/>
    <col min="3" max="3" width="14.84375" style="334" customWidth="1"/>
    <col min="4" max="4" width="11.69140625" style="334" customWidth="1"/>
    <col min="5" max="5" width="10.84375" style="738" bestFit="1" customWidth="1"/>
    <col min="6" max="6" width="10.4609375" style="334" customWidth="1"/>
    <col min="7" max="16384" width="8.84375" style="334"/>
  </cols>
  <sheetData>
    <row r="1" spans="1:9" ht="13">
      <c r="A1" s="1265" t="s">
        <v>737</v>
      </c>
      <c r="B1" s="1265"/>
      <c r="C1" s="1265"/>
      <c r="D1" s="1265"/>
      <c r="E1" s="391"/>
      <c r="F1" s="391"/>
      <c r="G1" s="391"/>
      <c r="H1" s="391"/>
      <c r="I1" s="391"/>
    </row>
    <row r="2" spans="1:9" ht="13">
      <c r="A2" s="1301" t="s">
        <v>738</v>
      </c>
      <c r="B2" s="1301"/>
      <c r="C2" s="1301"/>
      <c r="D2" s="1301"/>
      <c r="E2" s="678"/>
      <c r="F2" s="678"/>
      <c r="G2" s="678"/>
      <c r="H2" s="678"/>
      <c r="I2" s="678"/>
    </row>
    <row r="3" spans="1:9" ht="13">
      <c r="A3" s="1302" t="str">
        <f>+'Attachment H-29A'!D5</f>
        <v>Transource Pennsylvania, LLC</v>
      </c>
      <c r="B3" s="1302"/>
      <c r="C3" s="1302"/>
      <c r="D3" s="1302"/>
      <c r="E3" s="354"/>
      <c r="F3" s="354"/>
      <c r="G3" s="354"/>
      <c r="H3" s="354"/>
      <c r="I3" s="354"/>
    </row>
    <row r="4" spans="1:9" ht="13">
      <c r="A4" s="795"/>
      <c r="B4" s="795"/>
      <c r="C4" s="795"/>
      <c r="D4" s="795"/>
      <c r="E4" s="795"/>
      <c r="F4" s="795"/>
      <c r="G4" s="795"/>
      <c r="H4" s="354"/>
      <c r="I4" s="354"/>
    </row>
    <row r="5" spans="1:9">
      <c r="A5" s="722"/>
      <c r="C5" s="532"/>
      <c r="D5" s="794"/>
      <c r="E5"/>
      <c r="F5"/>
      <c r="H5" s="725"/>
    </row>
    <row r="6" spans="1:9">
      <c r="A6" s="793" t="s">
        <v>148</v>
      </c>
      <c r="B6" s="797"/>
      <c r="C6" s="382" t="s">
        <v>199</v>
      </c>
      <c r="D6" s="741" t="s">
        <v>11</v>
      </c>
      <c r="E6"/>
      <c r="F6"/>
      <c r="G6" s="726"/>
      <c r="H6" s="726"/>
      <c r="I6" s="726"/>
    </row>
    <row r="7" spans="1:9">
      <c r="A7" s="333"/>
      <c r="B7" s="727"/>
      <c r="E7"/>
      <c r="F7"/>
    </row>
    <row r="8" spans="1:9" customFormat="1">
      <c r="A8" s="799">
        <v>1</v>
      </c>
      <c r="B8" s="124" t="s">
        <v>738</v>
      </c>
      <c r="D8" s="1179">
        <v>0</v>
      </c>
    </row>
    <row r="9" spans="1:9" customFormat="1"/>
    <row r="10" spans="1:9" customFormat="1"/>
    <row r="11" spans="1:9" customFormat="1"/>
    <row r="12" spans="1:9" customFormat="1"/>
    <row r="13" spans="1:9" customFormat="1"/>
    <row r="14" spans="1:9" customFormat="1"/>
    <row r="15" spans="1:9" customFormat="1"/>
    <row r="16" spans="1:9" customFormat="1" ht="73.5" customHeight="1">
      <c r="A16" s="756" t="s">
        <v>777</v>
      </c>
      <c r="B16" s="1250" t="s">
        <v>788</v>
      </c>
      <c r="C16" s="1250"/>
      <c r="D16" s="1250"/>
    </row>
    <row r="17" spans="1:9" customFormat="1"/>
    <row r="18" spans="1:9" customFormat="1"/>
    <row r="19" spans="1:9" customFormat="1"/>
    <row r="20" spans="1:9" customFormat="1"/>
    <row r="21" spans="1:9" customFormat="1"/>
    <row r="22" spans="1:9" customFormat="1"/>
    <row r="23" spans="1:9" customFormat="1"/>
    <row r="24" spans="1:9" customFormat="1"/>
    <row r="25" spans="1:9" customFormat="1"/>
    <row r="26" spans="1:9" customFormat="1"/>
    <row r="27" spans="1:9" customFormat="1" ht="14.25" customHeight="1"/>
    <row r="28" spans="1:9" customFormat="1"/>
    <row r="29" spans="1:9" customFormat="1" ht="41.25" customHeight="1"/>
    <row r="30" spans="1:9" ht="13">
      <c r="A30" s="532"/>
      <c r="B30" s="532"/>
      <c r="C30" s="532"/>
      <c r="D30" s="532"/>
      <c r="E30" s="532"/>
      <c r="F30" s="532"/>
      <c r="G30" s="532"/>
      <c r="H30" s="532"/>
      <c r="I30" s="532"/>
    </row>
    <row r="34" spans="1:5" ht="13">
      <c r="A34" s="333"/>
      <c r="B34" s="320"/>
      <c r="C34" s="320"/>
      <c r="D34" s="737"/>
      <c r="E34" s="334"/>
    </row>
    <row r="105" spans="5:5">
      <c r="E105" s="219"/>
    </row>
    <row r="224" spans="4:8">
      <c r="D224" s="733"/>
      <c r="F224" s="733"/>
      <c r="G224" s="733"/>
      <c r="H224" s="733"/>
    </row>
    <row r="225" spans="4:8" ht="99.75" customHeight="1">
      <c r="D225" s="733"/>
      <c r="F225" s="733"/>
      <c r="G225" s="733"/>
      <c r="H225" s="733"/>
    </row>
    <row r="226" spans="4:8">
      <c r="D226" s="733"/>
      <c r="F226" s="733"/>
      <c r="G226" s="733"/>
      <c r="H226" s="733"/>
    </row>
    <row r="227" spans="4:8">
      <c r="D227" s="733"/>
      <c r="F227" s="733"/>
      <c r="G227" s="733"/>
      <c r="H227" s="733"/>
    </row>
    <row r="228" spans="4:8">
      <c r="D228" s="733"/>
      <c r="F228" s="733"/>
      <c r="G228" s="733"/>
      <c r="H228" s="733"/>
    </row>
    <row r="229" spans="4:8">
      <c r="D229" s="733"/>
      <c r="F229" s="733"/>
      <c r="G229" s="733"/>
      <c r="H229" s="733"/>
    </row>
    <row r="230" spans="4:8">
      <c r="D230" s="733"/>
      <c r="F230" s="733"/>
      <c r="G230" s="733"/>
      <c r="H230" s="733"/>
    </row>
    <row r="231" spans="4:8">
      <c r="D231" s="733"/>
      <c r="F231" s="733"/>
      <c r="G231" s="733"/>
      <c r="H231" s="733"/>
    </row>
    <row r="232" spans="4:8">
      <c r="D232" s="733"/>
      <c r="F232" s="733"/>
      <c r="G232" s="733"/>
      <c r="H232" s="733"/>
    </row>
    <row r="233" spans="4:8">
      <c r="D233" s="733"/>
      <c r="F233" s="733"/>
      <c r="G233" s="733"/>
      <c r="H233" s="733"/>
    </row>
    <row r="234" spans="4:8">
      <c r="D234" s="733"/>
      <c r="F234" s="733"/>
      <c r="G234" s="733"/>
      <c r="H234" s="733"/>
    </row>
    <row r="235" spans="4:8">
      <c r="D235" s="733"/>
      <c r="F235" s="733"/>
      <c r="G235" s="733"/>
      <c r="H235" s="733"/>
    </row>
    <row r="236" spans="4:8">
      <c r="D236" s="733"/>
      <c r="F236" s="733"/>
      <c r="G236" s="733"/>
      <c r="H236" s="733"/>
    </row>
    <row r="237" spans="4:8">
      <c r="D237" s="733"/>
      <c r="F237" s="733"/>
      <c r="G237" s="733"/>
      <c r="H237" s="733"/>
    </row>
    <row r="238" spans="4:8">
      <c r="D238" s="733"/>
      <c r="F238" s="733"/>
      <c r="G238" s="733"/>
      <c r="H238" s="733"/>
    </row>
    <row r="239" spans="4:8">
      <c r="D239" s="733"/>
      <c r="F239" s="733"/>
      <c r="G239" s="733"/>
      <c r="H239" s="733"/>
    </row>
    <row r="240" spans="4:8">
      <c r="D240" s="733"/>
      <c r="F240" s="733"/>
      <c r="G240" s="733"/>
      <c r="H240" s="733"/>
    </row>
    <row r="241" spans="4:8">
      <c r="D241" s="733"/>
      <c r="F241" s="733"/>
      <c r="G241" s="733"/>
      <c r="H241" s="733"/>
    </row>
    <row r="242" spans="4:8">
      <c r="D242" s="733"/>
      <c r="F242" s="733"/>
      <c r="G242" s="733"/>
      <c r="H242" s="733"/>
    </row>
    <row r="243" spans="4:8">
      <c r="D243" s="733"/>
      <c r="F243" s="733"/>
      <c r="G243" s="733"/>
      <c r="H243" s="733"/>
    </row>
    <row r="244" spans="4:8">
      <c r="D244" s="733"/>
      <c r="F244" s="733"/>
      <c r="G244" s="733"/>
      <c r="H244" s="733"/>
    </row>
    <row r="245" spans="4:8">
      <c r="D245" s="733"/>
      <c r="F245" s="733"/>
      <c r="G245" s="733"/>
      <c r="H245" s="733"/>
    </row>
    <row r="246" spans="4:8" ht="40.5" customHeight="1">
      <c r="D246" s="733"/>
      <c r="F246" s="733"/>
      <c r="G246" s="733"/>
      <c r="H246" s="733"/>
    </row>
    <row r="247" spans="4:8">
      <c r="D247" s="733"/>
      <c r="F247" s="733"/>
      <c r="G247" s="733"/>
      <c r="H247" s="733"/>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9" orientation="landscape" r:id="rId2"/>
  <headerFooter alignWithMargins="0"/>
  <rowBreaks count="1" manualBreakCount="1">
    <brk id="48"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J48"/>
  <sheetViews>
    <sheetView view="pageBreakPreview" zoomScale="75" zoomScaleNormal="80" zoomScaleSheetLayoutView="75" workbookViewId="0">
      <selection activeCell="C40" sqref="C40"/>
    </sheetView>
  </sheetViews>
  <sheetFormatPr defaultColWidth="8.84375" defaultRowHeight="15.5"/>
  <cols>
    <col min="1" max="1" width="5.53515625" style="254" customWidth="1"/>
    <col min="2" max="2" width="21.53515625" style="219" customWidth="1"/>
    <col min="3" max="3" width="35.53515625" style="219" customWidth="1"/>
    <col min="4" max="4" width="29.07421875" style="219" customWidth="1"/>
    <col min="5" max="5" width="12.07421875" style="219" customWidth="1"/>
    <col min="6" max="6" width="6.53515625" style="219" customWidth="1"/>
    <col min="7" max="7" width="4.84375" style="219" customWidth="1"/>
    <col min="8" max="8" width="6.4609375" style="219" bestFit="1" customWidth="1"/>
    <col min="9" max="9" width="10" style="225" customWidth="1"/>
    <col min="10" max="10" width="18.07421875" style="219" bestFit="1" customWidth="1"/>
    <col min="11" max="16384" width="8.84375" style="219"/>
  </cols>
  <sheetData>
    <row r="1" spans="1:10">
      <c r="B1" s="1255" t="s">
        <v>236</v>
      </c>
      <c r="C1" s="1255"/>
      <c r="D1" s="1255"/>
      <c r="E1" s="1255"/>
      <c r="F1" s="1255"/>
      <c r="G1" s="1255"/>
      <c r="H1" s="1255"/>
      <c r="I1" s="1255"/>
      <c r="J1" s="1255"/>
    </row>
    <row r="2" spans="1:10">
      <c r="B2" s="1255" t="s">
        <v>290</v>
      </c>
      <c r="C2" s="1255"/>
      <c r="D2" s="1255"/>
      <c r="E2" s="1255"/>
      <c r="F2" s="1255"/>
      <c r="G2" s="1255"/>
      <c r="H2" s="1255"/>
      <c r="I2" s="1255"/>
      <c r="J2" s="1255"/>
    </row>
    <row r="3" spans="1:10">
      <c r="B3" s="1255" t="str">
        <f>+'Attachment H-29A'!D5</f>
        <v>Transource Pennsylvania, LLC</v>
      </c>
      <c r="C3" s="1255"/>
      <c r="D3" s="1255"/>
      <c r="E3" s="1255"/>
      <c r="F3" s="1255"/>
      <c r="G3" s="1255"/>
      <c r="H3" s="1255"/>
      <c r="I3" s="1255"/>
      <c r="J3" s="1255"/>
    </row>
    <row r="5" spans="1:10">
      <c r="A5" s="254">
        <v>1</v>
      </c>
      <c r="B5" s="219" t="s">
        <v>284</v>
      </c>
      <c r="C5" s="219" t="str">
        <f>"Attachment H-29A, page 2, line "&amp;'Attachment H-29A'!A105&amp;", Col.5"</f>
        <v>Attachment H-29A, page 2, line 35, Col.5</v>
      </c>
      <c r="I5" s="219"/>
      <c r="J5" s="254">
        <f>+'Attachment H-29A'!I105</f>
        <v>102401348.7580187</v>
      </c>
    </row>
    <row r="6" spans="1:10">
      <c r="I6" s="219"/>
      <c r="J6" s="225"/>
    </row>
    <row r="7" spans="1:10" ht="16" thickBot="1">
      <c r="A7" s="221">
        <f>+A5+1</f>
        <v>2</v>
      </c>
      <c r="B7" s="222" t="s">
        <v>237</v>
      </c>
      <c r="C7" s="223"/>
      <c r="D7" s="223"/>
      <c r="E7" s="223"/>
      <c r="F7" s="223"/>
      <c r="G7" s="223"/>
      <c r="H7" s="223"/>
      <c r="I7" s="224" t="s">
        <v>48</v>
      </c>
      <c r="J7" s="225"/>
    </row>
    <row r="8" spans="1:10">
      <c r="A8" s="221"/>
      <c r="B8" s="226"/>
      <c r="C8" s="223"/>
      <c r="D8" s="223"/>
      <c r="E8" s="223"/>
      <c r="F8" s="223"/>
      <c r="G8" s="223"/>
      <c r="H8" s="227" t="s">
        <v>57</v>
      </c>
      <c r="I8" s="223"/>
      <c r="J8" s="225"/>
    </row>
    <row r="9" spans="1:10" ht="16" thickBot="1">
      <c r="A9" s="221"/>
      <c r="B9" s="226"/>
      <c r="C9" s="223"/>
      <c r="D9" s="800" t="s">
        <v>199</v>
      </c>
      <c r="E9" s="228" t="s">
        <v>48</v>
      </c>
      <c r="F9" s="228" t="s">
        <v>58</v>
      </c>
      <c r="G9" s="223"/>
      <c r="H9" s="228"/>
      <c r="I9" s="228" t="s">
        <v>59</v>
      </c>
      <c r="J9" s="225"/>
    </row>
    <row r="10" spans="1:10">
      <c r="A10" s="221">
        <f>+A7+1</f>
        <v>3</v>
      </c>
      <c r="B10" s="222" t="s">
        <v>227</v>
      </c>
      <c r="C10" s="32" t="s">
        <v>750</v>
      </c>
      <c r="D10" s="229"/>
      <c r="E10" s="447">
        <f>+'Attachment H-29A'!D203</f>
        <v>51507692.307692304</v>
      </c>
      <c r="F10" s="449">
        <f>+'Attachment H-29A'!E203</f>
        <v>0.50241438584610965</v>
      </c>
      <c r="G10" s="450"/>
      <c r="H10" s="453">
        <f>+'Attachment H-29A'!G203</f>
        <v>6.5704584080047784E-2</v>
      </c>
      <c r="I10" s="451">
        <f>F10*H10</f>
        <v>3.3010928257851284E-2</v>
      </c>
      <c r="J10" s="225"/>
    </row>
    <row r="11" spans="1:10">
      <c r="A11" s="221">
        <f>+A10+1</f>
        <v>4</v>
      </c>
      <c r="B11" s="222" t="s">
        <v>285</v>
      </c>
      <c r="C11" s="32" t="s">
        <v>750</v>
      </c>
      <c r="D11" s="229"/>
      <c r="E11" s="1146">
        <f>+'Attachment H-29A'!D204</f>
        <v>0</v>
      </c>
      <c r="F11" s="449">
        <f>+'Attachment H-29A'!E204</f>
        <v>0</v>
      </c>
      <c r="G11" s="450"/>
      <c r="H11" s="453">
        <f>+'Attachment H-29A'!G204</f>
        <v>0</v>
      </c>
      <c r="I11" s="451">
        <f>F11*H11</f>
        <v>0</v>
      </c>
      <c r="J11" s="225"/>
    </row>
    <row r="12" spans="1:10" ht="31.5" thickBot="1">
      <c r="A12" s="221">
        <f>+A11+1</f>
        <v>5</v>
      </c>
      <c r="B12" s="222" t="s">
        <v>262</v>
      </c>
      <c r="C12" s="32" t="s">
        <v>751</v>
      </c>
      <c r="D12" s="266" t="s">
        <v>769</v>
      </c>
      <c r="E12" s="447">
        <f>+'Attachment H-29A'!D205</f>
        <v>51012645.005000003</v>
      </c>
      <c r="F12" s="449">
        <f>+'Attachment H-29A'!E205</f>
        <v>0.4975856141538903</v>
      </c>
      <c r="G12" s="450"/>
      <c r="H12" s="453">
        <f>+'Attachment H-29A'!G205+0.01</f>
        <v>0.114</v>
      </c>
      <c r="I12" s="452">
        <f>F12*H12</f>
        <v>5.6724760013543499E-2</v>
      </c>
      <c r="J12" s="225"/>
    </row>
    <row r="13" spans="1:10">
      <c r="A13" s="221">
        <f>+A12+1</f>
        <v>6</v>
      </c>
      <c r="B13" s="226" t="s">
        <v>509</v>
      </c>
      <c r="C13" s="230"/>
      <c r="D13" s="230"/>
      <c r="E13" s="447">
        <f>SUM(E10:E12)</f>
        <v>102520337.31269231</v>
      </c>
      <c r="F13" s="220" t="s">
        <v>2</v>
      </c>
      <c r="G13" s="220"/>
      <c r="H13" s="448"/>
      <c r="I13" s="451">
        <f>SUM(I10:I12)</f>
        <v>8.9735688271394776E-2</v>
      </c>
      <c r="J13" s="225"/>
    </row>
    <row r="14" spans="1:10">
      <c r="A14" s="221">
        <f t="shared" ref="A14:A38" si="0">+A13+1</f>
        <v>7</v>
      </c>
      <c r="B14" s="226" t="s">
        <v>776</v>
      </c>
      <c r="C14" s="230"/>
      <c r="D14" s="230"/>
      <c r="E14" s="231"/>
      <c r="F14" s="223"/>
      <c r="G14" s="223"/>
      <c r="H14" s="223"/>
      <c r="I14" s="462"/>
      <c r="J14" s="254">
        <f>+I13*J5</f>
        <v>9189055.5107199457</v>
      </c>
    </row>
    <row r="15" spans="1:10">
      <c r="A15" s="221"/>
      <c r="I15" s="463"/>
      <c r="J15" s="463"/>
    </row>
    <row r="16" spans="1:10">
      <c r="A16" s="221">
        <f>+A14+1</f>
        <v>8</v>
      </c>
      <c r="B16" s="226" t="s">
        <v>40</v>
      </c>
      <c r="C16" s="232"/>
      <c r="D16" s="232"/>
      <c r="E16" s="223"/>
      <c r="F16" s="223"/>
      <c r="G16" s="230"/>
      <c r="H16" s="233"/>
      <c r="I16" s="462"/>
      <c r="J16" s="463"/>
    </row>
    <row r="17" spans="1:10">
      <c r="A17" s="221">
        <f t="shared" si="0"/>
        <v>9</v>
      </c>
      <c r="B17" s="234" t="s">
        <v>731</v>
      </c>
      <c r="C17" s="223"/>
      <c r="D17" s="475"/>
      <c r="E17" s="633">
        <f>IF('Attachment H-29A'!D237&gt;0,1-(((1-'Attachment H-29A'!D238)*(1-'Attachment H-29A'!D237))/(1-'Attachment H-29A'!D237*'Attachment H-29A'!D238*'Attachment H-29A'!D239)),0)</f>
        <v>0.27707099999999996</v>
      </c>
      <c r="F17" s="633"/>
      <c r="G17" s="230"/>
      <c r="H17" s="233"/>
      <c r="I17" s="462"/>
      <c r="J17" s="463"/>
    </row>
    <row r="18" spans="1:10">
      <c r="A18" s="221">
        <f t="shared" si="0"/>
        <v>10</v>
      </c>
      <c r="B18" s="230" t="s">
        <v>41</v>
      </c>
      <c r="C18" s="223"/>
      <c r="D18" s="475"/>
      <c r="E18" s="633">
        <f>IF(I13&gt;0,(E17/(1-E17))*(1-I10/I13),0)</f>
        <v>0.24227181591096714</v>
      </c>
      <c r="F18" s="223"/>
      <c r="G18" s="230"/>
      <c r="H18" s="233"/>
      <c r="I18" s="462"/>
      <c r="J18" s="463"/>
    </row>
    <row r="19" spans="1:10">
      <c r="A19" s="221">
        <f t="shared" si="0"/>
        <v>11</v>
      </c>
      <c r="B19" s="232" t="s">
        <v>286</v>
      </c>
      <c r="C19" s="232"/>
      <c r="D19" s="475"/>
      <c r="E19" s="223"/>
      <c r="F19" s="223"/>
      <c r="G19" s="230"/>
      <c r="H19" s="233"/>
      <c r="I19" s="462"/>
      <c r="J19" s="463"/>
    </row>
    <row r="20" spans="1:10">
      <c r="A20" s="221">
        <f t="shared" si="0"/>
        <v>12</v>
      </c>
      <c r="B20" s="235" t="s">
        <v>752</v>
      </c>
      <c r="C20" s="232"/>
      <c r="D20" s="232"/>
      <c r="E20" s="223"/>
      <c r="F20" s="223"/>
      <c r="G20" s="230"/>
      <c r="H20" s="233"/>
      <c r="I20" s="462"/>
      <c r="J20" s="463"/>
    </row>
    <row r="21" spans="1:10">
      <c r="A21" s="221">
        <f t="shared" si="0"/>
        <v>13</v>
      </c>
      <c r="B21" s="236" t="str">
        <f>"      1 / (1 - T)  =  (from line "&amp;A17&amp;")"</f>
        <v xml:space="preserve">      1 / (1 - T)  =  (from line 9)</v>
      </c>
      <c r="C21" s="232"/>
      <c r="D21" s="232"/>
      <c r="E21" s="633">
        <f>IF(E17&gt;0,1/(1-E17),0)</f>
        <v>1.3832617034314572</v>
      </c>
      <c r="F21" s="223"/>
      <c r="G21" s="230"/>
      <c r="H21" s="233"/>
      <c r="I21" s="462"/>
      <c r="J21" s="463"/>
    </row>
    <row r="22" spans="1:10">
      <c r="A22" s="221">
        <f t="shared" si="0"/>
        <v>14</v>
      </c>
      <c r="B22" s="235" t="s">
        <v>238</v>
      </c>
      <c r="C22" s="232"/>
      <c r="D22" s="232" t="s">
        <v>753</v>
      </c>
      <c r="E22" s="1147">
        <f>+'Attachment H-29A'!D159</f>
        <v>0</v>
      </c>
      <c r="F22" s="223"/>
      <c r="G22" s="230"/>
      <c r="H22" s="233"/>
      <c r="I22" s="462"/>
      <c r="J22" s="463"/>
    </row>
    <row r="23" spans="1:10">
      <c r="A23" s="221">
        <f t="shared" si="0"/>
        <v>15</v>
      </c>
      <c r="B23" s="235" t="s">
        <v>239</v>
      </c>
      <c r="C23" s="232"/>
      <c r="D23" s="232" t="s">
        <v>754</v>
      </c>
      <c r="E23" s="1147">
        <f>+'Attachment H-29A'!D160</f>
        <v>0</v>
      </c>
      <c r="F23" s="223"/>
      <c r="G23" s="230"/>
      <c r="H23" s="238"/>
      <c r="I23" s="462"/>
      <c r="J23" s="463"/>
    </row>
    <row r="24" spans="1:10">
      <c r="A24" s="221">
        <f t="shared" si="0"/>
        <v>16</v>
      </c>
      <c r="B24" s="235" t="s">
        <v>287</v>
      </c>
      <c r="C24" s="232"/>
      <c r="D24" s="232" t="s">
        <v>755</v>
      </c>
      <c r="E24" s="1147">
        <f>+'Attachment H-29A'!D161</f>
        <v>0</v>
      </c>
      <c r="F24" s="223"/>
      <c r="G24" s="230"/>
      <c r="H24" s="233"/>
      <c r="I24" s="462"/>
      <c r="J24" s="463"/>
    </row>
    <row r="25" spans="1:10">
      <c r="A25" s="221">
        <f t="shared" si="0"/>
        <v>17</v>
      </c>
      <c r="B25" s="236" t="str">
        <f>"Income Tax Calculation = line "&amp;A14&amp;" * line "&amp;A18&amp;""</f>
        <v>Income Tax Calculation = line 7 * line 10</v>
      </c>
      <c r="C25" s="239"/>
      <c r="E25" s="1148"/>
      <c r="F25" s="240"/>
      <c r="G25" s="240"/>
      <c r="H25" s="241"/>
      <c r="I25" s="1148">
        <f>+E18*J14</f>
        <v>2226249.1650888007</v>
      </c>
      <c r="J25" s="463"/>
    </row>
    <row r="26" spans="1:10">
      <c r="A26" s="221">
        <f t="shared" si="0"/>
        <v>18</v>
      </c>
      <c r="B26" s="229" t="str">
        <f>"ITC adjustment (line "&amp;A21&amp;" * line "&amp;A22&amp;")"</f>
        <v>ITC adjustment (line 13 * line 14)</v>
      </c>
      <c r="C26" s="239"/>
      <c r="D26" s="239"/>
      <c r="E26" s="1148">
        <f>+E$21*E22</f>
        <v>0</v>
      </c>
      <c r="F26" s="240"/>
      <c r="G26" s="242" t="s">
        <v>27</v>
      </c>
      <c r="H26" s="220">
        <f>+'Attachment H-29A'!G83</f>
        <v>1</v>
      </c>
      <c r="I26" s="1148">
        <f>+E26*H26</f>
        <v>0</v>
      </c>
      <c r="J26" s="463"/>
    </row>
    <row r="27" spans="1:10">
      <c r="A27" s="221">
        <f t="shared" si="0"/>
        <v>19</v>
      </c>
      <c r="B27" s="229" t="str">
        <f>"Excess Deferred Income Tax Adjustment (line "&amp;A21&amp;" * line "&amp;A23&amp;")"</f>
        <v>Excess Deferred Income Tax Adjustment (line 13 * line 15)</v>
      </c>
      <c r="C27" s="239"/>
      <c r="D27" s="239"/>
      <c r="E27" s="1148">
        <f>+E$21*E23</f>
        <v>0</v>
      </c>
      <c r="F27" s="240"/>
      <c r="G27" s="242" t="s">
        <v>27</v>
      </c>
      <c r="H27" s="220">
        <f>H26</f>
        <v>1</v>
      </c>
      <c r="I27" s="1148">
        <f>+E27*H27</f>
        <v>0</v>
      </c>
      <c r="J27" s="463"/>
    </row>
    <row r="28" spans="1:10">
      <c r="A28" s="221">
        <f t="shared" si="0"/>
        <v>20</v>
      </c>
      <c r="B28" s="229" t="str">
        <f>"Permanent Differences Tax Adjustment (line "&amp;A21&amp;" * "&amp;A24&amp;")"</f>
        <v>Permanent Differences Tax Adjustment (line 13 * 16)</v>
      </c>
      <c r="C28" s="239"/>
      <c r="D28" s="239"/>
      <c r="E28" s="1149">
        <f>+E$21*E24</f>
        <v>0</v>
      </c>
      <c r="F28" s="240"/>
      <c r="G28" s="242" t="s">
        <v>27</v>
      </c>
      <c r="H28" s="220">
        <f>H27</f>
        <v>1</v>
      </c>
      <c r="I28" s="1149">
        <f>+E28*H28</f>
        <v>0</v>
      </c>
      <c r="J28" s="463"/>
    </row>
    <row r="29" spans="1:10">
      <c r="A29" s="221">
        <f t="shared" si="0"/>
        <v>21</v>
      </c>
      <c r="B29" s="243" t="str">
        <f>"Total Income Taxes (sum lines "&amp;A25&amp;" - "&amp;A28&amp;")"</f>
        <v>Total Income Taxes (sum lines 17 - 20)</v>
      </c>
      <c r="C29" s="229"/>
      <c r="D29" s="229"/>
      <c r="E29" s="237"/>
      <c r="F29" s="240"/>
      <c r="G29" s="240" t="s">
        <v>2</v>
      </c>
      <c r="H29" s="241" t="s">
        <v>2</v>
      </c>
      <c r="I29" s="464">
        <f>SUM(I25:I28)</f>
        <v>2226249.1650888007</v>
      </c>
      <c r="J29" s="254">
        <f>+I29</f>
        <v>2226249.1650888007</v>
      </c>
    </row>
    <row r="30" spans="1:10">
      <c r="A30" s="221"/>
      <c r="I30" s="463"/>
      <c r="J30" s="463"/>
    </row>
    <row r="31" spans="1:10">
      <c r="A31" s="221">
        <f>+A29+1</f>
        <v>22</v>
      </c>
      <c r="B31" s="229" t="s">
        <v>770</v>
      </c>
      <c r="D31" s="232" t="str">
        <f>"(line "&amp;A14&amp;" + line "&amp;A29&amp;")"</f>
        <v>(line 7 + line 21)</v>
      </c>
      <c r="I31" s="463"/>
      <c r="J31" s="254">
        <f>+J29+J14</f>
        <v>11415304.675808746</v>
      </c>
    </row>
    <row r="32" spans="1:10">
      <c r="A32" s="221"/>
      <c r="I32" s="463"/>
      <c r="J32" s="463"/>
    </row>
    <row r="33" spans="1:10">
      <c r="A33" s="221">
        <f>+A31+1</f>
        <v>23</v>
      </c>
      <c r="B33" s="219" t="s">
        <v>756</v>
      </c>
      <c r="I33" s="463"/>
      <c r="J33" s="254">
        <f>+'Attachment H-29A'!I169</f>
        <v>8679521.1306004915</v>
      </c>
    </row>
    <row r="34" spans="1:10">
      <c r="A34" s="221">
        <f t="shared" si="0"/>
        <v>24</v>
      </c>
      <c r="B34" s="219" t="s">
        <v>757</v>
      </c>
      <c r="I34" s="463"/>
      <c r="J34" s="254">
        <f>+'Attachment H-29A'!I166</f>
        <v>2030964.1506073272</v>
      </c>
    </row>
    <row r="35" spans="1:10">
      <c r="A35" s="221">
        <f t="shared" si="0"/>
        <v>25</v>
      </c>
      <c r="B35" s="229" t="s">
        <v>771</v>
      </c>
      <c r="D35" s="232" t="str">
        <f>"(line "&amp;A33&amp;" + line "&amp;A34&amp;")"</f>
        <v>(line 23 + line 24)</v>
      </c>
      <c r="I35" s="463"/>
      <c r="J35" s="653">
        <f>SUM(J33:J34)</f>
        <v>10710485.281207819</v>
      </c>
    </row>
    <row r="36" spans="1:10">
      <c r="A36" s="221">
        <f t="shared" si="0"/>
        <v>26</v>
      </c>
      <c r="B36" s="229" t="s">
        <v>772</v>
      </c>
      <c r="D36" s="232" t="str">
        <f>"(line "&amp;A31&amp;" - line "&amp;A35&amp;")"</f>
        <v>(line 22 - line 25)</v>
      </c>
      <c r="I36" s="219"/>
      <c r="J36" s="1150">
        <f>+J31-J35</f>
        <v>704819.39460092783</v>
      </c>
    </row>
    <row r="37" spans="1:10">
      <c r="A37" s="221">
        <f t="shared" si="0"/>
        <v>27</v>
      </c>
      <c r="B37" s="219" t="s">
        <v>288</v>
      </c>
      <c r="I37" s="219"/>
      <c r="J37" s="267">
        <f>+J5</f>
        <v>102401348.7580187</v>
      </c>
    </row>
    <row r="38" spans="1:10">
      <c r="A38" s="221">
        <f t="shared" si="0"/>
        <v>28</v>
      </c>
      <c r="B38" s="219" t="s">
        <v>773</v>
      </c>
      <c r="I38" s="219"/>
      <c r="J38" s="268">
        <f>IF(J37=0,0,J36/J37)</f>
        <v>6.8829112423749771E-3</v>
      </c>
    </row>
    <row r="39" spans="1:10">
      <c r="I39" s="219"/>
      <c r="J39" s="225"/>
    </row>
    <row r="40" spans="1:10">
      <c r="A40" s="635" t="s">
        <v>267</v>
      </c>
      <c r="I40" s="219"/>
      <c r="J40" s="225"/>
    </row>
    <row r="41" spans="1:10">
      <c r="A41" s="634" t="s">
        <v>62</v>
      </c>
      <c r="B41" s="254" t="s">
        <v>774</v>
      </c>
      <c r="I41" s="219"/>
      <c r="J41" s="225"/>
    </row>
    <row r="42" spans="1:10">
      <c r="A42" s="634"/>
      <c r="B42" s="219" t="s">
        <v>775</v>
      </c>
      <c r="I42" s="219"/>
      <c r="J42" s="225"/>
    </row>
    <row r="43" spans="1:10">
      <c r="A43" s="634"/>
      <c r="B43" s="219" t="s">
        <v>631</v>
      </c>
      <c r="I43" s="219"/>
      <c r="J43" s="225"/>
    </row>
    <row r="44" spans="1:10">
      <c r="A44" s="634"/>
      <c r="B44" s="219" t="s">
        <v>632</v>
      </c>
      <c r="I44" s="219"/>
      <c r="J44" s="225"/>
    </row>
    <row r="45" spans="1:10">
      <c r="A45" s="634" t="s">
        <v>63</v>
      </c>
      <c r="B45" s="219" t="s">
        <v>268</v>
      </c>
      <c r="I45" s="219"/>
      <c r="J45" s="225"/>
    </row>
    <row r="46" spans="1:10">
      <c r="B46" s="219" t="s">
        <v>758</v>
      </c>
      <c r="I46" s="219"/>
      <c r="J46" s="225"/>
    </row>
    <row r="47" spans="1:10">
      <c r="A47" s="634" t="s">
        <v>64</v>
      </c>
      <c r="B47" s="219" t="s">
        <v>847</v>
      </c>
    </row>
    <row r="48" spans="1:10">
      <c r="B48" s="219" t="s">
        <v>848</v>
      </c>
    </row>
  </sheetData>
  <customSheetViews>
    <customSheetView guid="{F1DC5514-577A-46EB-866C-26F0BED2C286}" scale="75" showPageBreaks="1" view="pageBreakPreview">
      <selection activeCell="E33" sqref="E33"/>
      <pageMargins left="0.7" right="0.7" top="0.75" bottom="0.75" header="0.3" footer="0.3"/>
      <pageSetup scale="64" orientation="landscape" r:id="rId1"/>
    </customSheetView>
    <customSheetView guid="{63AFAF34-E340-4B5E-A289-FFB7051CA9B6}" scale="80">
      <selection activeCell="H12" sqref="H12"/>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view="pageBreakPreview" zoomScale="85" zoomScaleNormal="100" zoomScaleSheetLayoutView="85" workbookViewId="0">
      <selection activeCell="G11" sqref="G11"/>
    </sheetView>
  </sheetViews>
  <sheetFormatPr defaultColWidth="8.84375" defaultRowHeight="13"/>
  <cols>
    <col min="1" max="1" width="6" style="422" customWidth="1"/>
    <col min="2" max="2" width="28.3046875" style="395" customWidth="1"/>
    <col min="3" max="3" width="12.07421875" style="507" customWidth="1"/>
    <col min="4" max="4" width="21.69140625" style="395" customWidth="1"/>
    <col min="5" max="5" width="14.69140625" style="395" customWidth="1"/>
    <col min="6" max="6" width="14.53515625" style="395" customWidth="1"/>
    <col min="7" max="7" width="15.07421875" style="395" customWidth="1"/>
    <col min="8" max="8" width="13.84375" style="395" customWidth="1"/>
    <col min="9" max="9" width="12" style="395" customWidth="1"/>
    <col min="10" max="10" width="9.53515625" style="395" customWidth="1"/>
    <col min="11" max="11" width="12" style="395" customWidth="1"/>
    <col min="12" max="12" width="10.3046875" style="395" customWidth="1"/>
    <col min="13" max="13" width="13.53515625" style="395" customWidth="1"/>
    <col min="14" max="16384" width="8.84375" style="395"/>
  </cols>
  <sheetData>
    <row r="1" spans="1:13">
      <c r="L1" s="391" t="s">
        <v>414</v>
      </c>
      <c r="M1" s="391"/>
    </row>
    <row r="2" spans="1:13">
      <c r="F2" s="392" t="s">
        <v>182</v>
      </c>
    </row>
    <row r="3" spans="1:13">
      <c r="F3" s="403" t="s">
        <v>551</v>
      </c>
    </row>
    <row r="4" spans="1:13">
      <c r="E4" s="391"/>
      <c r="F4" s="398" t="str">
        <f>+'Attachment H-29A'!D5</f>
        <v>Transource Pennsylvania, LLC</v>
      </c>
      <c r="G4" s="391"/>
      <c r="H4" s="391"/>
      <c r="J4" s="391"/>
      <c r="K4" s="391"/>
      <c r="L4" s="391"/>
      <c r="M4" s="394"/>
    </row>
    <row r="5" spans="1:13">
      <c r="E5" s="391"/>
      <c r="G5" s="393"/>
      <c r="H5" s="393"/>
      <c r="J5" s="393"/>
      <c r="K5" s="393"/>
      <c r="L5" s="393"/>
      <c r="M5" s="394"/>
    </row>
    <row r="6" spans="1:13" ht="70.5" customHeight="1">
      <c r="B6" s="1239" t="s">
        <v>586</v>
      </c>
      <c r="C6" s="1239"/>
      <c r="D6" s="1239"/>
      <c r="E6" s="1239"/>
      <c r="F6" s="1239"/>
      <c r="G6" s="1239"/>
      <c r="H6" s="1239"/>
      <c r="I6" s="1239"/>
      <c r="J6" s="1239"/>
      <c r="K6" s="1239"/>
      <c r="L6" s="1239"/>
      <c r="M6" s="556"/>
    </row>
    <row r="7" spans="1:13" s="402" customFormat="1" ht="27" customHeight="1">
      <c r="A7" s="423"/>
      <c r="B7" s="1254" t="s">
        <v>662</v>
      </c>
      <c r="C7" s="1254"/>
      <c r="D7" s="1254"/>
      <c r="E7" s="1254"/>
      <c r="F7" s="1254"/>
      <c r="G7" s="1254"/>
      <c r="H7" s="1254"/>
      <c r="I7" s="1254"/>
      <c r="J7" s="1254"/>
      <c r="K7" s="399"/>
      <c r="L7" s="399"/>
      <c r="M7" s="399"/>
    </row>
    <row r="8" spans="1:13" s="536" customFormat="1" ht="18" customHeight="1">
      <c r="A8" s="551"/>
      <c r="B8" s="674"/>
      <c r="C8" s="674"/>
      <c r="D8" s="674"/>
      <c r="E8" s="674"/>
      <c r="F8" s="674"/>
      <c r="G8" s="674"/>
      <c r="H8" s="674"/>
      <c r="I8" s="674"/>
      <c r="J8" s="674"/>
      <c r="K8" s="532"/>
      <c r="L8" s="532"/>
      <c r="M8" s="532"/>
    </row>
    <row r="9" spans="1:13" s="402" customFormat="1" ht="15.75" customHeight="1">
      <c r="A9" s="497" t="s">
        <v>591</v>
      </c>
      <c r="B9" s="399"/>
      <c r="C9" s="532"/>
      <c r="D9" s="399"/>
      <c r="E9" s="1262" t="s">
        <v>485</v>
      </c>
      <c r="F9" s="1263"/>
      <c r="G9" s="1257" t="s">
        <v>550</v>
      </c>
      <c r="H9" s="435" t="s">
        <v>484</v>
      </c>
      <c r="I9" s="404"/>
      <c r="J9" s="407"/>
      <c r="K9" s="407"/>
      <c r="L9" s="405"/>
    </row>
    <row r="10" spans="1:13" s="402" customFormat="1" ht="15.75" customHeight="1">
      <c r="A10" s="423">
        <v>1</v>
      </c>
      <c r="B10" s="399" t="s">
        <v>709</v>
      </c>
      <c r="C10" s="532"/>
      <c r="D10" s="399"/>
      <c r="E10" s="1259" t="s">
        <v>304</v>
      </c>
      <c r="F10" s="1261"/>
      <c r="G10" s="1258"/>
      <c r="H10" s="408" t="s">
        <v>553</v>
      </c>
      <c r="I10" s="1259" t="s">
        <v>306</v>
      </c>
      <c r="J10" s="1260"/>
      <c r="K10" s="1260"/>
      <c r="L10" s="1261"/>
    </row>
    <row r="11" spans="1:13" s="402" customFormat="1">
      <c r="A11" s="423">
        <v>2</v>
      </c>
      <c r="B11" s="801">
        <v>2024</v>
      </c>
      <c r="C11" s="539"/>
      <c r="D11" s="399"/>
      <c r="E11" s="409"/>
      <c r="F11" s="409"/>
      <c r="G11" s="410">
        <v>10192167.398432551</v>
      </c>
      <c r="H11" s="411"/>
      <c r="I11" s="409"/>
      <c r="J11" s="409"/>
      <c r="K11" s="409"/>
      <c r="L11" s="409"/>
    </row>
    <row r="12" spans="1:13" s="402" customFormat="1">
      <c r="B12" s="412" t="s">
        <v>62</v>
      </c>
      <c r="C12" s="542"/>
      <c r="D12" s="412" t="s">
        <v>63</v>
      </c>
      <c r="E12" s="408" t="s">
        <v>64</v>
      </c>
      <c r="F12" s="408" t="s">
        <v>65</v>
      </c>
      <c r="G12" s="406" t="s">
        <v>66</v>
      </c>
      <c r="H12" s="413" t="s">
        <v>67</v>
      </c>
      <c r="I12" s="413" t="s">
        <v>68</v>
      </c>
      <c r="J12" s="413" t="s">
        <v>69</v>
      </c>
      <c r="K12" s="434" t="s">
        <v>70</v>
      </c>
      <c r="L12" s="413" t="s">
        <v>71</v>
      </c>
    </row>
    <row r="13" spans="1:13" s="402" customFormat="1">
      <c r="A13" s="423"/>
      <c r="B13" s="409"/>
      <c r="C13" s="540"/>
      <c r="D13" s="406"/>
      <c r="E13" s="406"/>
      <c r="F13" s="426" t="s">
        <v>307</v>
      </c>
      <c r="G13" s="406" t="s">
        <v>557</v>
      </c>
      <c r="H13" s="406"/>
      <c r="I13" s="409"/>
      <c r="J13" s="406" t="s">
        <v>479</v>
      </c>
      <c r="K13" s="409"/>
      <c r="L13" s="409"/>
    </row>
    <row r="14" spans="1:13" s="402" customFormat="1">
      <c r="A14" s="423"/>
      <c r="B14" s="411"/>
      <c r="C14" s="541"/>
      <c r="D14" s="543" t="s">
        <v>313</v>
      </c>
      <c r="E14" s="413"/>
      <c r="F14" s="424" t="s">
        <v>13</v>
      </c>
      <c r="G14" s="413" t="s">
        <v>379</v>
      </c>
      <c r="H14" s="413" t="s">
        <v>479</v>
      </c>
      <c r="I14" s="413" t="s">
        <v>380</v>
      </c>
      <c r="J14" s="413" t="s">
        <v>273</v>
      </c>
      <c r="K14" s="413" t="s">
        <v>325</v>
      </c>
      <c r="L14" s="413"/>
    </row>
    <row r="15" spans="1:13" s="402" customFormat="1">
      <c r="A15" s="423"/>
      <c r="B15" s="413"/>
      <c r="C15" s="543"/>
      <c r="D15" s="543" t="s">
        <v>582</v>
      </c>
      <c r="E15" s="413" t="s">
        <v>308</v>
      </c>
      <c r="F15" s="424" t="s">
        <v>282</v>
      </c>
      <c r="G15" s="413" t="s">
        <v>311</v>
      </c>
      <c r="H15" s="413" t="s">
        <v>308</v>
      </c>
      <c r="I15" s="413" t="s">
        <v>283</v>
      </c>
      <c r="J15" s="413" t="s">
        <v>309</v>
      </c>
      <c r="K15" s="433" t="s">
        <v>476</v>
      </c>
      <c r="L15" s="413" t="s">
        <v>332</v>
      </c>
    </row>
    <row r="16" spans="1:13" s="402" customFormat="1" ht="15.5">
      <c r="A16" s="423"/>
      <c r="B16" s="538" t="s">
        <v>310</v>
      </c>
      <c r="C16" s="538" t="s">
        <v>578</v>
      </c>
      <c r="D16" s="538" t="s">
        <v>583</v>
      </c>
      <c r="E16" s="408" t="s">
        <v>312</v>
      </c>
      <c r="F16" s="424" t="s">
        <v>305</v>
      </c>
      <c r="G16" s="427" t="s">
        <v>554</v>
      </c>
      <c r="H16" s="408" t="s">
        <v>483</v>
      </c>
      <c r="I16" s="408" t="s">
        <v>555</v>
      </c>
      <c r="J16" s="408" t="s">
        <v>480</v>
      </c>
      <c r="K16" s="432" t="s">
        <v>481</v>
      </c>
      <c r="L16" s="408" t="s">
        <v>556</v>
      </c>
    </row>
    <row r="17" spans="1:13" s="402" customFormat="1">
      <c r="A17" s="423">
        <v>3</v>
      </c>
      <c r="B17" s="444" t="s">
        <v>759</v>
      </c>
      <c r="C17" s="567"/>
      <c r="D17" s="420"/>
      <c r="E17" s="1151">
        <v>0</v>
      </c>
      <c r="F17" s="440">
        <f>IF(E$29=0,0,E17/E$29)</f>
        <v>0</v>
      </c>
      <c r="G17" s="1155">
        <f>IF(G$11=0,0,F17*G$11)</f>
        <v>0</v>
      </c>
      <c r="H17" s="1159">
        <v>0</v>
      </c>
      <c r="I17" s="1165">
        <f>+H17-G17</f>
        <v>0</v>
      </c>
      <c r="J17" s="1162">
        <f>+$J$31*F17</f>
        <v>0</v>
      </c>
      <c r="K17" s="1167">
        <v>0</v>
      </c>
      <c r="L17" s="1168">
        <f>+I17+J17+K17</f>
        <v>0</v>
      </c>
    </row>
    <row r="18" spans="1:13" s="536" customFormat="1">
      <c r="A18" s="550"/>
      <c r="B18" s="557"/>
      <c r="C18" s="557"/>
      <c r="D18" s="489"/>
      <c r="E18" s="1152"/>
      <c r="F18" s="491"/>
      <c r="G18" s="1156"/>
      <c r="H18" s="1156"/>
      <c r="I18" s="1163"/>
      <c r="J18" s="1163"/>
      <c r="K18" s="1163"/>
      <c r="L18" s="1133"/>
    </row>
    <row r="19" spans="1:13" s="402" customFormat="1">
      <c r="A19" s="423" t="s">
        <v>587</v>
      </c>
      <c r="B19" s="816" t="s">
        <v>844</v>
      </c>
      <c r="C19" s="816" t="s">
        <v>579</v>
      </c>
      <c r="D19" s="811" t="s">
        <v>845</v>
      </c>
      <c r="E19" s="1153">
        <v>7760473.7748411437</v>
      </c>
      <c r="F19" s="441">
        <f>IF(E$29=0,0,E19/E$29)</f>
        <v>0.93344660772178067</v>
      </c>
      <c r="G19" s="1155">
        <f>IF(G$11=0,0,F19*G$11)</f>
        <v>9513844.0833993908</v>
      </c>
      <c r="H19" s="1160">
        <f>'1-Project Rev Req'!S59</f>
        <v>10246075.81411393</v>
      </c>
      <c r="I19" s="1164">
        <f>+H19-G19</f>
        <v>732231.73071453907</v>
      </c>
      <c r="J19" s="1165">
        <f>+$J$31*F19</f>
        <v>193947.15241830467</v>
      </c>
      <c r="K19" s="1166">
        <f>D38</f>
        <v>0</v>
      </c>
      <c r="L19" s="1165">
        <f>+I19+J19+K19</f>
        <v>926178.88313284377</v>
      </c>
    </row>
    <row r="20" spans="1:13" s="402" customFormat="1">
      <c r="A20" s="423" t="s">
        <v>588</v>
      </c>
      <c r="B20" s="816"/>
      <c r="C20" s="816"/>
      <c r="D20" s="813"/>
      <c r="E20" s="1153">
        <v>0</v>
      </c>
      <c r="F20" s="441">
        <f>IF(E$29=0,0,E20/E$29)</f>
        <v>0</v>
      </c>
      <c r="G20" s="1155">
        <f>IF(G$11=0,0,F20*G$11)</f>
        <v>0</v>
      </c>
      <c r="H20" s="1160">
        <f>+'1-Project Rev Req'!S60</f>
        <v>0</v>
      </c>
      <c r="I20" s="1164">
        <f>+H20-G20</f>
        <v>0</v>
      </c>
      <c r="J20" s="1165">
        <f>+$J$31*F20</f>
        <v>0</v>
      </c>
      <c r="K20" s="1166">
        <v>0</v>
      </c>
      <c r="L20" s="1165">
        <f>+I20+J20+K20</f>
        <v>0</v>
      </c>
    </row>
    <row r="21" spans="1:13" s="536" customFormat="1">
      <c r="A21" s="550">
        <v>5</v>
      </c>
      <c r="B21" s="815" t="s">
        <v>580</v>
      </c>
      <c r="C21" s="815"/>
      <c r="D21" s="818"/>
      <c r="E21" s="1154">
        <f>+E19+E20</f>
        <v>7760473.7748411437</v>
      </c>
      <c r="F21" s="496"/>
      <c r="G21" s="1154">
        <f t="shared" ref="G21:L21" si="0">+G19+G20</f>
        <v>9513844.0833993908</v>
      </c>
      <c r="H21" s="1154">
        <f t="shared" si="0"/>
        <v>10246075.81411393</v>
      </c>
      <c r="I21" s="1154">
        <f t="shared" si="0"/>
        <v>732231.73071453907</v>
      </c>
      <c r="J21" s="1154">
        <f t="shared" si="0"/>
        <v>193947.15241830467</v>
      </c>
      <c r="K21" s="1154">
        <f t="shared" si="0"/>
        <v>0</v>
      </c>
      <c r="L21" s="1157">
        <f t="shared" si="0"/>
        <v>926178.88313284377</v>
      </c>
    </row>
    <row r="22" spans="1:13" s="536" customFormat="1">
      <c r="A22" s="550"/>
      <c r="B22" s="814"/>
      <c r="C22" s="814"/>
      <c r="D22" s="817"/>
      <c r="E22" s="1152"/>
      <c r="F22" s="491"/>
      <c r="G22" s="1156"/>
      <c r="H22" s="1156"/>
      <c r="I22" s="1158"/>
      <c r="J22" s="1163"/>
      <c r="K22" s="1158"/>
      <c r="L22" s="1163"/>
    </row>
    <row r="23" spans="1:13" s="402" customFormat="1">
      <c r="A23" s="423" t="s">
        <v>589</v>
      </c>
      <c r="B23" s="816" t="s">
        <v>1020</v>
      </c>
      <c r="C23" s="816" t="s">
        <v>579</v>
      </c>
      <c r="D23" s="813" t="s">
        <v>1021</v>
      </c>
      <c r="E23" s="1153">
        <v>553310.54945113452</v>
      </c>
      <c r="F23" s="441">
        <f>IF(E$29=0,0,E23/E$29)</f>
        <v>6.6553392278219325E-2</v>
      </c>
      <c r="G23" s="1155">
        <f>IF(G$11=0,0,F23*G$11)</f>
        <v>678323.31503315968</v>
      </c>
      <c r="H23" s="1160">
        <f>+'1-Project Rev Req'!S63</f>
        <v>1096494.3743203857</v>
      </c>
      <c r="I23" s="1164">
        <f>+H23-G23</f>
        <v>418171.05928722606</v>
      </c>
      <c r="J23" s="1165">
        <f>+$J$31*F23</f>
        <v>13828.151293669154</v>
      </c>
      <c r="K23" s="1166">
        <v>0</v>
      </c>
      <c r="L23" s="1165">
        <f>+I23+J23+K23</f>
        <v>431999.21058089519</v>
      </c>
    </row>
    <row r="24" spans="1:13" s="402" customFormat="1">
      <c r="A24" s="423" t="s">
        <v>590</v>
      </c>
      <c r="B24" s="816"/>
      <c r="C24" s="816"/>
      <c r="D24" s="813"/>
      <c r="E24" s="1153">
        <v>0</v>
      </c>
      <c r="F24" s="441">
        <f>IF(E$29=0,0,E24/E$29)</f>
        <v>0</v>
      </c>
      <c r="G24" s="1155">
        <f>IF(G$11=0,0,F24*G$11)</f>
        <v>0</v>
      </c>
      <c r="H24" s="1160">
        <f>+'1-Project Rev Req'!S64</f>
        <v>0</v>
      </c>
      <c r="I24" s="1164">
        <f>+H24-G24</f>
        <v>0</v>
      </c>
      <c r="J24" s="1165">
        <f>+$J$31*F24</f>
        <v>0</v>
      </c>
      <c r="K24" s="1166">
        <v>0</v>
      </c>
      <c r="L24" s="1165">
        <f>+I24+J24+K24</f>
        <v>0</v>
      </c>
    </row>
    <row r="25" spans="1:13" s="536" customFormat="1">
      <c r="A25" s="550">
        <v>7</v>
      </c>
      <c r="B25" s="558" t="s">
        <v>581</v>
      </c>
      <c r="C25" s="558"/>
      <c r="D25" s="495"/>
      <c r="E25" s="1154">
        <f>+E23+E24</f>
        <v>553310.54945113452</v>
      </c>
      <c r="F25" s="496"/>
      <c r="G25" s="1157">
        <f t="shared" ref="G25:L25" si="1">+G23+G24</f>
        <v>678323.31503315968</v>
      </c>
      <c r="H25" s="1161">
        <f t="shared" si="1"/>
        <v>1096494.3743203857</v>
      </c>
      <c r="I25" s="1154">
        <f t="shared" si="1"/>
        <v>418171.05928722606</v>
      </c>
      <c r="J25" s="1154">
        <f t="shared" si="1"/>
        <v>13828.151293669154</v>
      </c>
      <c r="K25" s="1154">
        <f t="shared" si="1"/>
        <v>0</v>
      </c>
      <c r="L25" s="1157">
        <f t="shared" si="1"/>
        <v>431999.21058089519</v>
      </c>
    </row>
    <row r="26" spans="1:13" s="536" customFormat="1">
      <c r="A26" s="550"/>
      <c r="B26" s="557"/>
      <c r="C26" s="557"/>
      <c r="D26" s="489"/>
      <c r="E26" s="490"/>
      <c r="F26" s="491"/>
      <c r="G26" s="1158"/>
      <c r="H26" s="492"/>
      <c r="I26" s="494"/>
      <c r="J26" s="493"/>
      <c r="K26" s="494"/>
      <c r="L26" s="493"/>
    </row>
    <row r="27" spans="1:13" s="536" customFormat="1">
      <c r="A27" s="551">
        <f>+A25+1</f>
        <v>8</v>
      </c>
      <c r="B27" s="567" t="s">
        <v>404</v>
      </c>
      <c r="C27" s="567"/>
      <c r="D27" s="548"/>
      <c r="E27" s="559"/>
      <c r="F27" s="566"/>
      <c r="G27" s="563"/>
      <c r="H27" s="561"/>
      <c r="I27" s="563"/>
      <c r="J27" s="562"/>
      <c r="K27" s="564"/>
      <c r="L27" s="562"/>
    </row>
    <row r="28" spans="1:13">
      <c r="A28" s="423"/>
      <c r="B28" s="414"/>
      <c r="C28" s="544"/>
      <c r="D28" s="414"/>
      <c r="E28" s="436"/>
      <c r="F28" s="442"/>
      <c r="G28" s="565"/>
      <c r="H28" s="438"/>
      <c r="I28" s="439"/>
      <c r="J28" s="439"/>
      <c r="K28" s="439"/>
      <c r="L28" s="565"/>
    </row>
    <row r="29" spans="1:13">
      <c r="A29" s="423">
        <f>+A27+1</f>
        <v>9</v>
      </c>
      <c r="B29" s="399" t="s">
        <v>475</v>
      </c>
      <c r="C29" s="532"/>
      <c r="D29" s="399"/>
      <c r="E29" s="437">
        <f>+E17+E21+E25+E27</f>
        <v>8313784.3242922779</v>
      </c>
      <c r="F29" s="443">
        <f>SUM(F17:F28)</f>
        <v>1</v>
      </c>
      <c r="G29" s="560">
        <f t="shared" ref="G29:L29" si="2">+G17+G21+G25+G27</f>
        <v>10192167.398432551</v>
      </c>
      <c r="H29" s="560">
        <f t="shared" si="2"/>
        <v>11342570.188434316</v>
      </c>
      <c r="I29" s="560">
        <f>+I17+I21+I25+I27</f>
        <v>1150402.7900017651</v>
      </c>
      <c r="J29" s="560">
        <f t="shared" si="2"/>
        <v>207775.30371197383</v>
      </c>
      <c r="K29" s="560">
        <f t="shared" si="2"/>
        <v>0</v>
      </c>
      <c r="L29" s="560">
        <f t="shared" si="2"/>
        <v>1358178.093713739</v>
      </c>
    </row>
    <row r="30" spans="1:13">
      <c r="A30" s="423"/>
      <c r="B30" s="399"/>
      <c r="C30" s="532"/>
      <c r="D30" s="399"/>
      <c r="E30" s="415"/>
      <c r="F30" s="415"/>
      <c r="G30" s="415"/>
      <c r="H30" s="437"/>
      <c r="I30" s="415"/>
      <c r="J30" s="415"/>
      <c r="K30" s="415"/>
      <c r="L30" s="415"/>
    </row>
    <row r="31" spans="1:13">
      <c r="A31" s="423">
        <f>+A29+1</f>
        <v>10</v>
      </c>
      <c r="B31" s="399"/>
      <c r="C31" s="532"/>
      <c r="D31" s="399"/>
      <c r="E31" s="415"/>
      <c r="F31" s="415"/>
      <c r="G31" s="775"/>
      <c r="H31" s="775" t="s">
        <v>621</v>
      </c>
      <c r="I31" s="775"/>
      <c r="J31" s="796">
        <f>+'6 - True-Up Interest'!I57</f>
        <v>207775.30371197383</v>
      </c>
      <c r="K31" s="415"/>
      <c r="L31" s="415"/>
    </row>
    <row r="32" spans="1:13">
      <c r="A32" s="423"/>
      <c r="B32" s="399"/>
      <c r="C32" s="532"/>
      <c r="D32" s="399"/>
      <c r="E32" s="415"/>
      <c r="F32" s="415"/>
      <c r="G32" s="415"/>
      <c r="H32" s="415"/>
      <c r="I32" s="415"/>
      <c r="J32" s="415"/>
      <c r="K32" s="415"/>
      <c r="L32" s="415"/>
      <c r="M32" s="415"/>
    </row>
    <row r="33" spans="1:13">
      <c r="A33" s="423"/>
      <c r="B33" s="416"/>
      <c r="C33" s="545"/>
      <c r="D33" s="416"/>
      <c r="E33" s="396"/>
      <c r="F33" s="396"/>
      <c r="G33" s="396"/>
      <c r="H33" s="396"/>
      <c r="I33" s="396"/>
      <c r="J33" s="416"/>
      <c r="K33" s="416"/>
      <c r="L33" s="416"/>
    </row>
    <row r="34" spans="1:13">
      <c r="A34" s="425" t="s">
        <v>327</v>
      </c>
      <c r="D34" s="416"/>
      <c r="E34" s="396"/>
      <c r="F34" s="396"/>
      <c r="G34" s="396"/>
      <c r="H34" s="396"/>
      <c r="I34" s="396"/>
      <c r="J34" s="416"/>
      <c r="K34" s="416"/>
      <c r="L34" s="416"/>
    </row>
    <row r="35" spans="1:13" ht="15.5">
      <c r="A35" s="421"/>
      <c r="B35" s="388" t="s">
        <v>62</v>
      </c>
      <c r="C35" s="555"/>
      <c r="D35" s="388" t="s">
        <v>63</v>
      </c>
      <c r="E35"/>
      <c r="F35"/>
      <c r="G35"/>
      <c r="H35"/>
      <c r="L35" s="416"/>
    </row>
    <row r="36" spans="1:13" ht="15.5">
      <c r="A36" s="421"/>
      <c r="B36" s="417" t="str">
        <f>+A34</f>
        <v>Prior Period Adjustment</v>
      </c>
      <c r="C36" s="546"/>
      <c r="D36" s="418" t="s">
        <v>477</v>
      </c>
      <c r="E36"/>
      <c r="F36"/>
      <c r="G36"/>
      <c r="H36"/>
      <c r="L36" s="416"/>
    </row>
    <row r="37" spans="1:13" ht="15.5">
      <c r="A37" s="421"/>
      <c r="B37" s="631" t="s">
        <v>482</v>
      </c>
      <c r="C37" s="631" t="s">
        <v>199</v>
      </c>
      <c r="D37" s="632" t="s">
        <v>11</v>
      </c>
      <c r="E37"/>
      <c r="F37"/>
      <c r="G37"/>
      <c r="H37"/>
      <c r="L37" s="416"/>
    </row>
    <row r="38" spans="1:13" ht="15.5">
      <c r="A38" s="421">
        <f>+A31+1</f>
        <v>11</v>
      </c>
      <c r="B38" s="389" t="s">
        <v>552</v>
      </c>
      <c r="C38" s="776" t="s">
        <v>491</v>
      </c>
      <c r="D38" s="535">
        <f>+'11-Corrections'!F30</f>
        <v>0</v>
      </c>
      <c r="E38"/>
      <c r="F38"/>
      <c r="G38"/>
      <c r="H38"/>
      <c r="L38" s="416"/>
    </row>
    <row r="39" spans="1:13" ht="15.5">
      <c r="A39" s="421"/>
      <c r="B39" s="419"/>
      <c r="C39" s="547"/>
      <c r="D39" s="397"/>
      <c r="E39"/>
      <c r="F39"/>
      <c r="G39"/>
      <c r="H39"/>
      <c r="L39" s="416"/>
    </row>
    <row r="40" spans="1:13" ht="15.5">
      <c r="A40" s="421"/>
      <c r="D40" s="416"/>
      <c r="E40"/>
      <c r="F40"/>
      <c r="G40"/>
      <c r="H40"/>
      <c r="I40" s="390"/>
      <c r="L40" s="416"/>
    </row>
    <row r="41" spans="1:13" ht="14.25" customHeight="1">
      <c r="A41" s="497" t="s">
        <v>176</v>
      </c>
      <c r="B41" s="630"/>
      <c r="C41" s="532"/>
      <c r="D41" s="399"/>
      <c r="E41" s="399"/>
      <c r="F41" s="399"/>
      <c r="G41" s="399"/>
      <c r="H41" s="399"/>
      <c r="I41" s="399"/>
      <c r="J41" s="399"/>
      <c r="K41" s="399"/>
      <c r="L41" s="399"/>
      <c r="M41" s="399"/>
    </row>
    <row r="42" spans="1:13">
      <c r="A42" s="774" t="s">
        <v>652</v>
      </c>
      <c r="B42" s="756" t="s">
        <v>703</v>
      </c>
      <c r="C42" s="756"/>
      <c r="D42" s="756"/>
      <c r="E42" s="756"/>
      <c r="F42" s="756"/>
      <c r="G42" s="756"/>
      <c r="H42" s="756"/>
      <c r="I42" s="756"/>
      <c r="J42" s="756"/>
      <c r="K42" s="756"/>
      <c r="L42" s="756"/>
      <c r="M42" s="399"/>
    </row>
    <row r="43" spans="1:13">
      <c r="A43" s="774" t="s">
        <v>653</v>
      </c>
      <c r="B43" s="756" t="s">
        <v>734</v>
      </c>
      <c r="C43" s="756"/>
      <c r="D43" s="756"/>
      <c r="E43" s="756"/>
      <c r="F43" s="756"/>
      <c r="G43" s="756"/>
      <c r="H43" s="756"/>
      <c r="I43" s="756"/>
      <c r="J43" s="756"/>
      <c r="K43" s="756"/>
      <c r="L43" s="756"/>
      <c r="M43" s="399"/>
    </row>
    <row r="44" spans="1:13">
      <c r="A44" s="774" t="s">
        <v>654</v>
      </c>
      <c r="B44" s="756" t="s">
        <v>735</v>
      </c>
      <c r="C44" s="756"/>
      <c r="D44" s="756"/>
      <c r="E44" s="756"/>
      <c r="F44" s="756"/>
      <c r="G44" s="756"/>
      <c r="H44" s="756"/>
      <c r="I44" s="756"/>
      <c r="J44" s="756"/>
      <c r="K44" s="756"/>
      <c r="L44" s="756"/>
      <c r="M44" s="399"/>
    </row>
    <row r="45" spans="1:13" ht="28.5" customHeight="1">
      <c r="A45" s="774" t="s">
        <v>655</v>
      </c>
      <c r="B45" s="1239" t="s">
        <v>736</v>
      </c>
      <c r="C45" s="1239"/>
      <c r="D45" s="1239"/>
      <c r="E45" s="1239"/>
      <c r="F45" s="1239"/>
      <c r="G45" s="1239"/>
      <c r="H45" s="1239"/>
      <c r="I45" s="1239"/>
      <c r="J45" s="1239"/>
      <c r="K45" s="1239"/>
      <c r="L45" s="1239"/>
      <c r="M45" s="386"/>
    </row>
    <row r="46" spans="1:13" ht="20.25" customHeight="1">
      <c r="A46" s="774" t="s">
        <v>656</v>
      </c>
      <c r="B46" s="1256" t="s">
        <v>657</v>
      </c>
      <c r="C46" s="1256"/>
      <c r="D46" s="1256"/>
      <c r="E46" s="1256"/>
      <c r="F46" s="1256"/>
      <c r="G46" s="1256"/>
      <c r="H46" s="1256"/>
      <c r="I46" s="1256"/>
      <c r="J46" s="1256"/>
      <c r="K46" s="1256"/>
      <c r="L46" s="1256"/>
      <c r="M46" s="399"/>
    </row>
    <row r="47" spans="1:13">
      <c r="A47" s="423"/>
      <c r="B47" s="400"/>
      <c r="C47" s="534"/>
      <c r="D47" s="399"/>
      <c r="E47" s="399"/>
      <c r="F47" s="399"/>
      <c r="G47" s="399"/>
      <c r="H47" s="399"/>
      <c r="I47" s="400"/>
      <c r="J47" s="399"/>
      <c r="K47" s="399"/>
      <c r="L47" s="399"/>
      <c r="M47" s="399"/>
    </row>
    <row r="48" spans="1:13">
      <c r="A48" s="423"/>
      <c r="B48" s="400"/>
      <c r="C48" s="534"/>
      <c r="D48" s="399"/>
      <c r="E48" s="399"/>
      <c r="F48" s="399"/>
      <c r="G48" s="399"/>
      <c r="H48" s="399"/>
      <c r="I48" s="400"/>
      <c r="J48" s="399"/>
      <c r="K48" s="399"/>
      <c r="L48" s="399"/>
      <c r="M48" s="399"/>
    </row>
  </sheetData>
  <customSheetViews>
    <customSheetView guid="{F1DC5514-577A-46EB-866C-26F0BED2C286}" scale="70" showPageBreaks="1" fitToPage="1" printArea="1" view="pageBreakPreview">
      <selection activeCell="E31" sqref="E31"/>
      <pageMargins left="0.25" right="0.25" top="0.75" bottom="0.75" header="0.3" footer="0.3"/>
      <pageSetup scale="70" orientation="landscape" r:id="rId1"/>
    </customSheetView>
    <customSheetView guid="{63AFAF34-E340-4B5E-A289-FFB7051CA9B6}" showPageBreaks="1" fitToPage="1" printArea="1" topLeftCell="A7">
      <selection activeCell="B17" sqref="B17"/>
      <pageMargins left="0.25" right="0.25" top="0.75" bottom="0.75" header="0.3" footer="0.3"/>
      <pageSetup scale="69"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6"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6"/>
  <sheetViews>
    <sheetView view="pageBreakPreview" zoomScale="70" zoomScaleNormal="85" zoomScaleSheetLayoutView="70" workbookViewId="0">
      <selection activeCell="D40" sqref="D40:D41"/>
    </sheetView>
  </sheetViews>
  <sheetFormatPr defaultColWidth="8.84375" defaultRowHeight="13"/>
  <cols>
    <col min="1" max="1" width="8" style="12" customWidth="1"/>
    <col min="2" max="2" width="34.84375" style="14" customWidth="1"/>
    <col min="3" max="3" width="17.84375" style="14" customWidth="1"/>
    <col min="4" max="4" width="17" style="14" customWidth="1"/>
    <col min="5" max="5" width="19.84375" style="14" customWidth="1"/>
    <col min="6" max="6" width="19.53515625" style="14" customWidth="1"/>
    <col min="7" max="7" width="21.3046875" style="14" customWidth="1"/>
    <col min="8" max="8" width="18" style="14" customWidth="1"/>
    <col min="9" max="9" width="16.84375" style="14" customWidth="1"/>
    <col min="10" max="10" width="17" style="14" customWidth="1"/>
    <col min="11" max="14" width="11.84375" style="14" customWidth="1"/>
    <col min="15" max="16384" width="8.84375" style="14"/>
  </cols>
  <sheetData>
    <row r="1" spans="1:12">
      <c r="B1" s="1265" t="s">
        <v>183</v>
      </c>
      <c r="C1" s="1265"/>
      <c r="D1" s="1265"/>
      <c r="E1" s="1265"/>
      <c r="F1" s="1265"/>
      <c r="G1" s="1265"/>
      <c r="H1" s="1265"/>
      <c r="I1" s="1265"/>
      <c r="J1" s="1" t="s">
        <v>599</v>
      </c>
    </row>
    <row r="2" spans="1:12">
      <c r="A2" s="212"/>
      <c r="B2" s="1266" t="s">
        <v>241</v>
      </c>
      <c r="C2" s="1266"/>
      <c r="D2" s="1266"/>
      <c r="E2" s="1266"/>
      <c r="F2" s="1266"/>
      <c r="G2" s="1266"/>
      <c r="H2" s="1266"/>
      <c r="I2" s="1266"/>
      <c r="J2" s="1"/>
      <c r="L2" s="211"/>
    </row>
    <row r="3" spans="1:12">
      <c r="A3" s="212"/>
      <c r="B3" s="1267" t="str">
        <f>+'Attachment H-29A'!D5</f>
        <v>Transource Pennsylvania, LLC</v>
      </c>
      <c r="C3" s="1267"/>
      <c r="D3" s="1267"/>
      <c r="E3" s="1267"/>
      <c r="F3" s="1267"/>
      <c r="G3" s="1267"/>
      <c r="H3" s="1267"/>
      <c r="I3" s="1267"/>
      <c r="J3" s="1"/>
    </row>
    <row r="4" spans="1:12">
      <c r="A4" s="212"/>
      <c r="C4" s="1"/>
      <c r="D4" s="1"/>
      <c r="E4" s="1"/>
      <c r="F4" s="1"/>
      <c r="G4" s="1"/>
      <c r="H4" s="1"/>
      <c r="I4" s="1"/>
      <c r="J4" s="1"/>
    </row>
    <row r="5" spans="1:12">
      <c r="A5" s="212"/>
      <c r="B5" s="2"/>
      <c r="C5" s="2"/>
      <c r="D5" s="2"/>
      <c r="E5" s="2"/>
      <c r="F5" s="789"/>
      <c r="G5" s="2"/>
      <c r="H5" s="2"/>
      <c r="I5" s="2"/>
      <c r="J5" s="2"/>
    </row>
    <row r="6" spans="1:12">
      <c r="A6" s="212"/>
      <c r="B6" s="2"/>
      <c r="C6" s="1270" t="s">
        <v>201</v>
      </c>
      <c r="D6" s="1270"/>
      <c r="E6" s="10" t="s">
        <v>203</v>
      </c>
      <c r="F6" s="10" t="s">
        <v>204</v>
      </c>
      <c r="G6" s="1270" t="s">
        <v>202</v>
      </c>
      <c r="H6" s="1270"/>
      <c r="I6" s="1269" t="s">
        <v>200</v>
      </c>
      <c r="J6" s="1269"/>
    </row>
    <row r="7" spans="1:12" s="11" customFormat="1" ht="26">
      <c r="A7" s="213" t="s">
        <v>710</v>
      </c>
      <c r="B7" s="3" t="s">
        <v>160</v>
      </c>
      <c r="C7" s="3" t="s">
        <v>16</v>
      </c>
      <c r="D7" s="3" t="s">
        <v>167</v>
      </c>
      <c r="E7" s="3" t="s">
        <v>375</v>
      </c>
      <c r="F7" s="3" t="s">
        <v>161</v>
      </c>
      <c r="G7" s="3" t="s">
        <v>162</v>
      </c>
      <c r="H7" s="3" t="s">
        <v>163</v>
      </c>
      <c r="I7" s="3" t="s">
        <v>16</v>
      </c>
      <c r="J7" s="3" t="s">
        <v>167</v>
      </c>
    </row>
    <row r="8" spans="1:12" s="13" customFormat="1">
      <c r="A8" s="212"/>
      <c r="B8" s="10" t="s">
        <v>190</v>
      </c>
      <c r="C8" s="10" t="s">
        <v>191</v>
      </c>
      <c r="D8" s="10" t="s">
        <v>192</v>
      </c>
      <c r="E8" s="3" t="s">
        <v>193</v>
      </c>
      <c r="F8" s="3" t="s">
        <v>195</v>
      </c>
      <c r="G8" s="3" t="s">
        <v>194</v>
      </c>
      <c r="H8" s="3" t="s">
        <v>196</v>
      </c>
      <c r="I8" s="4" t="s">
        <v>197</v>
      </c>
      <c r="J8" s="4" t="s">
        <v>198</v>
      </c>
    </row>
    <row r="9" spans="1:12" s="13" customFormat="1" ht="44.25" customHeight="1">
      <c r="A9" s="212"/>
      <c r="B9" s="244" t="s">
        <v>503</v>
      </c>
      <c r="C9" s="265" t="s">
        <v>278</v>
      </c>
      <c r="D9" s="284" t="s">
        <v>294</v>
      </c>
      <c r="E9" s="310" t="s">
        <v>601</v>
      </c>
      <c r="F9" s="284" t="s">
        <v>714</v>
      </c>
      <c r="G9" s="265" t="s">
        <v>281</v>
      </c>
      <c r="H9" s="265" t="s">
        <v>831</v>
      </c>
      <c r="I9" s="265" t="s">
        <v>279</v>
      </c>
      <c r="J9" s="265" t="s">
        <v>280</v>
      </c>
    </row>
    <row r="10" spans="1:12">
      <c r="A10" s="212">
        <v>1</v>
      </c>
      <c r="B10" s="5" t="s">
        <v>187</v>
      </c>
      <c r="C10" s="1169">
        <v>0</v>
      </c>
      <c r="D10" s="6">
        <v>731613.21000000008</v>
      </c>
      <c r="E10" s="6">
        <v>91086460.730000004</v>
      </c>
      <c r="F10" s="1171">
        <v>0</v>
      </c>
      <c r="G10" s="1171">
        <v>0</v>
      </c>
      <c r="H10" s="6">
        <v>21148.52</v>
      </c>
      <c r="I10" s="1171">
        <v>0</v>
      </c>
      <c r="J10" s="838">
        <v>318264.7</v>
      </c>
    </row>
    <row r="11" spans="1:12">
      <c r="A11" s="212">
        <v>2</v>
      </c>
      <c r="B11" s="5" t="s">
        <v>85</v>
      </c>
      <c r="C11" s="1169">
        <v>0</v>
      </c>
      <c r="D11" s="6">
        <v>737310.68</v>
      </c>
      <c r="E11" s="6">
        <v>91264509.530000001</v>
      </c>
      <c r="F11" s="1171">
        <v>0</v>
      </c>
      <c r="G11" s="1171">
        <v>0</v>
      </c>
      <c r="H11" s="6">
        <v>14099.02</v>
      </c>
      <c r="I11" s="1171">
        <v>0</v>
      </c>
      <c r="J11" s="838">
        <v>330269.31</v>
      </c>
    </row>
    <row r="12" spans="1:12">
      <c r="A12" s="212">
        <v>3</v>
      </c>
      <c r="B12" s="1" t="s">
        <v>84</v>
      </c>
      <c r="C12" s="1169">
        <v>0</v>
      </c>
      <c r="D12" s="6">
        <v>744976.99000000011</v>
      </c>
      <c r="E12" s="6">
        <v>91505030.299999997</v>
      </c>
      <c r="F12" s="1171">
        <v>0</v>
      </c>
      <c r="G12" s="1171">
        <v>0</v>
      </c>
      <c r="H12" s="6">
        <v>7049.52</v>
      </c>
      <c r="I12" s="1171">
        <v>0</v>
      </c>
      <c r="J12" s="838">
        <v>342368.88</v>
      </c>
    </row>
    <row r="13" spans="1:12">
      <c r="A13" s="212">
        <v>4</v>
      </c>
      <c r="B13" s="1" t="s">
        <v>164</v>
      </c>
      <c r="C13" s="1169">
        <v>0</v>
      </c>
      <c r="D13" s="6">
        <v>733873.1100000001</v>
      </c>
      <c r="E13" s="6">
        <v>91893410.25999999</v>
      </c>
      <c r="F13" s="1171">
        <v>0</v>
      </c>
      <c r="G13" s="1171">
        <v>0</v>
      </c>
      <c r="H13" s="6">
        <v>0.02</v>
      </c>
      <c r="I13" s="1171">
        <v>0</v>
      </c>
      <c r="J13" s="838">
        <v>337511.01</v>
      </c>
    </row>
    <row r="14" spans="1:12">
      <c r="A14" s="212">
        <v>5</v>
      </c>
      <c r="B14" s="1" t="s">
        <v>76</v>
      </c>
      <c r="C14" s="1169">
        <v>0</v>
      </c>
      <c r="D14" s="6">
        <v>738535.04999999993</v>
      </c>
      <c r="E14" s="6">
        <v>93038636.909999996</v>
      </c>
      <c r="F14" s="1171">
        <v>0</v>
      </c>
      <c r="G14" s="1171">
        <v>0</v>
      </c>
      <c r="H14" s="6">
        <v>77549.09</v>
      </c>
      <c r="I14" s="1171">
        <v>0</v>
      </c>
      <c r="J14" s="838">
        <v>349553.29000000004</v>
      </c>
    </row>
    <row r="15" spans="1:12">
      <c r="A15" s="212">
        <v>6</v>
      </c>
      <c r="B15" s="1" t="s">
        <v>75</v>
      </c>
      <c r="C15" s="1169">
        <v>0</v>
      </c>
      <c r="D15" s="6">
        <v>744966.62000000011</v>
      </c>
      <c r="E15" s="6">
        <v>96943639.070000008</v>
      </c>
      <c r="F15" s="1171">
        <v>0</v>
      </c>
      <c r="G15" s="1171">
        <v>0</v>
      </c>
      <c r="H15" s="6">
        <v>70499.180000000008</v>
      </c>
      <c r="I15" s="1171">
        <v>0</v>
      </c>
      <c r="J15" s="838">
        <v>361673.27</v>
      </c>
    </row>
    <row r="16" spans="1:12">
      <c r="A16" s="212">
        <v>7</v>
      </c>
      <c r="B16" s="1" t="s">
        <v>92</v>
      </c>
      <c r="C16" s="1169">
        <v>0</v>
      </c>
      <c r="D16" s="6">
        <v>738430.36</v>
      </c>
      <c r="E16" s="6">
        <v>104278624.52</v>
      </c>
      <c r="F16" s="1171">
        <v>0</v>
      </c>
      <c r="G16" s="1171">
        <v>0</v>
      </c>
      <c r="H16" s="6">
        <v>63449.270000000004</v>
      </c>
      <c r="I16" s="1171">
        <v>0</v>
      </c>
      <c r="J16" s="838">
        <v>362475.57</v>
      </c>
    </row>
    <row r="17" spans="1:10">
      <c r="A17" s="212">
        <v>8</v>
      </c>
      <c r="B17" s="1" t="s">
        <v>82</v>
      </c>
      <c r="C17" s="1169">
        <v>0</v>
      </c>
      <c r="D17" s="6">
        <v>744101.86999999988</v>
      </c>
      <c r="E17" s="6">
        <v>108199201.73</v>
      </c>
      <c r="F17" s="1171">
        <v>0</v>
      </c>
      <c r="G17" s="1171">
        <v>0</v>
      </c>
      <c r="H17" s="6">
        <v>56399.360000000001</v>
      </c>
      <c r="I17" s="1171">
        <v>0</v>
      </c>
      <c r="J17" s="838">
        <v>374593.8</v>
      </c>
    </row>
    <row r="18" spans="1:10">
      <c r="A18" s="212">
        <v>9</v>
      </c>
      <c r="B18" s="1" t="s">
        <v>165</v>
      </c>
      <c r="C18" s="1169">
        <v>0</v>
      </c>
      <c r="D18" s="6">
        <v>748442.72</v>
      </c>
      <c r="E18" s="6">
        <v>108549371.55</v>
      </c>
      <c r="F18" s="1171">
        <v>0</v>
      </c>
      <c r="G18" s="1171">
        <v>0</v>
      </c>
      <c r="H18" s="6">
        <v>49349.450000000004</v>
      </c>
      <c r="I18" s="1171">
        <v>0</v>
      </c>
      <c r="J18" s="838">
        <v>386806.56000000006</v>
      </c>
    </row>
    <row r="19" spans="1:10">
      <c r="A19" s="212">
        <v>10</v>
      </c>
      <c r="B19" s="1" t="s">
        <v>80</v>
      </c>
      <c r="C19" s="1169">
        <v>0</v>
      </c>
      <c r="D19" s="6">
        <v>742594.27999999991</v>
      </c>
      <c r="E19" s="6">
        <v>109181592.19</v>
      </c>
      <c r="F19" s="1171">
        <v>0</v>
      </c>
      <c r="G19" s="1171">
        <v>0</v>
      </c>
      <c r="H19" s="6">
        <v>42299.54</v>
      </c>
      <c r="I19" s="1171">
        <v>0</v>
      </c>
      <c r="J19" s="838">
        <v>386573.53</v>
      </c>
    </row>
    <row r="20" spans="1:10">
      <c r="A20" s="212">
        <v>11</v>
      </c>
      <c r="B20" s="1" t="s">
        <v>86</v>
      </c>
      <c r="C20" s="1169">
        <v>0</v>
      </c>
      <c r="D20" s="6">
        <v>752223.18999999983</v>
      </c>
      <c r="E20" s="6">
        <v>109397352.56</v>
      </c>
      <c r="F20" s="1171">
        <v>0</v>
      </c>
      <c r="G20" s="1171">
        <v>0</v>
      </c>
      <c r="H20" s="6">
        <v>35249.629999999997</v>
      </c>
      <c r="I20" s="1171">
        <v>0</v>
      </c>
      <c r="J20" s="838">
        <v>398761.15</v>
      </c>
    </row>
    <row r="21" spans="1:10">
      <c r="A21" s="212">
        <v>12</v>
      </c>
      <c r="B21" s="1" t="s">
        <v>79</v>
      </c>
      <c r="C21" s="1169">
        <v>0</v>
      </c>
      <c r="D21" s="6">
        <v>767601.89</v>
      </c>
      <c r="E21" s="6">
        <v>116492163.06</v>
      </c>
      <c r="F21" s="1171">
        <v>0</v>
      </c>
      <c r="G21" s="1171">
        <v>0</v>
      </c>
      <c r="H21" s="6">
        <v>28199.72</v>
      </c>
      <c r="I21" s="1171">
        <v>0</v>
      </c>
      <c r="J21" s="838">
        <v>411109.26</v>
      </c>
    </row>
    <row r="22" spans="1:10">
      <c r="A22" s="212">
        <v>13</v>
      </c>
      <c r="B22" s="1" t="s">
        <v>188</v>
      </c>
      <c r="C22" s="1169">
        <v>0</v>
      </c>
      <c r="D22" s="6">
        <v>747064.03</v>
      </c>
      <c r="E22" s="6">
        <v>116846390.3</v>
      </c>
      <c r="F22" s="1171">
        <v>0</v>
      </c>
      <c r="G22" s="1171">
        <v>0</v>
      </c>
      <c r="H22" s="6">
        <v>21149.81</v>
      </c>
      <c r="I22" s="1171">
        <v>0</v>
      </c>
      <c r="J22" s="838">
        <v>382643.02</v>
      </c>
    </row>
    <row r="23" spans="1:10" ht="13.5" thickBot="1">
      <c r="A23" s="212">
        <v>14</v>
      </c>
      <c r="B23" s="7" t="s">
        <v>242</v>
      </c>
      <c r="C23" s="1170">
        <f t="shared" ref="C23:H23" si="0">SUM(C10:C22)/13</f>
        <v>0</v>
      </c>
      <c r="D23" s="573">
        <f>SUM(D10:D22)/13</f>
        <v>743979.5384615385</v>
      </c>
      <c r="E23" s="573">
        <f t="shared" si="0"/>
        <v>102205875.59307691</v>
      </c>
      <c r="F23" s="1170">
        <f t="shared" si="0"/>
        <v>0</v>
      </c>
      <c r="G23" s="1170">
        <f t="shared" si="0"/>
        <v>0</v>
      </c>
      <c r="H23" s="573">
        <f t="shared" si="0"/>
        <v>37418.625384615378</v>
      </c>
      <c r="I23" s="1170">
        <f>SUM(I10:I22)/13</f>
        <v>0</v>
      </c>
      <c r="J23" s="573">
        <f>SUM(J10:J22)/13</f>
        <v>364815.64230769227</v>
      </c>
    </row>
    <row r="24" spans="1:10" ht="13.5" thickTop="1">
      <c r="A24" s="212"/>
      <c r="B24" s="1"/>
      <c r="C24" s="8"/>
      <c r="D24" s="15"/>
      <c r="E24" s="15"/>
      <c r="F24" s="15"/>
      <c r="G24" s="8"/>
      <c r="H24" s="8"/>
      <c r="I24" s="8"/>
      <c r="J24" s="1090"/>
    </row>
    <row r="25" spans="1:10">
      <c r="A25" s="212"/>
      <c r="B25" s="9"/>
      <c r="C25" s="1269" t="s">
        <v>205</v>
      </c>
      <c r="D25" s="1269"/>
      <c r="E25" s="1269"/>
      <c r="F25" s="1269"/>
      <c r="G25" s="1269"/>
      <c r="H25" s="1269"/>
      <c r="I25" s="1269"/>
    </row>
    <row r="26" spans="1:10" ht="72" customHeight="1">
      <c r="A26" s="755" t="s">
        <v>710</v>
      </c>
      <c r="B26" s="10" t="s">
        <v>160</v>
      </c>
      <c r="C26" s="4" t="s">
        <v>166</v>
      </c>
      <c r="D26" s="754" t="s">
        <v>705</v>
      </c>
      <c r="E26" s="754" t="s">
        <v>826</v>
      </c>
      <c r="F26" s="754" t="s">
        <v>827</v>
      </c>
      <c r="G26" s="754" t="s">
        <v>828</v>
      </c>
      <c r="H26" s="754" t="s">
        <v>829</v>
      </c>
      <c r="I26" s="4" t="s">
        <v>244</v>
      </c>
    </row>
    <row r="27" spans="1:10" s="13" customFormat="1">
      <c r="A27" s="212"/>
      <c r="B27" s="10" t="s">
        <v>190</v>
      </c>
      <c r="C27" s="4" t="s">
        <v>191</v>
      </c>
      <c r="D27" s="4" t="s">
        <v>192</v>
      </c>
      <c r="E27" s="754" t="s">
        <v>193</v>
      </c>
      <c r="F27" s="754" t="s">
        <v>195</v>
      </c>
      <c r="G27" s="754" t="s">
        <v>194</v>
      </c>
      <c r="H27" s="754" t="s">
        <v>196</v>
      </c>
      <c r="I27" s="4" t="s">
        <v>197</v>
      </c>
    </row>
    <row r="28" spans="1:10" s="13" customFormat="1" ht="26">
      <c r="A28" s="212"/>
      <c r="B28" s="244" t="s">
        <v>503</v>
      </c>
      <c r="C28" s="285" t="s">
        <v>374</v>
      </c>
      <c r="D28" s="4" t="s">
        <v>505</v>
      </c>
      <c r="E28" s="754" t="s">
        <v>830</v>
      </c>
      <c r="F28" s="754" t="s">
        <v>830</v>
      </c>
      <c r="G28" s="754" t="s">
        <v>830</v>
      </c>
      <c r="H28" s="754" t="s">
        <v>830</v>
      </c>
      <c r="I28" s="806" t="s">
        <v>840</v>
      </c>
    </row>
    <row r="29" spans="1:10">
      <c r="A29" s="212">
        <v>15</v>
      </c>
      <c r="B29" s="5" t="s">
        <v>187</v>
      </c>
      <c r="C29" s="6">
        <v>4.9112713895738125E-10</v>
      </c>
      <c r="D29" s="1169">
        <v>0</v>
      </c>
      <c r="E29" s="838"/>
      <c r="F29" s="838"/>
      <c r="G29" s="838"/>
      <c r="H29" s="838"/>
      <c r="I29" s="1171">
        <v>0</v>
      </c>
    </row>
    <row r="30" spans="1:10">
      <c r="A30" s="212">
        <v>16</v>
      </c>
      <c r="B30" s="5" t="s">
        <v>85</v>
      </c>
      <c r="C30" s="6">
        <v>4.9112713895738125E-10</v>
      </c>
      <c r="D30" s="1169">
        <v>0</v>
      </c>
      <c r="E30" s="807"/>
      <c r="F30" s="807"/>
      <c r="G30" s="807"/>
      <c r="H30" s="807"/>
      <c r="I30" s="1169">
        <v>0</v>
      </c>
    </row>
    <row r="31" spans="1:10">
      <c r="A31" s="212">
        <v>17</v>
      </c>
      <c r="B31" s="1" t="s">
        <v>84</v>
      </c>
      <c r="C31" s="6">
        <v>4.9112713895738125E-10</v>
      </c>
      <c r="D31" s="1169">
        <v>0</v>
      </c>
      <c r="E31" s="807"/>
      <c r="F31" s="807"/>
      <c r="G31" s="807"/>
      <c r="H31" s="807"/>
      <c r="I31" s="1169">
        <v>0</v>
      </c>
    </row>
    <row r="32" spans="1:10">
      <c r="A32" s="212">
        <v>18</v>
      </c>
      <c r="B32" s="1" t="s">
        <v>164</v>
      </c>
      <c r="C32" s="6">
        <v>4.9112713895738125E-10</v>
      </c>
      <c r="D32" s="1169">
        <v>0</v>
      </c>
      <c r="E32" s="807"/>
      <c r="F32" s="807"/>
      <c r="G32" s="807"/>
      <c r="H32" s="807"/>
      <c r="I32" s="1169">
        <v>0</v>
      </c>
    </row>
    <row r="33" spans="1:15">
      <c r="A33" s="212">
        <v>19</v>
      </c>
      <c r="B33" s="1" t="s">
        <v>76</v>
      </c>
      <c r="C33" s="6">
        <v>4.9112713895738125E-10</v>
      </c>
      <c r="D33" s="1169">
        <v>0</v>
      </c>
      <c r="E33" s="807"/>
      <c r="F33" s="807"/>
      <c r="G33" s="807"/>
      <c r="H33" s="807"/>
      <c r="I33" s="1169">
        <v>0</v>
      </c>
    </row>
    <row r="34" spans="1:15">
      <c r="A34" s="212">
        <v>20</v>
      </c>
      <c r="B34" s="1" t="s">
        <v>75</v>
      </c>
      <c r="C34" s="6">
        <v>4.9112713895738125E-10</v>
      </c>
      <c r="D34" s="1169">
        <v>0</v>
      </c>
      <c r="E34" s="807"/>
      <c r="F34" s="807"/>
      <c r="G34" s="807"/>
      <c r="H34" s="807"/>
      <c r="I34" s="1169">
        <v>0</v>
      </c>
    </row>
    <row r="35" spans="1:15">
      <c r="A35" s="212">
        <v>21</v>
      </c>
      <c r="B35" s="1" t="s">
        <v>92</v>
      </c>
      <c r="C35" s="6">
        <v>4.9112713895738125E-10</v>
      </c>
      <c r="D35" s="1169">
        <v>0</v>
      </c>
      <c r="E35" s="807"/>
      <c r="F35" s="807"/>
      <c r="G35" s="807"/>
      <c r="H35" s="807"/>
      <c r="I35" s="1169">
        <v>0</v>
      </c>
    </row>
    <row r="36" spans="1:15">
      <c r="A36" s="212">
        <v>22</v>
      </c>
      <c r="B36" s="1" t="s">
        <v>82</v>
      </c>
      <c r="C36" s="6">
        <v>4.9112713895738125E-10</v>
      </c>
      <c r="D36" s="1169">
        <v>0</v>
      </c>
      <c r="E36" s="807"/>
      <c r="F36" s="807"/>
      <c r="G36" s="807"/>
      <c r="H36" s="807"/>
      <c r="I36" s="1169">
        <v>0</v>
      </c>
    </row>
    <row r="37" spans="1:15">
      <c r="A37" s="212">
        <v>23</v>
      </c>
      <c r="B37" s="1" t="s">
        <v>165</v>
      </c>
      <c r="C37" s="6">
        <v>4.9112713895738125E-10</v>
      </c>
      <c r="D37" s="1169">
        <v>0</v>
      </c>
      <c r="E37" s="807"/>
      <c r="F37" s="807"/>
      <c r="G37" s="807"/>
      <c r="H37" s="807"/>
      <c r="I37" s="1169">
        <v>0</v>
      </c>
    </row>
    <row r="38" spans="1:15">
      <c r="A38" s="212">
        <v>24</v>
      </c>
      <c r="B38" s="1" t="s">
        <v>80</v>
      </c>
      <c r="C38" s="6">
        <v>4.9112713895738125E-10</v>
      </c>
      <c r="D38" s="1169">
        <v>0</v>
      </c>
      <c r="E38" s="807"/>
      <c r="F38" s="807"/>
      <c r="G38" s="807"/>
      <c r="H38" s="807"/>
      <c r="I38" s="1169">
        <v>0</v>
      </c>
    </row>
    <row r="39" spans="1:15">
      <c r="A39" s="212">
        <v>25</v>
      </c>
      <c r="B39" s="1" t="s">
        <v>86</v>
      </c>
      <c r="C39" s="6">
        <v>4.9112713895738125E-10</v>
      </c>
      <c r="D39" s="1169">
        <v>0</v>
      </c>
      <c r="E39" s="807"/>
      <c r="F39" s="807"/>
      <c r="G39" s="807"/>
      <c r="H39" s="807"/>
      <c r="I39" s="1169">
        <v>0</v>
      </c>
    </row>
    <row r="40" spans="1:15">
      <c r="A40" s="212">
        <v>26</v>
      </c>
      <c r="B40" s="1" t="s">
        <v>79</v>
      </c>
      <c r="C40" s="6">
        <v>4.9112713895738125E-10</v>
      </c>
      <c r="D40" s="1169">
        <v>0</v>
      </c>
      <c r="E40" s="807"/>
      <c r="F40" s="807"/>
      <c r="G40" s="807"/>
      <c r="H40" s="807"/>
      <c r="I40" s="1169">
        <v>0</v>
      </c>
    </row>
    <row r="41" spans="1:15">
      <c r="A41" s="212">
        <v>27</v>
      </c>
      <c r="B41" s="1" t="s">
        <v>188</v>
      </c>
      <c r="C41" s="6">
        <v>4.9112713895738125E-10</v>
      </c>
      <c r="D41" s="1169">
        <v>0</v>
      </c>
      <c r="E41" s="838"/>
      <c r="F41" s="838"/>
      <c r="G41" s="838"/>
      <c r="H41" s="838"/>
      <c r="I41" s="1171">
        <v>0</v>
      </c>
    </row>
    <row r="42" spans="1:15" ht="13.5" thickBot="1">
      <c r="A42" s="212">
        <v>28</v>
      </c>
      <c r="B42" s="7" t="s">
        <v>243</v>
      </c>
      <c r="C42" s="573">
        <f t="shared" ref="C42:D42" si="1">SUM(C29:C41)/13</f>
        <v>4.9112713895738125E-10</v>
      </c>
      <c r="D42" s="1170">
        <f t="shared" si="1"/>
        <v>0</v>
      </c>
      <c r="E42" s="1170">
        <f>'4a - ADIT Average Balances'!C38</f>
        <v>0</v>
      </c>
      <c r="F42" s="1170">
        <f>'4a - ADIT Average Balances'!C74</f>
        <v>23706.25</v>
      </c>
      <c r="G42" s="1170">
        <f>'4a - ADIT Average Balances'!C119</f>
        <v>721457.6449999999</v>
      </c>
      <c r="H42" s="1170">
        <f>'4a - ADIT Average Balances'!C165</f>
        <v>464566.37500000012</v>
      </c>
      <c r="I42" s="1170">
        <f>SUM(I29:I41)/13</f>
        <v>0</v>
      </c>
    </row>
    <row r="43" spans="1:15" ht="13.5" thickTop="1">
      <c r="A43" s="212"/>
      <c r="B43" s="1"/>
      <c r="I43" s="15"/>
    </row>
    <row r="44" spans="1:15">
      <c r="A44" s="212"/>
    </row>
    <row r="45" spans="1:15">
      <c r="E45" s="210" t="str">
        <f>+B1</f>
        <v>Attachment 4</v>
      </c>
      <c r="J45" s="1" t="s">
        <v>147</v>
      </c>
    </row>
    <row r="46" spans="1:15">
      <c r="A46" s="275"/>
      <c r="B46" s="210"/>
      <c r="C46" s="276"/>
      <c r="D46" s="276"/>
      <c r="E46" s="769" t="str">
        <f>+B2</f>
        <v xml:space="preserve">Rate Base Worksheet </v>
      </c>
      <c r="F46" s="276"/>
      <c r="L46" s="13"/>
      <c r="M46" s="13"/>
      <c r="N46" s="13"/>
      <c r="O46" s="13"/>
    </row>
    <row r="47" spans="1:15" s="308" customFormat="1">
      <c r="A47" s="570"/>
      <c r="B47" s="210"/>
      <c r="C47" s="276"/>
      <c r="D47" s="276"/>
      <c r="E47" s="769" t="str">
        <f>+B3</f>
        <v>Transource Pennsylvania, LLC</v>
      </c>
      <c r="F47" s="276"/>
      <c r="L47" s="13"/>
      <c r="M47" s="13"/>
      <c r="N47" s="13"/>
      <c r="O47" s="13"/>
    </row>
    <row r="48" spans="1:15" s="308" customFormat="1">
      <c r="A48" s="570"/>
      <c r="B48" s="574" t="s">
        <v>701</v>
      </c>
      <c r="C48" s="276"/>
      <c r="D48" s="276"/>
      <c r="E48" s="276"/>
      <c r="F48" s="276"/>
      <c r="G48" s="276"/>
      <c r="L48" s="13"/>
      <c r="M48" s="13"/>
      <c r="N48" s="13"/>
      <c r="O48" s="13"/>
    </row>
    <row r="49" spans="1:15" s="308" customFormat="1" ht="25.5" customHeight="1">
      <c r="A49" s="570"/>
      <c r="B49" s="210"/>
      <c r="C49" s="1264" t="s">
        <v>596</v>
      </c>
      <c r="D49" s="1264" t="s">
        <v>822</v>
      </c>
      <c r="E49" s="1264" t="s">
        <v>823</v>
      </c>
      <c r="F49" s="1264" t="s">
        <v>598</v>
      </c>
      <c r="L49" s="13"/>
      <c r="M49" s="13"/>
      <c r="N49" s="13"/>
      <c r="O49" s="13"/>
    </row>
    <row r="50" spans="1:15" s="308" customFormat="1" ht="12.75" customHeight="1">
      <c r="A50" s="570"/>
      <c r="B50" s="210"/>
      <c r="C50" s="1264"/>
      <c r="D50" s="1264"/>
      <c r="E50" s="1264"/>
      <c r="F50" s="1264"/>
      <c r="L50" s="13"/>
      <c r="M50" s="13"/>
      <c r="N50" s="13"/>
      <c r="O50" s="13"/>
    </row>
    <row r="51" spans="1:15" s="308" customFormat="1">
      <c r="A51" s="570"/>
      <c r="B51" s="210"/>
      <c r="C51" s="3" t="s">
        <v>190</v>
      </c>
      <c r="D51" s="3" t="s">
        <v>191</v>
      </c>
      <c r="E51" s="804" t="s">
        <v>192</v>
      </c>
      <c r="F51" s="572" t="s">
        <v>824</v>
      </c>
      <c r="L51" s="13"/>
      <c r="M51" s="13"/>
      <c r="N51" s="13"/>
      <c r="O51" s="13"/>
    </row>
    <row r="52" spans="1:15" s="308" customFormat="1" ht="26">
      <c r="A52" s="570"/>
      <c r="B52" s="210"/>
      <c r="C52" s="310" t="s">
        <v>595</v>
      </c>
      <c r="D52" s="310" t="s">
        <v>597</v>
      </c>
      <c r="E52" s="310" t="s">
        <v>597</v>
      </c>
      <c r="F52" s="310"/>
      <c r="L52" s="13"/>
      <c r="M52" s="13"/>
      <c r="N52" s="13"/>
      <c r="O52" s="13"/>
    </row>
    <row r="53" spans="1:15" s="308" customFormat="1">
      <c r="A53" s="570">
        <f>+A42+1</f>
        <v>29</v>
      </c>
      <c r="B53" s="5" t="s">
        <v>187</v>
      </c>
      <c r="C53" s="6">
        <v>91172663.390000001</v>
      </c>
      <c r="D53" s="6">
        <v>86202.66</v>
      </c>
      <c r="E53" s="1169">
        <v>0</v>
      </c>
      <c r="F53" s="350">
        <f>+C53-D53-E53</f>
        <v>91086460.730000004</v>
      </c>
      <c r="L53" s="13"/>
      <c r="M53" s="13"/>
      <c r="N53" s="13"/>
      <c r="O53" s="13"/>
    </row>
    <row r="54" spans="1:15" s="308" customFormat="1">
      <c r="A54" s="570">
        <f>+A53+1</f>
        <v>30</v>
      </c>
      <c r="B54" s="5" t="s">
        <v>85</v>
      </c>
      <c r="C54" s="6">
        <v>91352575.170000002</v>
      </c>
      <c r="D54" s="6">
        <v>88065.64</v>
      </c>
      <c r="E54" s="1169">
        <v>0</v>
      </c>
      <c r="F54" s="350">
        <f t="shared" ref="F54:F65" si="2">+C54-D54-E54</f>
        <v>91264509.530000001</v>
      </c>
      <c r="L54" s="13"/>
      <c r="M54" s="13"/>
      <c r="N54" s="13"/>
      <c r="O54" s="13"/>
    </row>
    <row r="55" spans="1:15" s="308" customFormat="1">
      <c r="A55" s="570">
        <f t="shared" ref="A55:A65" si="3">+A54+1</f>
        <v>31</v>
      </c>
      <c r="B55" s="1" t="s">
        <v>84</v>
      </c>
      <c r="C55" s="6">
        <v>91595399.219999999</v>
      </c>
      <c r="D55" s="6">
        <v>90368.92</v>
      </c>
      <c r="E55" s="1169">
        <v>0</v>
      </c>
      <c r="F55" s="350">
        <f t="shared" si="2"/>
        <v>91505030.299999997</v>
      </c>
      <c r="L55" s="13"/>
      <c r="M55" s="13"/>
      <c r="N55" s="13"/>
      <c r="O55" s="13"/>
    </row>
    <row r="56" spans="1:15" s="308" customFormat="1">
      <c r="A56" s="570">
        <f t="shared" si="3"/>
        <v>32</v>
      </c>
      <c r="B56" s="1" t="s">
        <v>164</v>
      </c>
      <c r="C56" s="6">
        <v>91986321.319999993</v>
      </c>
      <c r="D56" s="6">
        <v>92911.06</v>
      </c>
      <c r="E56" s="1169">
        <v>0</v>
      </c>
      <c r="F56" s="350">
        <f t="shared" si="2"/>
        <v>91893410.25999999</v>
      </c>
      <c r="L56" s="13"/>
      <c r="M56" s="13"/>
      <c r="N56" s="13"/>
      <c r="O56" s="13"/>
    </row>
    <row r="57" spans="1:15" s="308" customFormat="1">
      <c r="A57" s="570">
        <f t="shared" si="3"/>
        <v>33</v>
      </c>
      <c r="B57" s="1" t="s">
        <v>76</v>
      </c>
      <c r="C57" s="6">
        <v>93134368.159999996</v>
      </c>
      <c r="D57" s="6">
        <v>95731.25</v>
      </c>
      <c r="E57" s="1169">
        <v>0</v>
      </c>
      <c r="F57" s="350">
        <f t="shared" si="2"/>
        <v>93038636.909999996</v>
      </c>
      <c r="L57" s="13"/>
      <c r="M57" s="13"/>
      <c r="N57" s="13"/>
      <c r="O57" s="13"/>
    </row>
    <row r="58" spans="1:15" s="308" customFormat="1">
      <c r="A58" s="570">
        <f t="shared" si="3"/>
        <v>34</v>
      </c>
      <c r="B58" s="1" t="s">
        <v>75</v>
      </c>
      <c r="C58" s="6">
        <v>97043270.780000001</v>
      </c>
      <c r="D58" s="6">
        <v>99631.71</v>
      </c>
      <c r="E58" s="1169">
        <v>0</v>
      </c>
      <c r="F58" s="350">
        <f t="shared" si="2"/>
        <v>96943639.070000008</v>
      </c>
      <c r="L58" s="13"/>
      <c r="M58" s="13"/>
      <c r="N58" s="13"/>
      <c r="O58" s="13"/>
    </row>
    <row r="59" spans="1:15" s="308" customFormat="1">
      <c r="A59" s="570">
        <f t="shared" si="3"/>
        <v>35</v>
      </c>
      <c r="B59" s="1" t="s">
        <v>92</v>
      </c>
      <c r="C59" s="6">
        <v>104382594.16</v>
      </c>
      <c r="D59" s="6">
        <v>103969.64</v>
      </c>
      <c r="E59" s="1169">
        <v>0</v>
      </c>
      <c r="F59" s="350">
        <f t="shared" si="2"/>
        <v>104278624.52</v>
      </c>
      <c r="L59" s="13"/>
      <c r="M59" s="13"/>
      <c r="N59" s="13"/>
      <c r="O59" s="13"/>
    </row>
    <row r="60" spans="1:15" s="308" customFormat="1">
      <c r="A60" s="570">
        <f t="shared" si="3"/>
        <v>36</v>
      </c>
      <c r="B60" s="1" t="s">
        <v>82</v>
      </c>
      <c r="C60" s="6">
        <v>108306386.69</v>
      </c>
      <c r="D60" s="6">
        <v>107184.96000000001</v>
      </c>
      <c r="E60" s="1169">
        <v>0</v>
      </c>
      <c r="F60" s="350">
        <f t="shared" si="2"/>
        <v>108199201.73</v>
      </c>
      <c r="L60" s="13"/>
      <c r="M60" s="13"/>
      <c r="N60" s="13"/>
      <c r="O60" s="13"/>
    </row>
    <row r="61" spans="1:15" s="308" customFormat="1">
      <c r="A61" s="570">
        <f t="shared" si="3"/>
        <v>37</v>
      </c>
      <c r="B61" s="1" t="s">
        <v>165</v>
      </c>
      <c r="C61" s="6">
        <v>108658227.72</v>
      </c>
      <c r="D61" s="6">
        <v>108856.17</v>
      </c>
      <c r="E61" s="1169">
        <v>0</v>
      </c>
      <c r="F61" s="350">
        <f t="shared" si="2"/>
        <v>108549371.55</v>
      </c>
      <c r="L61" s="13"/>
      <c r="M61" s="13"/>
      <c r="N61" s="13"/>
      <c r="O61" s="13"/>
    </row>
    <row r="62" spans="1:15" s="308" customFormat="1">
      <c r="A62" s="570">
        <f t="shared" si="3"/>
        <v>38</v>
      </c>
      <c r="B62" s="1" t="s">
        <v>80</v>
      </c>
      <c r="C62" s="6">
        <v>109293405.20999999</v>
      </c>
      <c r="D62" s="6">
        <v>111813.02</v>
      </c>
      <c r="E62" s="1169">
        <v>0</v>
      </c>
      <c r="F62" s="350">
        <f t="shared" si="2"/>
        <v>109181592.19</v>
      </c>
      <c r="L62" s="13"/>
      <c r="M62" s="13"/>
      <c r="N62" s="13"/>
      <c r="O62" s="13"/>
    </row>
    <row r="63" spans="1:15" s="308" customFormat="1">
      <c r="A63" s="570">
        <f t="shared" si="3"/>
        <v>39</v>
      </c>
      <c r="B63" s="1" t="s">
        <v>86</v>
      </c>
      <c r="C63" s="6">
        <v>109511166.98</v>
      </c>
      <c r="D63" s="6">
        <v>113814.42000000001</v>
      </c>
      <c r="E63" s="1169">
        <v>0</v>
      </c>
      <c r="F63" s="350">
        <f t="shared" si="2"/>
        <v>109397352.56</v>
      </c>
      <c r="L63" s="13"/>
      <c r="M63" s="13"/>
      <c r="N63" s="13"/>
      <c r="O63" s="13"/>
    </row>
    <row r="64" spans="1:15" s="308" customFormat="1">
      <c r="A64" s="570">
        <f t="shared" si="3"/>
        <v>40</v>
      </c>
      <c r="B64" s="1" t="s">
        <v>79</v>
      </c>
      <c r="C64" s="6">
        <v>116608786.51000001</v>
      </c>
      <c r="D64" s="6">
        <v>116623.45000000001</v>
      </c>
      <c r="E64" s="1169">
        <v>0</v>
      </c>
      <c r="F64" s="350">
        <f t="shared" si="2"/>
        <v>116492163.06</v>
      </c>
      <c r="L64" s="13"/>
      <c r="M64" s="13"/>
      <c r="N64" s="13"/>
      <c r="O64" s="13"/>
    </row>
    <row r="65" spans="1:16" s="308" customFormat="1">
      <c r="A65" s="570">
        <f t="shared" si="3"/>
        <v>41</v>
      </c>
      <c r="B65" s="1" t="s">
        <v>188</v>
      </c>
      <c r="C65" s="6">
        <v>116971052.94</v>
      </c>
      <c r="D65" s="6">
        <v>124662.64</v>
      </c>
      <c r="E65" s="1169">
        <v>0</v>
      </c>
      <c r="F65" s="350">
        <f t="shared" si="2"/>
        <v>116846390.3</v>
      </c>
      <c r="L65" s="13"/>
      <c r="M65" s="13"/>
      <c r="N65" s="13"/>
      <c r="O65" s="13"/>
    </row>
    <row r="66" spans="1:16" s="308" customFormat="1" ht="13.5" thickBot="1">
      <c r="A66" s="570"/>
      <c r="B66" s="210"/>
      <c r="C66" s="573">
        <f>+F66+D66</f>
        <v>102308939.86538461</v>
      </c>
      <c r="D66" s="573">
        <f>SUM(D53:D65)/13</f>
        <v>103064.2723076923</v>
      </c>
      <c r="E66" s="1170">
        <f>SUM(E53:E65)/13</f>
        <v>0</v>
      </c>
      <c r="F66" s="573">
        <f>SUM(F53:F65)/13</f>
        <v>102205875.59307691</v>
      </c>
      <c r="L66" s="13"/>
      <c r="M66" s="13"/>
      <c r="N66" s="13"/>
      <c r="O66" s="13"/>
    </row>
    <row r="67" spans="1:16" s="308" customFormat="1" ht="13.5" thickTop="1">
      <c r="A67" s="570"/>
      <c r="B67" s="210"/>
      <c r="C67" s="1091"/>
      <c r="D67" s="276"/>
      <c r="E67" s="276"/>
      <c r="F67" s="276"/>
      <c r="G67" s="276"/>
      <c r="L67" s="13"/>
      <c r="M67" s="13"/>
      <c r="N67" s="13"/>
      <c r="O67" s="13"/>
    </row>
    <row r="68" spans="1:16">
      <c r="A68" s="275"/>
      <c r="B68" s="575" t="s">
        <v>812</v>
      </c>
      <c r="C68" s="276"/>
      <c r="D68" s="276"/>
      <c r="E68" s="276"/>
      <c r="F68" s="277"/>
      <c r="G68" s="277"/>
      <c r="H68" s="209"/>
      <c r="I68" s="209"/>
      <c r="J68" s="211"/>
      <c r="K68" s="13"/>
      <c r="L68" s="13"/>
      <c r="M68" s="13"/>
      <c r="N68" s="13"/>
      <c r="O68" s="13"/>
    </row>
    <row r="69" spans="1:16">
      <c r="A69" s="275"/>
      <c r="B69" s="210" t="s">
        <v>190</v>
      </c>
      <c r="C69" s="210" t="s">
        <v>191</v>
      </c>
      <c r="D69" s="798" t="s">
        <v>782</v>
      </c>
      <c r="E69" s="798" t="s">
        <v>783</v>
      </c>
      <c r="F69" s="210" t="s">
        <v>192</v>
      </c>
      <c r="G69" s="210" t="s">
        <v>193</v>
      </c>
      <c r="H69" s="256" t="s">
        <v>195</v>
      </c>
      <c r="I69" s="256" t="s">
        <v>194</v>
      </c>
      <c r="J69" s="256" t="s">
        <v>196</v>
      </c>
      <c r="K69" s="256" t="s">
        <v>197</v>
      </c>
      <c r="L69" s="13"/>
      <c r="M69" s="13"/>
      <c r="N69" s="13"/>
      <c r="O69" s="13"/>
      <c r="P69" s="13"/>
    </row>
    <row r="70" spans="1:16" ht="78">
      <c r="A70" s="275"/>
      <c r="B70" s="637" t="s">
        <v>297</v>
      </c>
      <c r="C70" s="344"/>
      <c r="D70" s="638" t="s">
        <v>784</v>
      </c>
      <c r="E70" s="638" t="s">
        <v>785</v>
      </c>
      <c r="F70" s="638" t="s">
        <v>11</v>
      </c>
      <c r="G70" s="638" t="s">
        <v>298</v>
      </c>
      <c r="H70" s="638" t="s">
        <v>636</v>
      </c>
      <c r="I70" s="638" t="s">
        <v>634</v>
      </c>
      <c r="J70" s="346" t="s">
        <v>299</v>
      </c>
      <c r="K70" s="346" t="s">
        <v>300</v>
      </c>
      <c r="L70" s="278"/>
      <c r="M70" s="279"/>
      <c r="N70" s="13"/>
      <c r="O70" s="13"/>
      <c r="P70" s="13"/>
    </row>
    <row r="71" spans="1:16">
      <c r="A71" s="275" t="str">
        <f>+A65+1&amp;"a"</f>
        <v>42a</v>
      </c>
      <c r="B71" s="269"/>
      <c r="C71" s="280" t="s">
        <v>301</v>
      </c>
      <c r="D71" s="1189">
        <v>0</v>
      </c>
      <c r="E71" s="1189">
        <v>0</v>
      </c>
      <c r="F71" s="1189">
        <v>0</v>
      </c>
      <c r="G71" s="1189">
        <v>0</v>
      </c>
      <c r="H71" s="1189">
        <v>0</v>
      </c>
      <c r="I71" s="1189">
        <v>0</v>
      </c>
      <c r="J71" s="1189">
        <v>0</v>
      </c>
      <c r="K71" s="1190">
        <f>+F71*G71*H71*I71*J71</f>
        <v>0</v>
      </c>
      <c r="L71" s="269"/>
      <c r="M71" s="279"/>
      <c r="N71" s="13"/>
      <c r="O71" s="13"/>
      <c r="P71" s="13"/>
    </row>
    <row r="72" spans="1:16">
      <c r="A72" s="570" t="str">
        <f>+A65+1&amp;"b"</f>
        <v>42b</v>
      </c>
      <c r="B72" s="269"/>
      <c r="C72" s="280" t="s">
        <v>302</v>
      </c>
      <c r="D72" s="1189">
        <v>0</v>
      </c>
      <c r="E72" s="1189">
        <v>0</v>
      </c>
      <c r="F72" s="1189">
        <v>0</v>
      </c>
      <c r="G72" s="1189">
        <v>0</v>
      </c>
      <c r="H72" s="1189">
        <v>0</v>
      </c>
      <c r="I72" s="1189">
        <v>0</v>
      </c>
      <c r="J72" s="1189">
        <v>0</v>
      </c>
      <c r="K72" s="1190">
        <f>+F72*G72*H72*I72*J72</f>
        <v>0</v>
      </c>
      <c r="L72" s="269"/>
      <c r="M72" s="279"/>
      <c r="N72" s="13"/>
      <c r="O72" s="13"/>
      <c r="P72" s="13"/>
    </row>
    <row r="73" spans="1:16">
      <c r="A73" s="275">
        <f>+A65+2</f>
        <v>43</v>
      </c>
      <c r="B73" s="269"/>
      <c r="C73" s="639" t="s">
        <v>13</v>
      </c>
      <c r="D73" s="1187"/>
      <c r="E73" s="1187"/>
      <c r="F73" s="1161">
        <f>SUM(F71:F72)</f>
        <v>0</v>
      </c>
      <c r="G73" s="1187"/>
      <c r="H73" s="1188"/>
      <c r="I73" s="1188"/>
      <c r="J73" s="1187"/>
      <c r="K73" s="1191">
        <f>SUM(K71:K72)</f>
        <v>0</v>
      </c>
      <c r="L73" s="269"/>
      <c r="M73" s="279"/>
      <c r="N73" s="13"/>
      <c r="O73" s="13"/>
      <c r="P73" s="13"/>
    </row>
    <row r="74" spans="1:16">
      <c r="A74" s="214"/>
      <c r="B74" s="215"/>
      <c r="C74" s="216"/>
      <c r="D74" s="216"/>
      <c r="E74" s="216"/>
      <c r="F74" s="216"/>
      <c r="G74" s="216"/>
      <c r="I74" s="283"/>
      <c r="J74" s="283"/>
      <c r="K74" s="283"/>
    </row>
    <row r="75" spans="1:16">
      <c r="A75" s="214"/>
      <c r="B75" s="215"/>
      <c r="C75" s="216"/>
      <c r="D75" s="216"/>
      <c r="E75" s="216"/>
      <c r="F75" s="216"/>
      <c r="G75" s="216"/>
      <c r="L75" s="13"/>
      <c r="M75" s="13"/>
      <c r="N75" s="13"/>
      <c r="O75" s="13"/>
      <c r="P75" s="13"/>
    </row>
    <row r="76" spans="1:16">
      <c r="A76" s="636" t="s">
        <v>176</v>
      </c>
    </row>
    <row r="77" spans="1:16" ht="18" customHeight="1">
      <c r="A77" s="309" t="s">
        <v>62</v>
      </c>
      <c r="B77" s="259" t="s">
        <v>841</v>
      </c>
      <c r="C77" s="251"/>
      <c r="D77" s="251"/>
      <c r="E77" s="251"/>
      <c r="F77" s="251"/>
      <c r="G77" s="251"/>
      <c r="H77" s="251"/>
      <c r="I77" s="251"/>
      <c r="J77" s="251"/>
      <c r="K77" s="251"/>
    </row>
    <row r="78" spans="1:16" s="209" customFormat="1" ht="48.75" customHeight="1">
      <c r="A78" s="309" t="s">
        <v>63</v>
      </c>
      <c r="B78" s="1239" t="s">
        <v>704</v>
      </c>
      <c r="C78" s="1239"/>
      <c r="D78" s="1239"/>
      <c r="E78" s="1239"/>
      <c r="F78" s="1239"/>
      <c r="G78" s="1239"/>
      <c r="H78" s="1239"/>
      <c r="I78" s="1239"/>
      <c r="J78" s="759"/>
      <c r="K78" s="428"/>
    </row>
    <row r="79" spans="1:16" ht="27.75" customHeight="1">
      <c r="A79" s="309" t="s">
        <v>64</v>
      </c>
      <c r="B79" s="1239" t="s">
        <v>504</v>
      </c>
      <c r="C79" s="1239"/>
      <c r="D79" s="1239"/>
      <c r="E79" s="1239"/>
      <c r="F79" s="1239"/>
      <c r="G79" s="1239"/>
      <c r="H79" s="1239"/>
      <c r="I79" s="1239"/>
      <c r="J79" s="759"/>
      <c r="K79" s="759"/>
    </row>
    <row r="80" spans="1:16" ht="12.75" customHeight="1">
      <c r="A80" s="309" t="s">
        <v>65</v>
      </c>
      <c r="B80" s="1239" t="s">
        <v>334</v>
      </c>
      <c r="C80" s="1239"/>
      <c r="D80" s="1239"/>
      <c r="E80" s="1239"/>
      <c r="F80" s="1239"/>
      <c r="G80" s="1239"/>
      <c r="H80" s="1239"/>
      <c r="I80" s="1239"/>
      <c r="J80" s="759"/>
      <c r="K80" s="759"/>
      <c r="L80" s="211"/>
    </row>
    <row r="81" spans="1:12" ht="33.75" customHeight="1">
      <c r="A81" s="309" t="s">
        <v>66</v>
      </c>
      <c r="B81" s="1239" t="s">
        <v>1016</v>
      </c>
      <c r="C81" s="1239"/>
      <c r="D81" s="1239"/>
      <c r="E81" s="1239"/>
      <c r="F81" s="1239"/>
      <c r="G81" s="1239"/>
      <c r="H81" s="1239"/>
      <c r="I81" s="1239"/>
    </row>
    <row r="82" spans="1:12" s="209" customFormat="1" ht="60.75" customHeight="1">
      <c r="A82" s="309" t="s">
        <v>67</v>
      </c>
      <c r="B82" s="1239" t="s">
        <v>633</v>
      </c>
      <c r="C82" s="1239"/>
      <c r="D82" s="1239"/>
      <c r="E82" s="1239"/>
      <c r="F82" s="1239"/>
      <c r="G82" s="1239"/>
      <c r="H82" s="1239"/>
      <c r="I82" s="1239"/>
      <c r="J82" s="760"/>
      <c r="K82" s="760"/>
    </row>
    <row r="83" spans="1:12" ht="29.25" customHeight="1">
      <c r="A83" s="309" t="s">
        <v>68</v>
      </c>
      <c r="B83" s="1268" t="s">
        <v>702</v>
      </c>
      <c r="C83" s="1268"/>
      <c r="D83" s="1268"/>
      <c r="E83" s="1268"/>
      <c r="F83" s="1268"/>
      <c r="G83" s="1268"/>
      <c r="H83" s="1268"/>
      <c r="I83" s="1268"/>
      <c r="J83" s="760"/>
      <c r="K83" s="756"/>
    </row>
    <row r="84" spans="1:12" ht="18" customHeight="1">
      <c r="A84" s="309" t="s">
        <v>69</v>
      </c>
      <c r="B84" s="1250" t="s">
        <v>635</v>
      </c>
      <c r="C84" s="1250"/>
      <c r="D84" s="1250"/>
      <c r="E84" s="1250"/>
      <c r="F84" s="1250"/>
      <c r="G84" s="1250"/>
      <c r="H84" s="1250"/>
      <c r="I84" s="1250"/>
      <c r="J84" s="756"/>
      <c r="K84" s="756"/>
    </row>
    <row r="85" spans="1:12" ht="21.75" customHeight="1">
      <c r="A85" s="309" t="s">
        <v>70</v>
      </c>
      <c r="B85" s="1250" t="s">
        <v>786</v>
      </c>
      <c r="C85" s="1250"/>
      <c r="D85" s="1250"/>
      <c r="E85" s="1250"/>
      <c r="F85" s="1250"/>
      <c r="G85" s="1250"/>
      <c r="H85" s="1250"/>
      <c r="I85" s="1250"/>
    </row>
    <row r="86" spans="1:12" s="308" customFormat="1" ht="12.75" customHeight="1">
      <c r="A86" s="309" t="s">
        <v>71</v>
      </c>
      <c r="B86" s="1239" t="s">
        <v>811</v>
      </c>
      <c r="C86" s="1239"/>
      <c r="D86" s="1239"/>
      <c r="E86" s="1239"/>
      <c r="F86" s="1239"/>
      <c r="G86" s="1239"/>
      <c r="H86" s="1239"/>
      <c r="I86" s="1239"/>
      <c r="J86" s="803"/>
      <c r="K86" s="803"/>
      <c r="L86" s="211"/>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3"/>
    </customSheetView>
  </customSheetViews>
  <mergeCells count="20">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 ref="B86:I86"/>
    <mergeCell ref="E49:E50"/>
    <mergeCell ref="B81:I81"/>
    <mergeCell ref="B85:I85"/>
    <mergeCell ref="B84:I84"/>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68"/>
  <sheetViews>
    <sheetView view="pageBreakPreview" zoomScale="70" zoomScaleNormal="70" zoomScaleSheetLayoutView="70" workbookViewId="0">
      <selection activeCell="J154" sqref="J154"/>
    </sheetView>
  </sheetViews>
  <sheetFormatPr defaultColWidth="7.4609375" defaultRowHeight="13"/>
  <cols>
    <col min="1" max="1" width="4.3046875" style="841" customWidth="1"/>
    <col min="2" max="2" width="58.69140625" style="840" customWidth="1"/>
    <col min="3" max="3" width="16.84375" style="840" customWidth="1"/>
    <col min="4" max="4" width="17.84375" style="840" customWidth="1"/>
    <col min="5" max="5" width="20.84375" style="840" customWidth="1"/>
    <col min="6" max="6" width="13.69140625" style="840" customWidth="1"/>
    <col min="7" max="8" width="12.84375" style="840" customWidth="1"/>
    <col min="9" max="9" width="13.84375" style="840" customWidth="1"/>
    <col min="10" max="10" width="63.84375" style="840" customWidth="1"/>
    <col min="11" max="16384" width="7.4609375" style="840"/>
  </cols>
  <sheetData>
    <row r="1" spans="1:10" ht="20">
      <c r="A1" s="1271" t="s">
        <v>941</v>
      </c>
      <c r="B1" s="1271"/>
      <c r="C1" s="1271"/>
      <c r="D1" s="1271"/>
      <c r="E1" s="1271"/>
      <c r="F1" s="1271"/>
      <c r="G1" s="1271"/>
      <c r="H1" s="1271"/>
      <c r="I1" s="1271"/>
      <c r="J1" s="1271"/>
    </row>
    <row r="2" spans="1:10" ht="20">
      <c r="A2" s="1271" t="str">
        <f>'Attachment H-29A'!D5</f>
        <v>Transource Pennsylvania, LLC</v>
      </c>
      <c r="B2" s="1271"/>
      <c r="C2" s="1271"/>
      <c r="D2" s="1271"/>
      <c r="E2" s="1271"/>
      <c r="F2" s="1271"/>
      <c r="G2" s="1271"/>
      <c r="H2" s="1271"/>
      <c r="I2" s="1271"/>
      <c r="J2" s="1271"/>
    </row>
    <row r="3" spans="1:10" ht="20">
      <c r="A3" s="1271" t="str">
        <f>'Attachment H-29A'!J3</f>
        <v>For  the 12 months ended 12/31/2024</v>
      </c>
      <c r="B3" s="1271"/>
      <c r="C3" s="1271"/>
      <c r="D3" s="1271"/>
      <c r="E3" s="1271"/>
      <c r="F3" s="1271"/>
      <c r="G3" s="1271"/>
      <c r="H3" s="1271"/>
      <c r="I3" s="1271"/>
      <c r="J3" s="1271"/>
    </row>
    <row r="4" spans="1:10" ht="17.5">
      <c r="B4" s="842"/>
      <c r="C4" s="843"/>
      <c r="D4" s="843"/>
      <c r="E4" s="843"/>
      <c r="F4" s="843"/>
      <c r="G4" s="843"/>
      <c r="H4" s="843"/>
      <c r="I4" s="843"/>
      <c r="J4" s="844" t="s">
        <v>599</v>
      </c>
    </row>
    <row r="5" spans="1:10" ht="15.5">
      <c r="A5" s="845"/>
      <c r="B5" s="846" t="s">
        <v>850</v>
      </c>
      <c r="C5" s="846"/>
      <c r="D5" s="847"/>
      <c r="E5" s="847"/>
      <c r="F5" s="847"/>
      <c r="G5" s="846"/>
      <c r="H5" s="846"/>
      <c r="I5" s="846"/>
      <c r="J5" s="847"/>
    </row>
    <row r="6" spans="1:10" ht="12.75" customHeight="1">
      <c r="A6" s="845"/>
      <c r="B6" s="848"/>
      <c r="C6" s="847"/>
      <c r="D6" s="847"/>
      <c r="E6" s="847"/>
      <c r="F6" s="847"/>
      <c r="G6" s="849"/>
      <c r="H6" s="849"/>
      <c r="I6" s="847"/>
      <c r="J6" s="847"/>
    </row>
    <row r="7" spans="1:10">
      <c r="A7" s="845"/>
      <c r="B7" s="850" t="s">
        <v>804</v>
      </c>
      <c r="C7" s="850" t="s">
        <v>805</v>
      </c>
      <c r="D7" s="850" t="s">
        <v>851</v>
      </c>
      <c r="E7" s="850" t="s">
        <v>806</v>
      </c>
      <c r="F7" s="850" t="s">
        <v>807</v>
      </c>
      <c r="G7" s="850" t="s">
        <v>808</v>
      </c>
      <c r="H7" s="850" t="s">
        <v>809</v>
      </c>
      <c r="I7" s="850" t="s">
        <v>810</v>
      </c>
      <c r="J7" s="850" t="s">
        <v>852</v>
      </c>
    </row>
    <row r="8" spans="1:10">
      <c r="A8" s="845"/>
      <c r="B8" s="847"/>
      <c r="C8" s="851" t="s">
        <v>853</v>
      </c>
      <c r="D8" s="852" t="s">
        <v>854</v>
      </c>
      <c r="E8" s="853">
        <v>1</v>
      </c>
      <c r="F8" s="852" t="s">
        <v>854</v>
      </c>
      <c r="G8" s="850"/>
      <c r="H8" s="850"/>
      <c r="I8" s="850" t="s">
        <v>855</v>
      </c>
      <c r="J8" s="847"/>
    </row>
    <row r="9" spans="1:10">
      <c r="A9" s="845" t="s">
        <v>8</v>
      </c>
      <c r="B9" s="854"/>
      <c r="C9" s="850" t="s">
        <v>856</v>
      </c>
      <c r="D9" s="850" t="s">
        <v>857</v>
      </c>
      <c r="E9" s="850" t="s">
        <v>858</v>
      </c>
      <c r="F9" s="850" t="s">
        <v>16</v>
      </c>
      <c r="G9" s="850" t="s">
        <v>801</v>
      </c>
      <c r="H9" s="850" t="s">
        <v>802</v>
      </c>
      <c r="I9" s="850" t="s">
        <v>859</v>
      </c>
      <c r="J9" s="847"/>
    </row>
    <row r="10" spans="1:10">
      <c r="A10" s="845" t="s">
        <v>10</v>
      </c>
      <c r="B10" s="855" t="s">
        <v>860</v>
      </c>
      <c r="C10" s="855" t="s">
        <v>946</v>
      </c>
      <c r="D10" s="856" t="s">
        <v>803</v>
      </c>
      <c r="E10" s="856" t="s">
        <v>861</v>
      </c>
      <c r="F10" s="856" t="s">
        <v>803</v>
      </c>
      <c r="G10" s="856" t="s">
        <v>803</v>
      </c>
      <c r="H10" s="856" t="s">
        <v>803</v>
      </c>
      <c r="I10" s="856" t="s">
        <v>862</v>
      </c>
      <c r="J10" s="856" t="s">
        <v>863</v>
      </c>
    </row>
    <row r="11" spans="1:10">
      <c r="A11" s="845">
        <v>1</v>
      </c>
      <c r="B11" s="857"/>
      <c r="C11" s="1117"/>
      <c r="D11" s="1117"/>
      <c r="E11" s="1117"/>
      <c r="F11" s="1117"/>
      <c r="G11" s="1117"/>
      <c r="H11" s="1117"/>
      <c r="I11" s="1210"/>
      <c r="J11" s="857"/>
    </row>
    <row r="12" spans="1:10" ht="12.75" customHeight="1">
      <c r="A12" s="845">
        <f t="shared" ref="A12:A75" si="0">A11+1</f>
        <v>2</v>
      </c>
      <c r="B12" s="860" t="s">
        <v>864</v>
      </c>
      <c r="C12" s="1117">
        <v>0</v>
      </c>
      <c r="D12" s="1117">
        <v>0</v>
      </c>
      <c r="E12" s="1117">
        <v>0</v>
      </c>
      <c r="F12" s="1117">
        <v>0</v>
      </c>
      <c r="G12" s="1117">
        <v>0</v>
      </c>
      <c r="H12" s="1117">
        <v>0</v>
      </c>
      <c r="I12" s="1211"/>
      <c r="J12" s="857" t="s">
        <v>865</v>
      </c>
    </row>
    <row r="13" spans="1:10" ht="12.75" customHeight="1">
      <c r="A13" s="845">
        <f t="shared" si="0"/>
        <v>3</v>
      </c>
      <c r="B13" s="860" t="s">
        <v>404</v>
      </c>
      <c r="C13" s="1117">
        <v>0</v>
      </c>
      <c r="D13" s="1117">
        <v>0</v>
      </c>
      <c r="E13" s="1117">
        <v>0</v>
      </c>
      <c r="F13" s="1117">
        <v>0</v>
      </c>
      <c r="G13" s="1117">
        <v>0</v>
      </c>
      <c r="H13" s="1117">
        <v>0</v>
      </c>
      <c r="I13" s="1211"/>
      <c r="J13" s="857"/>
    </row>
    <row r="14" spans="1:10" ht="12.75" customHeight="1">
      <c r="A14" s="845">
        <f t="shared" si="0"/>
        <v>4</v>
      </c>
      <c r="B14" s="861"/>
      <c r="C14" s="1117">
        <v>0</v>
      </c>
      <c r="D14" s="1117">
        <v>0</v>
      </c>
      <c r="E14" s="1117">
        <v>0</v>
      </c>
      <c r="F14" s="1117">
        <v>0</v>
      </c>
      <c r="G14" s="1117">
        <v>0</v>
      </c>
      <c r="H14" s="1117">
        <v>0</v>
      </c>
      <c r="I14" s="1211"/>
      <c r="J14" s="857"/>
    </row>
    <row r="15" spans="1:10" ht="12.75" customHeight="1">
      <c r="A15" s="845">
        <f t="shared" si="0"/>
        <v>5</v>
      </c>
      <c r="B15" s="862"/>
      <c r="C15" s="1117">
        <v>0</v>
      </c>
      <c r="D15" s="1117">
        <v>0</v>
      </c>
      <c r="E15" s="1117">
        <v>0</v>
      </c>
      <c r="F15" s="1117">
        <v>0</v>
      </c>
      <c r="G15" s="1117">
        <v>0</v>
      </c>
      <c r="H15" s="1117">
        <v>0</v>
      </c>
      <c r="I15" s="1211"/>
      <c r="J15" s="857"/>
    </row>
    <row r="16" spans="1:10" ht="12.75" customHeight="1">
      <c r="A16" s="845">
        <f t="shared" si="0"/>
        <v>6</v>
      </c>
      <c r="B16" s="857"/>
      <c r="C16" s="1117">
        <v>0</v>
      </c>
      <c r="D16" s="1117">
        <v>0</v>
      </c>
      <c r="E16" s="1117">
        <v>0</v>
      </c>
      <c r="F16" s="1117">
        <v>0</v>
      </c>
      <c r="G16" s="1117">
        <v>0</v>
      </c>
      <c r="H16" s="1117">
        <v>0</v>
      </c>
      <c r="I16" s="1212"/>
      <c r="J16" s="857"/>
    </row>
    <row r="17" spans="1:10" ht="12.75" customHeight="1">
      <c r="A17" s="845">
        <f t="shared" si="0"/>
        <v>7</v>
      </c>
      <c r="B17" s="857"/>
      <c r="C17" s="1117">
        <v>0</v>
      </c>
      <c r="D17" s="1117">
        <v>0</v>
      </c>
      <c r="E17" s="1117">
        <v>0</v>
      </c>
      <c r="F17" s="1117">
        <v>0</v>
      </c>
      <c r="G17" s="1117">
        <v>0</v>
      </c>
      <c r="H17" s="1117">
        <v>0</v>
      </c>
      <c r="I17" s="1212"/>
      <c r="J17" s="857"/>
    </row>
    <row r="18" spans="1:10" ht="12.75" customHeight="1">
      <c r="A18" s="845">
        <f t="shared" si="0"/>
        <v>8</v>
      </c>
      <c r="B18" s="857"/>
      <c r="C18" s="1117">
        <v>0</v>
      </c>
      <c r="D18" s="1117">
        <v>0</v>
      </c>
      <c r="E18" s="1117">
        <v>0</v>
      </c>
      <c r="F18" s="1117">
        <v>0</v>
      </c>
      <c r="G18" s="1117">
        <v>0</v>
      </c>
      <c r="H18" s="1117">
        <v>0</v>
      </c>
      <c r="I18" s="1212"/>
      <c r="J18" s="857"/>
    </row>
    <row r="19" spans="1:10" ht="12.75" customHeight="1">
      <c r="A19" s="845">
        <f t="shared" si="0"/>
        <v>9</v>
      </c>
      <c r="B19" s="857"/>
      <c r="C19" s="1117">
        <v>0</v>
      </c>
      <c r="D19" s="1117">
        <v>0</v>
      </c>
      <c r="E19" s="1117">
        <v>0</v>
      </c>
      <c r="F19" s="1117">
        <v>0</v>
      </c>
      <c r="G19" s="1117">
        <v>0</v>
      </c>
      <c r="H19" s="1117">
        <v>0</v>
      </c>
      <c r="I19" s="1212"/>
      <c r="J19" s="857"/>
    </row>
    <row r="20" spans="1:10" ht="12.75" customHeight="1">
      <c r="A20" s="845">
        <f t="shared" si="0"/>
        <v>10</v>
      </c>
      <c r="B20" s="857"/>
      <c r="C20" s="1117">
        <v>0</v>
      </c>
      <c r="D20" s="1117">
        <v>0</v>
      </c>
      <c r="E20" s="1117">
        <v>0</v>
      </c>
      <c r="F20" s="1117">
        <v>0</v>
      </c>
      <c r="G20" s="1117">
        <v>0</v>
      </c>
      <c r="H20" s="1117">
        <v>0</v>
      </c>
      <c r="I20" s="1212"/>
      <c r="J20" s="857"/>
    </row>
    <row r="21" spans="1:10" ht="12.75" customHeight="1">
      <c r="A21" s="845">
        <f t="shared" si="0"/>
        <v>11</v>
      </c>
      <c r="B21" s="857"/>
      <c r="C21" s="1117">
        <v>0</v>
      </c>
      <c r="D21" s="1117">
        <v>0</v>
      </c>
      <c r="E21" s="1117">
        <v>0</v>
      </c>
      <c r="F21" s="1117">
        <v>0</v>
      </c>
      <c r="G21" s="1117">
        <v>0</v>
      </c>
      <c r="H21" s="1117">
        <v>0</v>
      </c>
      <c r="I21" s="1212"/>
      <c r="J21" s="857"/>
    </row>
    <row r="22" spans="1:10" ht="12.75" customHeight="1">
      <c r="A22" s="845">
        <f t="shared" si="0"/>
        <v>12</v>
      </c>
      <c r="B22" s="857"/>
      <c r="C22" s="1117">
        <v>0</v>
      </c>
      <c r="D22" s="1117">
        <v>0</v>
      </c>
      <c r="E22" s="1117">
        <v>0</v>
      </c>
      <c r="F22" s="1117">
        <v>0</v>
      </c>
      <c r="G22" s="1117">
        <v>0</v>
      </c>
      <c r="H22" s="1117">
        <v>0</v>
      </c>
      <c r="I22" s="1212"/>
      <c r="J22" s="857"/>
    </row>
    <row r="23" spans="1:10" ht="12.75" customHeight="1">
      <c r="A23" s="845">
        <f t="shared" si="0"/>
        <v>13</v>
      </c>
      <c r="B23" s="857"/>
      <c r="C23" s="1117">
        <v>0</v>
      </c>
      <c r="D23" s="1117">
        <v>0</v>
      </c>
      <c r="E23" s="1117">
        <v>0</v>
      </c>
      <c r="F23" s="1117">
        <v>0</v>
      </c>
      <c r="G23" s="1117">
        <v>0</v>
      </c>
      <c r="H23" s="1117">
        <v>0</v>
      </c>
      <c r="I23" s="1212"/>
      <c r="J23" s="857"/>
    </row>
    <row r="24" spans="1:10" ht="12.75" customHeight="1">
      <c r="A24" s="845">
        <f t="shared" si="0"/>
        <v>14</v>
      </c>
      <c r="B24" s="857"/>
      <c r="C24" s="1117">
        <v>0</v>
      </c>
      <c r="D24" s="1117">
        <v>0</v>
      </c>
      <c r="E24" s="1117">
        <v>0</v>
      </c>
      <c r="F24" s="1117">
        <v>0</v>
      </c>
      <c r="G24" s="1117">
        <v>0</v>
      </c>
      <c r="H24" s="1117">
        <v>0</v>
      </c>
      <c r="I24" s="1212"/>
      <c r="J24" s="857"/>
    </row>
    <row r="25" spans="1:10" ht="12.75" customHeight="1">
      <c r="A25" s="845">
        <f t="shared" si="0"/>
        <v>15</v>
      </c>
      <c r="B25" s="857"/>
      <c r="C25" s="1117">
        <v>0</v>
      </c>
      <c r="D25" s="1117">
        <v>0</v>
      </c>
      <c r="E25" s="1117">
        <v>0</v>
      </c>
      <c r="F25" s="1117">
        <v>0</v>
      </c>
      <c r="G25" s="1117">
        <v>0</v>
      </c>
      <c r="H25" s="1117">
        <v>0</v>
      </c>
      <c r="I25" s="1212"/>
      <c r="J25" s="857"/>
    </row>
    <row r="26" spans="1:10" ht="12.75" customHeight="1">
      <c r="A26" s="845">
        <f t="shared" si="0"/>
        <v>16</v>
      </c>
      <c r="B26" s="857"/>
      <c r="C26" s="1117">
        <v>0</v>
      </c>
      <c r="D26" s="1117">
        <v>0</v>
      </c>
      <c r="E26" s="1117">
        <v>0</v>
      </c>
      <c r="F26" s="1117">
        <v>0</v>
      </c>
      <c r="G26" s="1117">
        <v>0</v>
      </c>
      <c r="H26" s="1117">
        <v>0</v>
      </c>
      <c r="I26" s="1212"/>
      <c r="J26" s="857"/>
    </row>
    <row r="27" spans="1:10" ht="12.75" customHeight="1">
      <c r="A27" s="845">
        <f t="shared" si="0"/>
        <v>17</v>
      </c>
      <c r="B27" s="857"/>
      <c r="C27" s="1117">
        <v>0</v>
      </c>
      <c r="D27" s="1117">
        <v>0</v>
      </c>
      <c r="E27" s="1117">
        <v>0</v>
      </c>
      <c r="F27" s="1117">
        <v>0</v>
      </c>
      <c r="G27" s="1117">
        <v>0</v>
      </c>
      <c r="H27" s="1117">
        <v>0</v>
      </c>
      <c r="I27" s="1212"/>
      <c r="J27" s="857"/>
    </row>
    <row r="28" spans="1:10" ht="12.75" customHeight="1">
      <c r="A28" s="845">
        <f t="shared" si="0"/>
        <v>18</v>
      </c>
      <c r="B28" s="857"/>
      <c r="C28" s="1117">
        <v>0</v>
      </c>
      <c r="D28" s="1117">
        <v>0</v>
      </c>
      <c r="E28" s="1117">
        <v>0</v>
      </c>
      <c r="F28" s="1117">
        <v>0</v>
      </c>
      <c r="G28" s="1117">
        <v>0</v>
      </c>
      <c r="H28" s="1117">
        <v>0</v>
      </c>
      <c r="I28" s="1212"/>
      <c r="J28" s="857"/>
    </row>
    <row r="29" spans="1:10" ht="12.75" customHeight="1">
      <c r="A29" s="845">
        <f t="shared" si="0"/>
        <v>19</v>
      </c>
      <c r="B29" s="857"/>
      <c r="C29" s="1117">
        <v>0</v>
      </c>
      <c r="D29" s="1117">
        <v>0</v>
      </c>
      <c r="E29" s="1117">
        <v>0</v>
      </c>
      <c r="F29" s="1117">
        <v>0</v>
      </c>
      <c r="G29" s="1117">
        <v>0</v>
      </c>
      <c r="H29" s="1117">
        <v>0</v>
      </c>
      <c r="I29" s="1212"/>
      <c r="J29" s="857"/>
    </row>
    <row r="30" spans="1:10" ht="12.75" customHeight="1">
      <c r="A30" s="845">
        <f t="shared" si="0"/>
        <v>20</v>
      </c>
      <c r="B30" s="857"/>
      <c r="C30" s="1117">
        <v>0</v>
      </c>
      <c r="D30" s="1117">
        <v>0</v>
      </c>
      <c r="E30" s="1117">
        <v>0</v>
      </c>
      <c r="F30" s="1117">
        <v>0</v>
      </c>
      <c r="G30" s="1117">
        <v>0</v>
      </c>
      <c r="H30" s="1117">
        <v>0</v>
      </c>
      <c r="I30" s="1212"/>
      <c r="J30" s="857"/>
    </row>
    <row r="31" spans="1:10" ht="12.75" customHeight="1">
      <c r="A31" s="845">
        <f t="shared" si="0"/>
        <v>21</v>
      </c>
      <c r="B31" s="857"/>
      <c r="C31" s="1117">
        <v>0</v>
      </c>
      <c r="D31" s="1117">
        <v>0</v>
      </c>
      <c r="E31" s="1117">
        <v>0</v>
      </c>
      <c r="F31" s="1117">
        <v>0</v>
      </c>
      <c r="G31" s="1117">
        <v>0</v>
      </c>
      <c r="H31" s="1117">
        <v>0</v>
      </c>
      <c r="I31" s="1212"/>
      <c r="J31" s="857"/>
    </row>
    <row r="32" spans="1:10" ht="12.75" customHeight="1">
      <c r="A32" s="845">
        <f t="shared" si="0"/>
        <v>22</v>
      </c>
      <c r="B32" s="857"/>
      <c r="C32" s="1117">
        <v>0</v>
      </c>
      <c r="D32" s="1117">
        <v>0</v>
      </c>
      <c r="E32" s="1117">
        <v>0</v>
      </c>
      <c r="F32" s="1117">
        <v>0</v>
      </c>
      <c r="G32" s="1117">
        <v>0</v>
      </c>
      <c r="H32" s="1117">
        <v>0</v>
      </c>
      <c r="I32" s="1212"/>
      <c r="J32" s="857"/>
    </row>
    <row r="33" spans="1:10" ht="12.75" customHeight="1">
      <c r="A33" s="845">
        <f t="shared" si="0"/>
        <v>23</v>
      </c>
      <c r="B33" s="857"/>
      <c r="C33" s="1117"/>
      <c r="D33" s="1213"/>
      <c r="E33" s="1210" t="s">
        <v>2</v>
      </c>
      <c r="F33" s="1210"/>
      <c r="G33" s="1210" t="s">
        <v>2</v>
      </c>
      <c r="H33" s="1210"/>
      <c r="I33" s="1210"/>
      <c r="J33" s="857"/>
    </row>
    <row r="34" spans="1:10" ht="12.75" customHeight="1">
      <c r="A34" s="845">
        <f t="shared" si="0"/>
        <v>24</v>
      </c>
      <c r="B34" s="865" t="s">
        <v>866</v>
      </c>
      <c r="C34" s="866">
        <f>SUM(C12:C32)</f>
        <v>0</v>
      </c>
      <c r="D34" s="866">
        <f t="shared" ref="D34:H34" si="1">SUM(D12:D32)</f>
        <v>0</v>
      </c>
      <c r="E34" s="866">
        <f t="shared" si="1"/>
        <v>0</v>
      </c>
      <c r="F34" s="866">
        <f t="shared" si="1"/>
        <v>0</v>
      </c>
      <c r="G34" s="866">
        <f t="shared" si="1"/>
        <v>0</v>
      </c>
      <c r="H34" s="866">
        <f t="shared" si="1"/>
        <v>0</v>
      </c>
      <c r="I34" s="866"/>
      <c r="J34" s="867"/>
    </row>
    <row r="35" spans="1:10" ht="12.75" customHeight="1">
      <c r="A35" s="845">
        <f t="shared" si="0"/>
        <v>25</v>
      </c>
      <c r="B35" s="865" t="s">
        <v>867</v>
      </c>
      <c r="C35" s="866">
        <f>SUM(D35:H35)</f>
        <v>0</v>
      </c>
      <c r="D35" s="984">
        <v>0</v>
      </c>
      <c r="E35" s="984">
        <v>0</v>
      </c>
      <c r="F35" s="984">
        <v>0</v>
      </c>
      <c r="G35" s="984">
        <v>0</v>
      </c>
      <c r="H35" s="984">
        <v>0</v>
      </c>
      <c r="I35" s="906"/>
      <c r="J35" s="870"/>
    </row>
    <row r="36" spans="1:10" ht="12.75" customHeight="1">
      <c r="A36" s="845">
        <f t="shared" si="0"/>
        <v>26</v>
      </c>
      <c r="B36" s="865" t="s">
        <v>868</v>
      </c>
      <c r="C36" s="866">
        <f>SUM(D36:H36)</f>
        <v>0</v>
      </c>
      <c r="D36" s="984">
        <v>0</v>
      </c>
      <c r="E36" s="984">
        <v>0</v>
      </c>
      <c r="F36" s="984">
        <v>0</v>
      </c>
      <c r="G36" s="984">
        <v>0</v>
      </c>
      <c r="H36" s="984">
        <v>0</v>
      </c>
      <c r="I36" s="906"/>
      <c r="J36" s="870"/>
    </row>
    <row r="37" spans="1:10" ht="12.75" customHeight="1">
      <c r="A37" s="845">
        <f t="shared" si="0"/>
        <v>27</v>
      </c>
      <c r="B37" s="865" t="s">
        <v>947</v>
      </c>
      <c r="C37" s="866">
        <f>'4c - ADIT Proration'!J127</f>
        <v>0</v>
      </c>
      <c r="D37" s="984">
        <v>0</v>
      </c>
      <c r="E37" s="984">
        <v>0</v>
      </c>
      <c r="F37" s="984">
        <v>0</v>
      </c>
      <c r="G37" s="984">
        <v>0</v>
      </c>
      <c r="H37" s="984">
        <v>0</v>
      </c>
      <c r="I37" s="906"/>
      <c r="J37" s="867"/>
    </row>
    <row r="38" spans="1:10" ht="12.75" customHeight="1">
      <c r="A38" s="845">
        <f t="shared" si="0"/>
        <v>28</v>
      </c>
      <c r="B38" s="865" t="str">
        <f>"Total Company   (ln "&amp;A34&amp;" - ln "&amp;A35&amp;" - ln "&amp;A36&amp;" + ln "&amp;A37&amp;")"</f>
        <v>Total Company   (ln 24 - ln 25 - ln 26 + ln 27)</v>
      </c>
      <c r="C38" s="866">
        <f>+C34-C35-C36+C37</f>
        <v>0</v>
      </c>
      <c r="D38" s="866">
        <f>+D34-D35-D36+D37</f>
        <v>0</v>
      </c>
      <c r="E38" s="866">
        <f t="shared" ref="E38:H38" si="2">+E34-E35-E36+E37</f>
        <v>0</v>
      </c>
      <c r="F38" s="866">
        <f t="shared" si="2"/>
        <v>0</v>
      </c>
      <c r="G38" s="866">
        <f t="shared" si="2"/>
        <v>0</v>
      </c>
      <c r="H38" s="866">
        <f t="shared" si="2"/>
        <v>0</v>
      </c>
      <c r="I38" s="866" t="s">
        <v>2</v>
      </c>
      <c r="J38" s="867"/>
    </row>
    <row r="39" spans="1:10" ht="12.75" customHeight="1" thickBot="1">
      <c r="A39" s="845">
        <f t="shared" si="0"/>
        <v>29</v>
      </c>
      <c r="B39" s="871" t="s">
        <v>869</v>
      </c>
      <c r="C39" s="872"/>
      <c r="D39" s="873">
        <v>0</v>
      </c>
      <c r="E39" s="873">
        <v>0</v>
      </c>
      <c r="F39" s="873">
        <v>1</v>
      </c>
      <c r="G39" s="873">
        <f>'Attachment H-29A'!$G$83</f>
        <v>1</v>
      </c>
      <c r="H39" s="873">
        <f>'Attachment H-29A'!$I$197</f>
        <v>1</v>
      </c>
      <c r="I39" s="874"/>
      <c r="J39" s="867"/>
    </row>
    <row r="40" spans="1:10" ht="12.75" customHeight="1" thickBot="1">
      <c r="A40" s="845">
        <f t="shared" si="0"/>
        <v>30</v>
      </c>
      <c r="B40" s="865" t="str">
        <f>"Total Transmission   (ln "&amp;A38&amp;" * ln "&amp;A39&amp;")"</f>
        <v>Total Transmission   (ln 28 * ln 29)</v>
      </c>
      <c r="C40" s="875"/>
      <c r="D40" s="866">
        <f>D38*D39</f>
        <v>0</v>
      </c>
      <c r="E40" s="866">
        <f>E38*E39</f>
        <v>0</v>
      </c>
      <c r="F40" s="866">
        <f>F38*F39</f>
        <v>0</v>
      </c>
      <c r="G40" s="866">
        <f>G38*G39</f>
        <v>0</v>
      </c>
      <c r="H40" s="876">
        <f>H38*H39</f>
        <v>0</v>
      </c>
      <c r="I40" s="877">
        <f>SUM(F40:H40)</f>
        <v>0</v>
      </c>
      <c r="J40" s="865"/>
    </row>
    <row r="41" spans="1:10" ht="12.75" customHeight="1">
      <c r="A41" s="845"/>
      <c r="B41" s="878"/>
      <c r="C41" s="879"/>
      <c r="D41" s="880"/>
      <c r="E41" s="880"/>
      <c r="F41" s="880"/>
      <c r="G41" s="880"/>
      <c r="H41" s="880"/>
      <c r="I41" s="880"/>
      <c r="J41" s="878"/>
    </row>
    <row r="42" spans="1:10" s="847" customFormat="1" ht="12.25" customHeight="1">
      <c r="A42" s="845"/>
      <c r="B42" s="881"/>
      <c r="C42" s="882"/>
      <c r="D42" s="883"/>
      <c r="E42" s="883"/>
      <c r="F42" s="883"/>
      <c r="G42" s="883"/>
      <c r="H42" s="883"/>
      <c r="I42" s="880"/>
    </row>
    <row r="43" spans="1:10" ht="15.75" customHeight="1">
      <c r="A43" s="845"/>
      <c r="B43" s="846" t="s">
        <v>870</v>
      </c>
      <c r="C43" s="846"/>
      <c r="D43" s="846"/>
      <c r="E43" s="846"/>
      <c r="F43" s="846"/>
      <c r="G43" s="847"/>
    </row>
    <row r="44" spans="1:10" ht="12.75" customHeight="1">
      <c r="A44" s="845"/>
      <c r="B44" s="884"/>
      <c r="C44" s="882"/>
      <c r="D44" s="882"/>
      <c r="E44" s="882"/>
      <c r="F44" s="882"/>
      <c r="G44" s="849"/>
      <c r="H44" s="849"/>
      <c r="I44" s="882"/>
      <c r="J44" s="847"/>
    </row>
    <row r="45" spans="1:10">
      <c r="A45" s="845"/>
      <c r="B45" s="850" t="str">
        <f>B7</f>
        <v>(A)</v>
      </c>
      <c r="C45" s="850" t="s">
        <v>805</v>
      </c>
      <c r="D45" s="850" t="str">
        <f t="shared" ref="D45:J45" si="3">D7</f>
        <v>(C)</v>
      </c>
      <c r="E45" s="850" t="str">
        <f t="shared" si="3"/>
        <v>(D)</v>
      </c>
      <c r="F45" s="850" t="str">
        <f t="shared" si="3"/>
        <v>(E)</v>
      </c>
      <c r="G45" s="850" t="str">
        <f t="shared" si="3"/>
        <v>(F)</v>
      </c>
      <c r="H45" s="850" t="str">
        <f t="shared" si="3"/>
        <v>(G)</v>
      </c>
      <c r="I45" s="850" t="str">
        <f t="shared" si="3"/>
        <v>(H)</v>
      </c>
      <c r="J45" s="850" t="str">
        <f t="shared" si="3"/>
        <v>(I)</v>
      </c>
    </row>
    <row r="46" spans="1:10">
      <c r="A46" s="845"/>
      <c r="B46" s="850"/>
      <c r="C46" s="851" t="s">
        <v>853</v>
      </c>
      <c r="D46" s="850" t="str">
        <f>D8</f>
        <v>100%</v>
      </c>
      <c r="E46" s="853">
        <v>1</v>
      </c>
      <c r="F46" s="850" t="str">
        <f>F8</f>
        <v>100%</v>
      </c>
      <c r="G46" s="850"/>
      <c r="H46" s="850"/>
      <c r="I46" s="850" t="str">
        <f>I8</f>
        <v>Total Included</v>
      </c>
      <c r="J46" s="847"/>
    </row>
    <row r="47" spans="1:10">
      <c r="A47" s="845" t="s">
        <v>8</v>
      </c>
      <c r="B47" s="850"/>
      <c r="C47" s="850" t="s">
        <v>856</v>
      </c>
      <c r="D47" s="850" t="str">
        <f>D9</f>
        <v>Non-Transmission</v>
      </c>
      <c r="E47" s="850" t="s">
        <v>858</v>
      </c>
      <c r="F47" s="850" t="str">
        <f>F9</f>
        <v>Transmission</v>
      </c>
      <c r="G47" s="850" t="str">
        <f>G9</f>
        <v xml:space="preserve">Plant </v>
      </c>
      <c r="H47" s="850" t="str">
        <f>H9</f>
        <v>Labor</v>
      </c>
      <c r="I47" s="850" t="str">
        <f>I9</f>
        <v>in Ratebase</v>
      </c>
      <c r="J47" s="847"/>
    </row>
    <row r="48" spans="1:10">
      <c r="A48" s="845" t="s">
        <v>10</v>
      </c>
      <c r="B48" s="856" t="str">
        <f>B10</f>
        <v>Identification</v>
      </c>
      <c r="C48" s="855" t="s">
        <v>946</v>
      </c>
      <c r="D48" s="856" t="str">
        <f>D10</f>
        <v>Related</v>
      </c>
      <c r="E48" s="856" t="s">
        <v>861</v>
      </c>
      <c r="F48" s="856" t="str">
        <f>F10</f>
        <v>Related</v>
      </c>
      <c r="G48" s="856" t="str">
        <f>G10</f>
        <v>Related</v>
      </c>
      <c r="H48" s="856" t="str">
        <f>H10</f>
        <v>Related</v>
      </c>
      <c r="I48" s="856" t="str">
        <f>I10</f>
        <v>(E)+(F)+(G)</v>
      </c>
      <c r="J48" s="856" t="str">
        <f>J10</f>
        <v>Description / Justification</v>
      </c>
    </row>
    <row r="49" spans="1:10">
      <c r="A49" s="845">
        <f>A40+1</f>
        <v>31</v>
      </c>
      <c r="B49" s="857" t="str">
        <f>'4b - ADIT Beginning Ending'!B15</f>
        <v>230A ACRS Benefit Normalized</v>
      </c>
      <c r="C49" s="885">
        <f>'4b - ADIT Beginning Ending'!H15</f>
        <v>-1028.2249999999999</v>
      </c>
      <c r="D49" s="885">
        <v>0</v>
      </c>
      <c r="E49" s="885">
        <v>0</v>
      </c>
      <c r="F49" s="885">
        <v>0</v>
      </c>
      <c r="G49" s="885">
        <f>C49</f>
        <v>-1028.2249999999999</v>
      </c>
      <c r="H49" s="885">
        <v>0</v>
      </c>
      <c r="I49" s="885">
        <f>H49+G49+F49</f>
        <v>-1028.2249999999999</v>
      </c>
      <c r="J49" s="1200" t="s">
        <v>1000</v>
      </c>
    </row>
    <row r="50" spans="1:10">
      <c r="A50" s="845">
        <f t="shared" si="0"/>
        <v>32</v>
      </c>
      <c r="B50" s="857" t="str">
        <f>'4b - ADIT Beginning Ending'!B16</f>
        <v>REMOVAL CST</v>
      </c>
      <c r="C50" s="885">
        <f>'4b - ADIT Beginning Ending'!H16</f>
        <v>-7.0350000000000001</v>
      </c>
      <c r="D50" s="885">
        <v>0</v>
      </c>
      <c r="E50" s="885">
        <v>0</v>
      </c>
      <c r="F50" s="885">
        <v>0</v>
      </c>
      <c r="G50" s="885">
        <f>C50</f>
        <v>-7.0350000000000001</v>
      </c>
      <c r="H50" s="885">
        <v>0</v>
      </c>
      <c r="I50" s="885">
        <f>H50+G50+F50</f>
        <v>-7.0350000000000001</v>
      </c>
      <c r="J50" s="1205" t="s">
        <v>1005</v>
      </c>
    </row>
    <row r="51" spans="1:10">
      <c r="A51" s="845">
        <f t="shared" si="0"/>
        <v>33</v>
      </c>
      <c r="B51" s="857" t="str">
        <f>'4b - ADIT Beginning Ending'!B17</f>
        <v>712K  Capitalized Software Cost</v>
      </c>
      <c r="C51" s="885">
        <f>'4b - ADIT Beginning Ending'!H17</f>
        <v>29952.564999999999</v>
      </c>
      <c r="D51" s="885">
        <v>0</v>
      </c>
      <c r="E51" s="885">
        <v>0</v>
      </c>
      <c r="F51" s="885">
        <v>0</v>
      </c>
      <c r="G51" s="885">
        <f t="shared" ref="G51:G60" si="4">C51</f>
        <v>29952.564999999999</v>
      </c>
      <c r="H51" s="885">
        <v>0</v>
      </c>
      <c r="I51" s="885">
        <f t="shared" ref="I51:I61" si="5">H51+G51+F51</f>
        <v>29952.564999999999</v>
      </c>
      <c r="J51" s="1200" t="s">
        <v>871</v>
      </c>
    </row>
    <row r="52" spans="1:10">
      <c r="A52" s="845">
        <f t="shared" si="0"/>
        <v>34</v>
      </c>
      <c r="B52" s="857" t="str">
        <f>'4b - ADIT Beginning Ending'!B18</f>
        <v>712L CAPITALIZED SOFTWARE COST-BOOKS</v>
      </c>
      <c r="C52" s="885">
        <f>'4b - ADIT Beginning Ending'!H18</f>
        <v>-14264.67</v>
      </c>
      <c r="D52" s="885">
        <v>0</v>
      </c>
      <c r="E52" s="885">
        <v>0</v>
      </c>
      <c r="F52" s="885">
        <v>0</v>
      </c>
      <c r="G52" s="885">
        <f t="shared" si="4"/>
        <v>-14264.67</v>
      </c>
      <c r="H52" s="885">
        <v>0</v>
      </c>
      <c r="I52" s="885">
        <f t="shared" si="5"/>
        <v>-14264.67</v>
      </c>
      <c r="J52" s="1200" t="s">
        <v>871</v>
      </c>
    </row>
    <row r="53" spans="1:10">
      <c r="A53" s="845">
        <f t="shared" si="0"/>
        <v>35</v>
      </c>
      <c r="B53" s="857" t="str">
        <f>'4b - ADIT Beginning Ending'!B19</f>
        <v>310A AOFUDC</v>
      </c>
      <c r="C53" s="885">
        <f>'4b - ADIT Beginning Ending'!H19</f>
        <v>12152.264999999999</v>
      </c>
      <c r="D53" s="885">
        <v>0</v>
      </c>
      <c r="E53" s="885">
        <v>0</v>
      </c>
      <c r="F53" s="885">
        <v>0</v>
      </c>
      <c r="G53" s="885">
        <f t="shared" si="4"/>
        <v>12152.264999999999</v>
      </c>
      <c r="H53" s="885">
        <v>0</v>
      </c>
      <c r="I53" s="885">
        <f t="shared" si="5"/>
        <v>12152.264999999999</v>
      </c>
      <c r="J53" s="1206" t="s">
        <v>1004</v>
      </c>
    </row>
    <row r="54" spans="1:10">
      <c r="A54" s="845">
        <f t="shared" si="0"/>
        <v>36</v>
      </c>
      <c r="B54" s="857" t="str">
        <f>'4b - ADIT Beginning Ending'!B20</f>
        <v>960F-XS Exess ADFIT 282.1 - Protected</v>
      </c>
      <c r="C54" s="885">
        <f>'4b - ADIT Beginning Ending'!H20</f>
        <v>0</v>
      </c>
      <c r="D54" s="885">
        <v>0</v>
      </c>
      <c r="E54" s="885">
        <v>0</v>
      </c>
      <c r="F54" s="885">
        <v>0</v>
      </c>
      <c r="G54" s="885">
        <f t="shared" si="4"/>
        <v>0</v>
      </c>
      <c r="H54" s="885">
        <v>0</v>
      </c>
      <c r="I54" s="885">
        <f t="shared" si="5"/>
        <v>0</v>
      </c>
      <c r="J54" s="870" t="s">
        <v>872</v>
      </c>
    </row>
    <row r="55" spans="1:10">
      <c r="A55" s="845">
        <f t="shared" si="0"/>
        <v>37</v>
      </c>
      <c r="B55" s="857" t="str">
        <f>'4b - ADIT Beginning Ending'!B21</f>
        <v>EXCESS TX VS S/L BK DEPR</v>
      </c>
      <c r="C55" s="885">
        <f>'4b - ADIT Beginning Ending'!H21</f>
        <v>0</v>
      </c>
      <c r="D55" s="885">
        <v>0</v>
      </c>
      <c r="E55" s="885">
        <v>0</v>
      </c>
      <c r="F55" s="885">
        <v>0</v>
      </c>
      <c r="G55" s="885">
        <f t="shared" si="4"/>
        <v>0</v>
      </c>
      <c r="H55" s="885">
        <v>0</v>
      </c>
      <c r="I55" s="885">
        <f t="shared" si="5"/>
        <v>0</v>
      </c>
      <c r="J55" s="1205" t="s">
        <v>1000</v>
      </c>
    </row>
    <row r="56" spans="1:10">
      <c r="A56" s="845">
        <f t="shared" si="0"/>
        <v>38</v>
      </c>
      <c r="B56" s="857" t="str">
        <f>'4b - ADIT Beginning Ending'!B22</f>
        <v>960F-XS Exess ADFIT 282.4 - Protected</v>
      </c>
      <c r="C56" s="885">
        <f>'4b - ADIT Beginning Ending'!H22</f>
        <v>0</v>
      </c>
      <c r="D56" s="885">
        <v>0</v>
      </c>
      <c r="E56" s="885">
        <v>0</v>
      </c>
      <c r="F56" s="885">
        <v>0</v>
      </c>
      <c r="G56" s="885">
        <f t="shared" si="4"/>
        <v>0</v>
      </c>
      <c r="H56" s="885">
        <v>0</v>
      </c>
      <c r="I56" s="885">
        <f t="shared" si="5"/>
        <v>0</v>
      </c>
      <c r="J56" s="870" t="s">
        <v>872</v>
      </c>
    </row>
    <row r="57" spans="1:10">
      <c r="A57" s="845">
        <f t="shared" si="0"/>
        <v>39</v>
      </c>
      <c r="B57" s="857" t="str">
        <f>'4b - ADIT Beginning Ending'!B23</f>
        <v>960F-XS Exess ADFIT 282.4 - Unprotected</v>
      </c>
      <c r="C57" s="885">
        <f>'4b - ADIT Beginning Ending'!H23</f>
        <v>0</v>
      </c>
      <c r="D57" s="885">
        <v>0</v>
      </c>
      <c r="E57" s="885">
        <v>0</v>
      </c>
      <c r="F57" s="885">
        <v>0</v>
      </c>
      <c r="G57" s="1116">
        <f t="shared" si="4"/>
        <v>0</v>
      </c>
      <c r="H57" s="885">
        <v>0</v>
      </c>
      <c r="I57" s="1116">
        <f t="shared" si="5"/>
        <v>0</v>
      </c>
      <c r="J57" s="1207" t="s">
        <v>876</v>
      </c>
    </row>
    <row r="58" spans="1:10">
      <c r="A58" s="845">
        <f t="shared" si="0"/>
        <v>40</v>
      </c>
      <c r="B58" s="870" t="str">
        <f>'4b - ADIT Beginning Ending'!B24</f>
        <v>6002 - PT AFUDC Debt - NORM</v>
      </c>
      <c r="C58" s="1233">
        <f>'4b - ADIT Beginning Ending'!H24</f>
        <v>12152.264999999999</v>
      </c>
      <c r="D58" s="1233">
        <v>0</v>
      </c>
      <c r="E58" s="1233">
        <v>0</v>
      </c>
      <c r="F58" s="1233">
        <v>0</v>
      </c>
      <c r="G58" s="1234">
        <f t="shared" si="4"/>
        <v>12152.264999999999</v>
      </c>
      <c r="H58" s="1233">
        <v>0</v>
      </c>
      <c r="I58" s="1235">
        <f t="shared" si="5"/>
        <v>12152.264999999999</v>
      </c>
      <c r="J58" s="1206" t="s">
        <v>1004</v>
      </c>
    </row>
    <row r="59" spans="1:10">
      <c r="A59" s="845">
        <f t="shared" si="0"/>
        <v>41</v>
      </c>
      <c r="B59" s="870" t="str">
        <f>'4b - ADIT Beginning Ending'!B25</f>
        <v>6009 - PT COR - NORM</v>
      </c>
      <c r="C59" s="1233">
        <f>'4b - ADIT Beginning Ending'!H25</f>
        <v>-7.0350000000000001</v>
      </c>
      <c r="D59" s="1233">
        <v>0</v>
      </c>
      <c r="E59" s="1233">
        <v>0</v>
      </c>
      <c r="F59" s="1233">
        <v>0</v>
      </c>
      <c r="G59" s="1234">
        <f t="shared" si="4"/>
        <v>-7.0350000000000001</v>
      </c>
      <c r="H59" s="1233">
        <v>0</v>
      </c>
      <c r="I59" s="1235">
        <f t="shared" si="5"/>
        <v>-7.0350000000000001</v>
      </c>
      <c r="J59" s="1206" t="s">
        <v>1005</v>
      </c>
    </row>
    <row r="60" spans="1:10">
      <c r="A60" s="845">
        <f t="shared" si="0"/>
        <v>42</v>
      </c>
      <c r="B60" s="870" t="str">
        <f>'4b - ADIT Beginning Ending'!B26</f>
        <v>6018 - PT Method/Life - NORM</v>
      </c>
      <c r="C60" s="1233">
        <f>'4b - ADIT Beginning Ending'!H26</f>
        <v>23325.74</v>
      </c>
      <c r="D60" s="1233">
        <v>0</v>
      </c>
      <c r="E60" s="1233">
        <v>0</v>
      </c>
      <c r="F60" s="1233">
        <v>0</v>
      </c>
      <c r="G60" s="1234">
        <f t="shared" si="4"/>
        <v>23325.74</v>
      </c>
      <c r="H60" s="1233">
        <v>0</v>
      </c>
      <c r="I60" s="1235">
        <f t="shared" si="5"/>
        <v>23325.74</v>
      </c>
      <c r="J60" s="1206" t="s">
        <v>1000</v>
      </c>
    </row>
    <row r="61" spans="1:10">
      <c r="A61" s="845">
        <f t="shared" si="0"/>
        <v>43</v>
      </c>
      <c r="B61" s="870" t="str">
        <f>'4b - ADIT Beginning Ending'!B27</f>
        <v>6523 - 2020 712L 481(a) Software</v>
      </c>
      <c r="C61" s="1233">
        <f>'4b - ADIT Beginning Ending'!H27</f>
        <v>-14265.09</v>
      </c>
      <c r="D61" s="1233">
        <v>0</v>
      </c>
      <c r="E61" s="1233">
        <v>0</v>
      </c>
      <c r="F61" s="1233">
        <v>0</v>
      </c>
      <c r="G61" s="1234">
        <f>+C61</f>
        <v>-14265.09</v>
      </c>
      <c r="H61" s="1233">
        <v>0</v>
      </c>
      <c r="I61" s="1235">
        <f t="shared" si="5"/>
        <v>-14265.09</v>
      </c>
      <c r="J61" s="1206" t="s">
        <v>871</v>
      </c>
    </row>
    <row r="62" spans="1:10">
      <c r="A62" s="845">
        <f t="shared" si="0"/>
        <v>44</v>
      </c>
      <c r="B62" s="857"/>
      <c r="C62" s="885"/>
      <c r="D62" s="887"/>
      <c r="E62" s="887"/>
      <c r="F62" s="887"/>
      <c r="G62" s="887"/>
      <c r="H62" s="887"/>
      <c r="I62" s="858"/>
      <c r="J62" s="857"/>
    </row>
    <row r="63" spans="1:10">
      <c r="A63" s="845">
        <f t="shared" si="0"/>
        <v>45</v>
      </c>
      <c r="B63" s="857"/>
      <c r="C63" s="885"/>
      <c r="D63" s="887"/>
      <c r="E63" s="887"/>
      <c r="F63" s="887"/>
      <c r="G63" s="887"/>
      <c r="H63" s="887"/>
      <c r="I63" s="858"/>
      <c r="J63" s="857"/>
    </row>
    <row r="64" spans="1:10">
      <c r="A64" s="845">
        <f t="shared" si="0"/>
        <v>46</v>
      </c>
      <c r="B64" s="857"/>
      <c r="C64" s="885"/>
      <c r="D64" s="887"/>
      <c r="E64" s="887"/>
      <c r="F64" s="887"/>
      <c r="G64" s="887"/>
      <c r="H64" s="887"/>
      <c r="I64" s="858"/>
      <c r="J64" s="857"/>
    </row>
    <row r="65" spans="1:10">
      <c r="A65" s="845">
        <f t="shared" si="0"/>
        <v>47</v>
      </c>
      <c r="B65" s="857"/>
      <c r="C65" s="858"/>
      <c r="D65" s="887"/>
      <c r="E65" s="887"/>
      <c r="F65" s="887"/>
      <c r="G65" s="887"/>
      <c r="H65" s="887"/>
      <c r="I65" s="858"/>
      <c r="J65" s="857"/>
    </row>
    <row r="66" spans="1:10">
      <c r="A66" s="845">
        <f t="shared" si="0"/>
        <v>48</v>
      </c>
      <c r="B66" s="857"/>
      <c r="C66" s="858"/>
      <c r="D66" s="887"/>
      <c r="E66" s="887"/>
      <c r="F66" s="887"/>
      <c r="G66" s="887"/>
      <c r="H66" s="887"/>
      <c r="I66" s="858"/>
      <c r="J66" s="857"/>
    </row>
    <row r="67" spans="1:10">
      <c r="A67" s="845">
        <f t="shared" si="0"/>
        <v>49</v>
      </c>
      <c r="B67" s="857"/>
      <c r="C67" s="858"/>
      <c r="D67" s="887"/>
      <c r="E67" s="887"/>
      <c r="F67" s="887"/>
      <c r="G67" s="887"/>
      <c r="H67" s="887"/>
      <c r="I67" s="858"/>
      <c r="J67" s="857"/>
    </row>
    <row r="68" spans="1:10">
      <c r="A68" s="845">
        <f t="shared" si="0"/>
        <v>50</v>
      </c>
      <c r="B68" s="857"/>
      <c r="C68" s="858"/>
      <c r="D68" s="887"/>
      <c r="E68" s="887"/>
      <c r="F68" s="887"/>
      <c r="G68" s="887"/>
      <c r="H68" s="887"/>
      <c r="I68" s="858"/>
      <c r="J68" s="857"/>
    </row>
    <row r="69" spans="1:10">
      <c r="A69" s="845">
        <f t="shared" si="0"/>
        <v>51</v>
      </c>
      <c r="B69" s="857"/>
      <c r="C69" s="888"/>
      <c r="D69" s="889"/>
      <c r="E69" s="890"/>
      <c r="F69" s="890"/>
      <c r="G69" s="890"/>
      <c r="H69" s="890"/>
      <c r="I69" s="857"/>
      <c r="J69" s="857"/>
    </row>
    <row r="70" spans="1:10">
      <c r="A70" s="845">
        <f t="shared" si="0"/>
        <v>52</v>
      </c>
      <c r="B70" s="865" t="s">
        <v>873</v>
      </c>
      <c r="C70" s="866">
        <f>SUM(C49:C69)</f>
        <v>48010.78</v>
      </c>
      <c r="D70" s="866">
        <f>SUM(D49:D69)</f>
        <v>0</v>
      </c>
      <c r="E70" s="866">
        <f t="shared" ref="E70:H70" si="6">SUM(E49:E69)</f>
        <v>0</v>
      </c>
      <c r="F70" s="866">
        <f t="shared" si="6"/>
        <v>0</v>
      </c>
      <c r="G70" s="866">
        <f>SUM(G49:G69)</f>
        <v>48010.78</v>
      </c>
      <c r="H70" s="866">
        <f t="shared" si="6"/>
        <v>0</v>
      </c>
      <c r="I70" s="866"/>
      <c r="J70" s="867"/>
    </row>
    <row r="71" spans="1:10">
      <c r="A71" s="845">
        <f t="shared" si="0"/>
        <v>53</v>
      </c>
      <c r="B71" s="983" t="str">
        <f>B35</f>
        <v>Less FASB 109 Above if not separately removed</v>
      </c>
      <c r="C71" s="984">
        <f>SUM(D71:H71)</f>
        <v>0</v>
      </c>
      <c r="D71" s="984">
        <v>0</v>
      </c>
      <c r="E71" s="984">
        <v>0</v>
      </c>
      <c r="F71" s="984">
        <v>0</v>
      </c>
      <c r="G71" s="984">
        <f>G57+G56</f>
        <v>0</v>
      </c>
      <c r="H71" s="984">
        <v>0</v>
      </c>
      <c r="I71" s="1201"/>
      <c r="J71" s="870" t="s">
        <v>1009</v>
      </c>
    </row>
    <row r="72" spans="1:10">
      <c r="A72" s="845">
        <f t="shared" si="0"/>
        <v>54</v>
      </c>
      <c r="B72" s="865" t="str">
        <f>B36</f>
        <v>Less FASB 106 and Other Excludable Items Above if not separately removed</v>
      </c>
      <c r="C72" s="984">
        <f>SUM(D72:H72)</f>
        <v>24304.53</v>
      </c>
      <c r="D72" s="984">
        <v>0</v>
      </c>
      <c r="E72" s="984">
        <v>0</v>
      </c>
      <c r="F72" s="984">
        <v>0</v>
      </c>
      <c r="G72" s="984">
        <f>G53+G58</f>
        <v>24304.53</v>
      </c>
      <c r="H72" s="984">
        <v>0</v>
      </c>
      <c r="I72" s="869"/>
      <c r="J72" s="1205" t="s">
        <v>1003</v>
      </c>
    </row>
    <row r="73" spans="1:10">
      <c r="A73" s="845">
        <f t="shared" si="0"/>
        <v>55</v>
      </c>
      <c r="B73" s="865" t="str">
        <f>B37</f>
        <v>Less Proration Adjustment (from Worksheet 4c)</v>
      </c>
      <c r="C73" s="866">
        <f>'4c - ADIT Proration'!J33</f>
        <v>0</v>
      </c>
      <c r="D73" s="984">
        <v>0</v>
      </c>
      <c r="E73" s="984">
        <v>0</v>
      </c>
      <c r="F73" s="984">
        <v>0</v>
      </c>
      <c r="G73" s="984">
        <f>C73</f>
        <v>0</v>
      </c>
      <c r="H73" s="984">
        <v>0</v>
      </c>
      <c r="I73" s="869"/>
      <c r="J73" s="867"/>
    </row>
    <row r="74" spans="1:10">
      <c r="A74" s="845">
        <f t="shared" si="0"/>
        <v>56</v>
      </c>
      <c r="B74" s="865" t="str">
        <f>"Total Company  (ln "&amp;A70&amp;" - ln "&amp;A71&amp;" - ln "&amp;A72&amp;" + ln "&amp;A73&amp;")"</f>
        <v>Total Company  (ln 52 - ln 53 - ln 54 + ln 55)</v>
      </c>
      <c r="C74" s="866">
        <f>+C70-C71-C72-C73</f>
        <v>23706.25</v>
      </c>
      <c r="D74" s="866">
        <f t="shared" ref="D74:H74" si="7">+D70-D71-D72-D73</f>
        <v>0</v>
      </c>
      <c r="E74" s="866">
        <f t="shared" si="7"/>
        <v>0</v>
      </c>
      <c r="F74" s="866">
        <f t="shared" si="7"/>
        <v>0</v>
      </c>
      <c r="G74" s="866">
        <f>+G70-G71-G72-G73</f>
        <v>23706.25</v>
      </c>
      <c r="H74" s="866">
        <f t="shared" si="7"/>
        <v>0</v>
      </c>
      <c r="I74" s="866" t="s">
        <v>2</v>
      </c>
      <c r="J74" s="867"/>
    </row>
    <row r="75" spans="1:10" ht="13.5" thickBot="1">
      <c r="A75" s="845">
        <f t="shared" si="0"/>
        <v>57</v>
      </c>
      <c r="B75" s="865" t="str">
        <f>B39</f>
        <v>Transmission Allocator [ GP or W/S ]</v>
      </c>
      <c r="C75" s="872"/>
      <c r="D75" s="873">
        <v>0</v>
      </c>
      <c r="E75" s="873">
        <v>0</v>
      </c>
      <c r="F75" s="873">
        <v>1</v>
      </c>
      <c r="G75" s="873">
        <f>'Attachment H-29A'!$G$83</f>
        <v>1</v>
      </c>
      <c r="H75" s="873">
        <f>'Attachment H-29A'!$I$197</f>
        <v>1</v>
      </c>
      <c r="I75" s="874"/>
      <c r="J75" s="867"/>
    </row>
    <row r="76" spans="1:10" ht="13.5" thickBot="1">
      <c r="A76" s="845">
        <f t="shared" ref="A76" si="8">A75+1</f>
        <v>58</v>
      </c>
      <c r="B76" s="865" t="str">
        <f>"Total Transmission  (ln "&amp;A74&amp;" * ln "&amp;A75&amp;")"</f>
        <v>Total Transmission  (ln 56 * ln 57)</v>
      </c>
      <c r="C76" s="875"/>
      <c r="D76" s="866">
        <f>IF(D74&lt;&gt;0,D74*D75,0)</f>
        <v>0</v>
      </c>
      <c r="E76" s="866">
        <f>IF(E74&lt;&gt;0,E74*E75,0)</f>
        <v>0</v>
      </c>
      <c r="F76" s="866">
        <f>IF(F74&lt;&gt;0,F74*F75,0)</f>
        <v>0</v>
      </c>
      <c r="G76" s="866">
        <f>IF(G74&lt;&gt;0,G74*G75,0)</f>
        <v>23706.25</v>
      </c>
      <c r="H76" s="876">
        <f>IF(H74&lt;&gt;0,H74*H75,0)</f>
        <v>0</v>
      </c>
      <c r="I76" s="877">
        <f>SUM(F76:H76)</f>
        <v>23706.25</v>
      </c>
      <c r="J76" s="865"/>
    </row>
    <row r="77" spans="1:10" s="847" customFormat="1" ht="13.75" customHeight="1">
      <c r="A77" s="845"/>
      <c r="B77" s="854"/>
      <c r="C77" s="882"/>
      <c r="D77" s="883"/>
      <c r="E77" s="883"/>
      <c r="F77" s="883"/>
      <c r="G77" s="883"/>
      <c r="H77" s="883"/>
      <c r="I77" s="880"/>
    </row>
    <row r="78" spans="1:10" s="847" customFormat="1" ht="13.75" customHeight="1">
      <c r="A78" s="845"/>
      <c r="B78" s="879"/>
      <c r="C78" s="891"/>
      <c r="D78" s="883"/>
      <c r="E78" s="883"/>
      <c r="F78" s="883"/>
      <c r="G78" s="883"/>
      <c r="H78" s="883"/>
      <c r="I78" s="880"/>
    </row>
    <row r="79" spans="1:10" ht="20">
      <c r="A79" s="892"/>
      <c r="B79" s="893"/>
      <c r="C79" s="882"/>
      <c r="D79" s="883"/>
      <c r="E79" s="883"/>
      <c r="F79" s="883"/>
      <c r="G79" s="883"/>
      <c r="H79" s="883"/>
      <c r="I79" s="880"/>
      <c r="J79" s="844"/>
    </row>
    <row r="80" spans="1:10" ht="17.5" customHeight="1">
      <c r="B80" s="894"/>
      <c r="C80" s="882"/>
      <c r="F80" s="883"/>
      <c r="G80" s="883"/>
      <c r="H80" s="883"/>
      <c r="I80" s="880"/>
      <c r="J80" s="844" t="s">
        <v>147</v>
      </c>
    </row>
    <row r="81" spans="1:10" ht="15.5">
      <c r="A81" s="845"/>
      <c r="B81" s="846" t="s">
        <v>874</v>
      </c>
      <c r="C81" s="846"/>
      <c r="D81" s="895"/>
      <c r="E81" s="896"/>
      <c r="F81" s="897"/>
      <c r="G81" s="846"/>
      <c r="H81" s="846"/>
      <c r="I81" s="846"/>
    </row>
    <row r="82" spans="1:10" ht="15.5">
      <c r="A82" s="845"/>
      <c r="B82" s="846"/>
      <c r="C82" s="846"/>
      <c r="D82" s="895"/>
      <c r="E82" s="896"/>
      <c r="F82" s="897"/>
      <c r="G82" s="846"/>
      <c r="H82" s="846"/>
      <c r="I82" s="846"/>
      <c r="J82" s="844"/>
    </row>
    <row r="83" spans="1:10">
      <c r="A83" s="845"/>
      <c r="B83" s="850" t="str">
        <f t="shared" ref="B83:J83" si="9">B7</f>
        <v>(A)</v>
      </c>
      <c r="C83" s="850" t="str">
        <f t="shared" si="9"/>
        <v>(B)</v>
      </c>
      <c r="D83" s="850" t="str">
        <f t="shared" si="9"/>
        <v>(C)</v>
      </c>
      <c r="E83" s="850" t="str">
        <f t="shared" si="9"/>
        <v>(D)</v>
      </c>
      <c r="F83" s="850" t="str">
        <f t="shared" si="9"/>
        <v>(E)</v>
      </c>
      <c r="G83" s="850" t="str">
        <f t="shared" si="9"/>
        <v>(F)</v>
      </c>
      <c r="H83" s="850" t="str">
        <f t="shared" si="9"/>
        <v>(G)</v>
      </c>
      <c r="I83" s="850" t="str">
        <f t="shared" si="9"/>
        <v>(H)</v>
      </c>
      <c r="J83" s="850" t="str">
        <f t="shared" si="9"/>
        <v>(I)</v>
      </c>
    </row>
    <row r="84" spans="1:10">
      <c r="A84" s="845"/>
      <c r="B84" s="850"/>
      <c r="C84" s="851" t="s">
        <v>853</v>
      </c>
      <c r="D84" s="850" t="str">
        <f>D8</f>
        <v>100%</v>
      </c>
      <c r="E84" s="853">
        <v>1</v>
      </c>
      <c r="F84" s="850" t="str">
        <f>F8</f>
        <v>100%</v>
      </c>
      <c r="G84" s="850"/>
      <c r="H84" s="850"/>
      <c r="I84" s="850" t="str">
        <f>I8</f>
        <v>Total Included</v>
      </c>
      <c r="J84" s="847"/>
    </row>
    <row r="85" spans="1:10">
      <c r="A85" s="845" t="s">
        <v>8</v>
      </c>
      <c r="B85" s="850"/>
      <c r="C85" s="850" t="s">
        <v>856</v>
      </c>
      <c r="D85" s="850" t="str">
        <f>D9</f>
        <v>Non-Transmission</v>
      </c>
      <c r="E85" s="850" t="s">
        <v>858</v>
      </c>
      <c r="F85" s="850" t="str">
        <f>F9</f>
        <v>Transmission</v>
      </c>
      <c r="G85" s="850" t="str">
        <f>G9</f>
        <v xml:space="preserve">Plant </v>
      </c>
      <c r="H85" s="850" t="str">
        <f>H9</f>
        <v>Labor</v>
      </c>
      <c r="I85" s="850" t="str">
        <f>I9</f>
        <v>in Ratebase</v>
      </c>
      <c r="J85" s="847"/>
    </row>
    <row r="86" spans="1:10">
      <c r="A86" s="845" t="s">
        <v>10</v>
      </c>
      <c r="B86" s="856" t="str">
        <f>B10</f>
        <v>Identification</v>
      </c>
      <c r="C86" s="855" t="s">
        <v>946</v>
      </c>
      <c r="D86" s="856" t="str">
        <f>D10</f>
        <v>Related</v>
      </c>
      <c r="E86" s="856" t="s">
        <v>861</v>
      </c>
      <c r="F86" s="856" t="str">
        <f>F10</f>
        <v>Related</v>
      </c>
      <c r="G86" s="856" t="str">
        <f>G10</f>
        <v>Related</v>
      </c>
      <c r="H86" s="856" t="str">
        <f>H10</f>
        <v>Related</v>
      </c>
      <c r="I86" s="856" t="str">
        <f>I10</f>
        <v>(E)+(F)+(G)</v>
      </c>
      <c r="J86" s="856" t="str">
        <f>J10</f>
        <v>Description / Justification</v>
      </c>
    </row>
    <row r="87" spans="1:10">
      <c r="A87" s="845">
        <f>A76+1</f>
        <v>59</v>
      </c>
      <c r="B87" s="898" t="str">
        <f>'4b - ADIT Beginning Ending'!B36</f>
        <v>REG ASSET-PRE CONSTRUCTION COSTS</v>
      </c>
      <c r="C87" s="858">
        <f>'4b - ADIT Beginning Ending'!H36</f>
        <v>0.11</v>
      </c>
      <c r="D87" s="1233">
        <v>0</v>
      </c>
      <c r="E87" s="1233">
        <v>0</v>
      </c>
      <c r="F87" s="858">
        <f>C87</f>
        <v>0.11</v>
      </c>
      <c r="G87" s="1233">
        <v>0</v>
      </c>
      <c r="H87" s="1233">
        <v>0</v>
      </c>
      <c r="I87" s="885">
        <f>H87+G87+F87</f>
        <v>0.11</v>
      </c>
      <c r="J87" s="1209" t="s">
        <v>1010</v>
      </c>
    </row>
    <row r="88" spans="1:10">
      <c r="A88" s="845">
        <f t="shared" ref="A88:A121" si="10">A87+1</f>
        <v>60</v>
      </c>
      <c r="B88" s="898" t="str">
        <f>'4b - ADIT Beginning Ending'!B37</f>
        <v>911Q-DSIT  DSIT Entry-Normalized</v>
      </c>
      <c r="C88" s="858">
        <f>'4b - ADIT Beginning Ending'!H37</f>
        <v>0</v>
      </c>
      <c r="D88" s="1233">
        <v>0</v>
      </c>
      <c r="E88" s="1233">
        <v>0</v>
      </c>
      <c r="F88" s="858">
        <f t="shared" ref="F88:F93" si="11">C88</f>
        <v>0</v>
      </c>
      <c r="G88" s="1233">
        <v>0</v>
      </c>
      <c r="H88" s="1233">
        <v>0</v>
      </c>
      <c r="I88" s="885">
        <f t="shared" ref="I88:I113" si="12">H88+G88+F88</f>
        <v>0</v>
      </c>
      <c r="J88" s="1206" t="s">
        <v>1011</v>
      </c>
    </row>
    <row r="89" spans="1:10">
      <c r="A89" s="845">
        <f t="shared" si="10"/>
        <v>61</v>
      </c>
      <c r="B89" s="898" t="str">
        <f>'4b - ADIT Beginning Ending'!B38</f>
        <v>911Q-XS EXCESS DSIT - UNPROTECTED PA</v>
      </c>
      <c r="C89" s="858">
        <f>'4b - ADIT Beginning Ending'!H38</f>
        <v>0</v>
      </c>
      <c r="D89" s="1233">
        <v>0</v>
      </c>
      <c r="E89" s="1233">
        <v>0</v>
      </c>
      <c r="F89" s="858">
        <f t="shared" si="11"/>
        <v>0</v>
      </c>
      <c r="G89" s="1233">
        <v>0</v>
      </c>
      <c r="H89" s="1233">
        <v>0</v>
      </c>
      <c r="I89" s="885">
        <f t="shared" si="12"/>
        <v>0</v>
      </c>
      <c r="J89" s="900" t="s">
        <v>1012</v>
      </c>
    </row>
    <row r="90" spans="1:10">
      <c r="A90" s="845">
        <f t="shared" si="10"/>
        <v>62</v>
      </c>
      <c r="B90" s="898" t="str">
        <f>'4b - ADIT Beginning Ending'!B39</f>
        <v>960F-XS Excess ADFIT 283.1 - Unprotected</v>
      </c>
      <c r="C90" s="858">
        <f>'4b - ADIT Beginning Ending'!H39</f>
        <v>0</v>
      </c>
      <c r="D90" s="1233">
        <v>0</v>
      </c>
      <c r="E90" s="1233">
        <v>0</v>
      </c>
      <c r="F90" s="858">
        <f t="shared" si="11"/>
        <v>0</v>
      </c>
      <c r="G90" s="1233">
        <v>0</v>
      </c>
      <c r="H90" s="1233">
        <v>0</v>
      </c>
      <c r="I90" s="885">
        <f t="shared" si="12"/>
        <v>0</v>
      </c>
      <c r="J90" s="900" t="s">
        <v>876</v>
      </c>
    </row>
    <row r="91" spans="1:10">
      <c r="A91" s="845">
        <f t="shared" si="10"/>
        <v>63</v>
      </c>
      <c r="B91" s="898" t="str">
        <f>'4b - ADIT Beginning Ending'!B40</f>
        <v>960F-XS Excess ADFIT 283.4 - Unprotected</v>
      </c>
      <c r="C91" s="858">
        <f>'4b - ADIT Beginning Ending'!H40</f>
        <v>0</v>
      </c>
      <c r="D91" s="1233">
        <v>0</v>
      </c>
      <c r="E91" s="1233">
        <v>0</v>
      </c>
      <c r="F91" s="858">
        <f t="shared" si="11"/>
        <v>0</v>
      </c>
      <c r="G91" s="1233">
        <v>0</v>
      </c>
      <c r="H91" s="1233">
        <v>0</v>
      </c>
      <c r="I91" s="885">
        <f t="shared" si="12"/>
        <v>0</v>
      </c>
      <c r="J91" s="900" t="s">
        <v>876</v>
      </c>
    </row>
    <row r="92" spans="1:10">
      <c r="A92" s="845">
        <f t="shared" si="10"/>
        <v>64</v>
      </c>
      <c r="B92" s="898" t="str">
        <f>'4b - ADIT Beginning Ending'!B41</f>
        <v>911Q-XS EXCESS DSIT 283.4 - UNPROTECTED PA</v>
      </c>
      <c r="C92" s="858">
        <f>'4b - ADIT Beginning Ending'!H41</f>
        <v>0</v>
      </c>
      <c r="D92" s="1233">
        <v>0</v>
      </c>
      <c r="E92" s="1233">
        <v>0</v>
      </c>
      <c r="F92" s="858">
        <f t="shared" si="11"/>
        <v>0</v>
      </c>
      <c r="G92" s="1233">
        <v>0</v>
      </c>
      <c r="H92" s="1233">
        <v>0</v>
      </c>
      <c r="I92" s="885">
        <f t="shared" si="12"/>
        <v>0</v>
      </c>
      <c r="J92" s="900" t="s">
        <v>1012</v>
      </c>
    </row>
    <row r="93" spans="1:10">
      <c r="A93" s="845">
        <f t="shared" si="10"/>
        <v>65</v>
      </c>
      <c r="B93" s="898" t="str">
        <f>'4b - ADIT Beginning Ending'!B42</f>
        <v>911Q-XS EXCESS DSIT 283.1 - UNPROTECTED PA</v>
      </c>
      <c r="C93" s="858">
        <f>'4b - ADIT Beginning Ending'!H42</f>
        <v>0</v>
      </c>
      <c r="D93" s="1233">
        <v>0</v>
      </c>
      <c r="E93" s="1233">
        <v>0</v>
      </c>
      <c r="F93" s="858">
        <f t="shared" si="11"/>
        <v>0</v>
      </c>
      <c r="G93" s="1233">
        <v>0</v>
      </c>
      <c r="H93" s="1233">
        <v>0</v>
      </c>
      <c r="I93" s="885">
        <f t="shared" si="12"/>
        <v>0</v>
      </c>
      <c r="J93" s="900" t="s">
        <v>1012</v>
      </c>
    </row>
    <row r="94" spans="1:10">
      <c r="A94" s="845">
        <f t="shared" si="10"/>
        <v>66</v>
      </c>
      <c r="B94" s="898" t="str">
        <f>'4b - ADIT Beginning Ending'!B43</f>
        <v>014C-PA - NOL-State C/F-Deferred Tax Asset</v>
      </c>
      <c r="C94" s="858">
        <f>'4b - ADIT Beginning Ending'!H43</f>
        <v>23800.87</v>
      </c>
      <c r="D94" s="1233">
        <v>0</v>
      </c>
      <c r="E94" s="1233">
        <v>0</v>
      </c>
      <c r="F94" s="858">
        <f>C94</f>
        <v>23800.87</v>
      </c>
      <c r="G94" s="1233">
        <v>0</v>
      </c>
      <c r="H94" s="1233">
        <v>0</v>
      </c>
      <c r="I94" s="885">
        <f t="shared" si="12"/>
        <v>23800.87</v>
      </c>
      <c r="J94" s="900" t="s">
        <v>1008</v>
      </c>
    </row>
    <row r="95" spans="1:10">
      <c r="A95" s="845">
        <f t="shared" si="10"/>
        <v>67</v>
      </c>
      <c r="B95" s="898" t="str">
        <f>'4b - ADIT Beginning Ending'!B44</f>
        <v>230A ACRS Benefit Normalized</v>
      </c>
      <c r="C95" s="858">
        <f>'4b - ADIT Beginning Ending'!H44</f>
        <v>-249.14</v>
      </c>
      <c r="D95" s="1233">
        <v>0</v>
      </c>
      <c r="E95" s="1233">
        <v>0</v>
      </c>
      <c r="F95" s="858">
        <f t="shared" ref="F95:F103" si="13">C95</f>
        <v>-249.14</v>
      </c>
      <c r="G95" s="1233">
        <v>0</v>
      </c>
      <c r="H95" s="1233">
        <v>0</v>
      </c>
      <c r="I95" s="885">
        <f t="shared" si="12"/>
        <v>-249.14</v>
      </c>
      <c r="J95" s="900" t="s">
        <v>1000</v>
      </c>
    </row>
    <row r="96" spans="1:10" ht="12.75" customHeight="1">
      <c r="A96" s="845">
        <f t="shared" si="10"/>
        <v>68</v>
      </c>
      <c r="B96" s="898" t="str">
        <f>'4b - ADIT Beginning Ending'!B45</f>
        <v>675A REG ASSET-FERC Formula Rates Under Recvr</v>
      </c>
      <c r="C96" s="858">
        <f>'4b - ADIT Beginning Ending'!H45</f>
        <v>248846.6</v>
      </c>
      <c r="D96" s="1233">
        <v>0</v>
      </c>
      <c r="E96" s="1233">
        <v>0</v>
      </c>
      <c r="F96" s="858">
        <f t="shared" si="13"/>
        <v>248846.6</v>
      </c>
      <c r="G96" s="1233">
        <v>0</v>
      </c>
      <c r="H96" s="1233">
        <v>0</v>
      </c>
      <c r="I96" s="885">
        <f t="shared" si="12"/>
        <v>248846.6</v>
      </c>
      <c r="J96" s="900" t="s">
        <v>1010</v>
      </c>
    </row>
    <row r="97" spans="1:10">
      <c r="A97" s="845">
        <f t="shared" si="10"/>
        <v>69</v>
      </c>
      <c r="B97" s="898" t="str">
        <f>'4b - ADIT Beginning Ending'!B46</f>
        <v>712K  Capitalized Software Cost</v>
      </c>
      <c r="C97" s="858">
        <f>'4b - ADIT Beginning Ending'!H46</f>
        <v>7117.3</v>
      </c>
      <c r="D97" s="1233">
        <v>0</v>
      </c>
      <c r="E97" s="1233">
        <v>0</v>
      </c>
      <c r="F97" s="858">
        <f t="shared" si="13"/>
        <v>7117.3</v>
      </c>
      <c r="G97" s="1233">
        <v>0</v>
      </c>
      <c r="H97" s="1233">
        <v>0</v>
      </c>
      <c r="I97" s="885">
        <f t="shared" si="12"/>
        <v>7117.3</v>
      </c>
      <c r="J97" s="900" t="s">
        <v>871</v>
      </c>
    </row>
    <row r="98" spans="1:10" ht="12.75" customHeight="1">
      <c r="A98" s="845">
        <f t="shared" si="10"/>
        <v>70</v>
      </c>
      <c r="B98" s="898" t="str">
        <f>'4b - ADIT Beginning Ending'!B47</f>
        <v>310A AOFUDC</v>
      </c>
      <c r="C98" s="858">
        <f>'4b - ADIT Beginning Ending'!H47</f>
        <v>2887.61</v>
      </c>
      <c r="D98" s="1233">
        <v>0</v>
      </c>
      <c r="E98" s="1233">
        <v>0</v>
      </c>
      <c r="F98" s="858">
        <f t="shared" si="13"/>
        <v>2887.61</v>
      </c>
      <c r="G98" s="1233">
        <v>0</v>
      </c>
      <c r="H98" s="1233">
        <v>0</v>
      </c>
      <c r="I98" s="885">
        <f t="shared" si="12"/>
        <v>2887.61</v>
      </c>
      <c r="J98" s="900" t="s">
        <v>1004</v>
      </c>
    </row>
    <row r="99" spans="1:10" ht="12.75" customHeight="1">
      <c r="A99" s="845">
        <f t="shared" si="10"/>
        <v>71</v>
      </c>
      <c r="B99" s="898" t="str">
        <f>'4b - ADIT Beginning Ending'!B48</f>
        <v>712L CAPITALIZED SOFTWARE COST-BOOKS</v>
      </c>
      <c r="C99" s="858">
        <f>'4b - ADIT Beginning Ending'!H48</f>
        <v>-3389.5549999999998</v>
      </c>
      <c r="D99" s="1233">
        <v>0</v>
      </c>
      <c r="E99" s="1233">
        <v>0</v>
      </c>
      <c r="F99" s="858">
        <f t="shared" si="13"/>
        <v>-3389.5549999999998</v>
      </c>
      <c r="G99" s="1233">
        <v>0</v>
      </c>
      <c r="H99" s="1233">
        <v>0</v>
      </c>
      <c r="I99" s="885">
        <f t="shared" si="12"/>
        <v>-3389.5549999999998</v>
      </c>
      <c r="J99" s="900" t="s">
        <v>871</v>
      </c>
    </row>
    <row r="100" spans="1:10" ht="12.75" customHeight="1">
      <c r="A100" s="845">
        <f t="shared" si="10"/>
        <v>72</v>
      </c>
      <c r="B100" s="898" t="str">
        <f>'4b - ADIT Beginning Ending'!B49</f>
        <v>910K REMOVAL CST</v>
      </c>
      <c r="C100" s="858">
        <f>'4b - ADIT Beginning Ending'!H49</f>
        <v>-1.67</v>
      </c>
      <c r="D100" s="1233">
        <v>0</v>
      </c>
      <c r="E100" s="1233">
        <v>0</v>
      </c>
      <c r="F100" s="858">
        <f t="shared" si="13"/>
        <v>-1.67</v>
      </c>
      <c r="G100" s="1233">
        <v>0</v>
      </c>
      <c r="H100" s="1233">
        <v>0</v>
      </c>
      <c r="I100" s="885">
        <f t="shared" si="12"/>
        <v>-1.67</v>
      </c>
      <c r="J100" s="900" t="s">
        <v>1005</v>
      </c>
    </row>
    <row r="101" spans="1:10" ht="12.75" customHeight="1">
      <c r="A101" s="845">
        <f t="shared" si="10"/>
        <v>73</v>
      </c>
      <c r="B101" s="898" t="str">
        <f>'4b - ADIT Beginning Ending'!B50</f>
        <v>520A  Provision for Possible Revenue Refunds</v>
      </c>
      <c r="C101" s="858">
        <f>'4b - ADIT Beginning Ending'!H50</f>
        <v>-43271.445</v>
      </c>
      <c r="D101" s="1233">
        <v>0</v>
      </c>
      <c r="E101" s="1233">
        <v>0</v>
      </c>
      <c r="F101" s="858">
        <f t="shared" si="13"/>
        <v>-43271.445</v>
      </c>
      <c r="G101" s="1233">
        <v>0</v>
      </c>
      <c r="H101" s="1233">
        <v>0</v>
      </c>
      <c r="I101" s="885">
        <f t="shared" si="12"/>
        <v>-43271.445</v>
      </c>
      <c r="J101" s="900" t="s">
        <v>1001</v>
      </c>
    </row>
    <row r="102" spans="1:10" ht="12.75" customHeight="1">
      <c r="A102" s="845">
        <f t="shared" si="10"/>
        <v>74</v>
      </c>
      <c r="B102" s="898" t="str">
        <f>'4b - ADIT Beginning Ending'!B51</f>
        <v>601E- INSURANCE PREMIUMS ACCRUED</v>
      </c>
      <c r="C102" s="858">
        <f>'4b - ADIT Beginning Ending'!H51</f>
        <v>527.66</v>
      </c>
      <c r="D102" s="1233">
        <v>0</v>
      </c>
      <c r="E102" s="1233">
        <v>0</v>
      </c>
      <c r="F102" s="858">
        <f t="shared" si="13"/>
        <v>527.66</v>
      </c>
      <c r="G102" s="1233">
        <v>0</v>
      </c>
      <c r="H102" s="1233">
        <v>0</v>
      </c>
      <c r="I102" s="885">
        <f t="shared" si="12"/>
        <v>527.66</v>
      </c>
      <c r="J102" s="900" t="s">
        <v>879</v>
      </c>
    </row>
    <row r="103" spans="1:10" ht="12.75" customHeight="1">
      <c r="A103" s="845">
        <f t="shared" si="10"/>
        <v>75</v>
      </c>
      <c r="B103" s="898" t="str">
        <f>'4b - ADIT Beginning Ending'!B52</f>
        <v>612Y  Accrued Companywide Incentive Plan</v>
      </c>
      <c r="C103" s="858">
        <f>'4b - ADIT Beginning Ending'!H52</f>
        <v>-3.5000000000000003E-2</v>
      </c>
      <c r="D103" s="1233">
        <v>0</v>
      </c>
      <c r="E103" s="1233">
        <v>0</v>
      </c>
      <c r="F103" s="858">
        <f t="shared" si="13"/>
        <v>-3.5000000000000003E-2</v>
      </c>
      <c r="G103" s="1233">
        <v>0</v>
      </c>
      <c r="H103" s="1233">
        <v>0</v>
      </c>
      <c r="I103" s="885">
        <f t="shared" si="12"/>
        <v>-3.5000000000000003E-2</v>
      </c>
      <c r="J103" s="900" t="s">
        <v>879</v>
      </c>
    </row>
    <row r="104" spans="1:10" ht="12.75" customHeight="1">
      <c r="A104" s="845">
        <f t="shared" si="10"/>
        <v>76</v>
      </c>
      <c r="B104" s="1236" t="str">
        <f>'4b - ADIT Beginning Ending'!B53</f>
        <v>4032 - NOL-STATE C/F-DEF TAX ASSET-L/T - PA</v>
      </c>
      <c r="C104" s="1235">
        <f>'4b - ADIT Beginning Ending'!H53</f>
        <v>12671.25</v>
      </c>
      <c r="D104" s="1233">
        <v>0</v>
      </c>
      <c r="E104" s="1233">
        <v>0</v>
      </c>
      <c r="F104" s="1235">
        <f>+C104</f>
        <v>12671.25</v>
      </c>
      <c r="G104" s="1233">
        <v>0</v>
      </c>
      <c r="H104" s="1233">
        <v>0</v>
      </c>
      <c r="I104" s="1233">
        <f t="shared" si="12"/>
        <v>12671.25</v>
      </c>
      <c r="J104" s="900" t="s">
        <v>1008</v>
      </c>
    </row>
    <row r="105" spans="1:10" ht="12.75" customHeight="1">
      <c r="A105" s="845">
        <f t="shared" si="10"/>
        <v>77</v>
      </c>
      <c r="B105" s="1236" t="str">
        <f>'4b - ADIT Beginning Ending'!B54</f>
        <v>7337 - REG ASSET-PRE CONSTRUCTION COSTS</v>
      </c>
      <c r="C105" s="1235">
        <f>'4b - ADIT Beginning Ending'!H54</f>
        <v>0.13500000000000001</v>
      </c>
      <c r="D105" s="1233">
        <v>0</v>
      </c>
      <c r="E105" s="1233">
        <v>0</v>
      </c>
      <c r="F105" s="1235">
        <f t="shared" ref="F105:F113" si="14">+C105</f>
        <v>0.13500000000000001</v>
      </c>
      <c r="G105" s="1233">
        <v>0</v>
      </c>
      <c r="H105" s="1233">
        <v>0</v>
      </c>
      <c r="I105" s="1235">
        <f t="shared" si="12"/>
        <v>0.13500000000000001</v>
      </c>
      <c r="J105" s="900" t="s">
        <v>1010</v>
      </c>
    </row>
    <row r="106" spans="1:10" ht="12.75" customHeight="1">
      <c r="A106" s="845">
        <f t="shared" si="10"/>
        <v>78</v>
      </c>
      <c r="B106" s="1236" t="str">
        <f>'4b - ADIT Beginning Ending'!B55</f>
        <v>7423 - REG ASSET-FERC Formula Rates Under Recvr</v>
      </c>
      <c r="C106" s="1235">
        <f>'4b - ADIT Beginning Ending'!H55</f>
        <v>466951.36</v>
      </c>
      <c r="D106" s="1233">
        <v>0</v>
      </c>
      <c r="E106" s="1233">
        <v>0</v>
      </c>
      <c r="F106" s="1235">
        <f t="shared" si="14"/>
        <v>466951.36</v>
      </c>
      <c r="G106" s="1233">
        <v>0</v>
      </c>
      <c r="H106" s="1233">
        <v>0</v>
      </c>
      <c r="I106" s="1235">
        <f t="shared" si="12"/>
        <v>466951.36</v>
      </c>
      <c r="J106" s="900" t="s">
        <v>1010</v>
      </c>
    </row>
    <row r="107" spans="1:10" ht="12.75" customHeight="1">
      <c r="A107" s="845">
        <f t="shared" si="10"/>
        <v>79</v>
      </c>
      <c r="B107" s="1236" t="str">
        <f>'4b - ADIT Beginning Ending'!B56</f>
        <v>6002 - PT AFUDC Debt - NORM</v>
      </c>
      <c r="C107" s="1235">
        <f>'4b - ADIT Beginning Ending'!H56</f>
        <v>2887.61</v>
      </c>
      <c r="D107" s="1233">
        <v>0</v>
      </c>
      <c r="E107" s="1233">
        <v>0</v>
      </c>
      <c r="F107" s="1235">
        <f t="shared" si="14"/>
        <v>2887.61</v>
      </c>
      <c r="G107" s="1233">
        <v>0</v>
      </c>
      <c r="H107" s="1233">
        <v>0</v>
      </c>
      <c r="I107" s="1235">
        <f>H107+G107+F107</f>
        <v>2887.61</v>
      </c>
      <c r="J107" s="900" t="s">
        <v>1004</v>
      </c>
    </row>
    <row r="108" spans="1:10">
      <c r="A108" s="845">
        <f t="shared" si="10"/>
        <v>80</v>
      </c>
      <c r="B108" s="1236" t="str">
        <f>'4b - ADIT Beginning Ending'!B57</f>
        <v>6009 - PT COR - NORM</v>
      </c>
      <c r="C108" s="1235">
        <f>'4b - ADIT Beginning Ending'!H57</f>
        <v>-1.67</v>
      </c>
      <c r="D108" s="1233">
        <v>0</v>
      </c>
      <c r="E108" s="1233">
        <v>0</v>
      </c>
      <c r="F108" s="1235">
        <f t="shared" si="14"/>
        <v>-1.67</v>
      </c>
      <c r="G108" s="1233">
        <v>0</v>
      </c>
      <c r="H108" s="1233">
        <v>0</v>
      </c>
      <c r="I108" s="1235">
        <f>H108+G108+F108</f>
        <v>-1.67</v>
      </c>
      <c r="J108" s="900" t="s">
        <v>1005</v>
      </c>
    </row>
    <row r="109" spans="1:10">
      <c r="A109" s="845">
        <f t="shared" si="10"/>
        <v>81</v>
      </c>
      <c r="B109" s="1236" t="str">
        <f>'4b - ADIT Beginning Ending'!B58</f>
        <v>6018 - PT Method/Life - NORM</v>
      </c>
      <c r="C109" s="1235">
        <f>'4b - ADIT Beginning Ending'!H58</f>
        <v>5542.64</v>
      </c>
      <c r="D109" s="1233">
        <v>0</v>
      </c>
      <c r="E109" s="1233">
        <v>0</v>
      </c>
      <c r="F109" s="1235">
        <f t="shared" si="14"/>
        <v>5542.64</v>
      </c>
      <c r="G109" s="1233">
        <v>0</v>
      </c>
      <c r="H109" s="1233">
        <v>0</v>
      </c>
      <c r="I109" s="1235">
        <f t="shared" si="12"/>
        <v>5542.64</v>
      </c>
      <c r="J109" s="900" t="s">
        <v>1000</v>
      </c>
    </row>
    <row r="110" spans="1:10">
      <c r="A110" s="845">
        <f t="shared" si="10"/>
        <v>82</v>
      </c>
      <c r="B110" s="1236" t="str">
        <f>'4b - ADIT Beginning Ending'!B59</f>
        <v>6523 - 2020 712L 481(a) Software</v>
      </c>
      <c r="C110" s="1235">
        <f>'4b - ADIT Beginning Ending'!H59</f>
        <v>-3389.6550000000002</v>
      </c>
      <c r="D110" s="1233">
        <v>0</v>
      </c>
      <c r="E110" s="1233">
        <v>0</v>
      </c>
      <c r="F110" s="1235">
        <f t="shared" si="14"/>
        <v>-3389.6550000000002</v>
      </c>
      <c r="G110" s="1233">
        <v>0</v>
      </c>
      <c r="H110" s="1233">
        <v>0</v>
      </c>
      <c r="I110" s="1235">
        <f t="shared" si="12"/>
        <v>-3389.6550000000002</v>
      </c>
      <c r="J110" s="900" t="s">
        <v>871</v>
      </c>
    </row>
    <row r="111" spans="1:10">
      <c r="A111" s="845">
        <f t="shared" si="10"/>
        <v>83</v>
      </c>
      <c r="B111" s="1236" t="str">
        <f>'4b - ADIT Beginning Ending'!B60</f>
        <v>7021 - PROVS POSS REV REFDS-A/L</v>
      </c>
      <c r="C111" s="1235">
        <f>'4b - ADIT Beginning Ending'!H60</f>
        <v>0.01</v>
      </c>
      <c r="D111" s="1233">
        <v>0</v>
      </c>
      <c r="E111" s="1233">
        <v>0</v>
      </c>
      <c r="F111" s="1235">
        <f t="shared" si="14"/>
        <v>0.01</v>
      </c>
      <c r="G111" s="1233">
        <v>0</v>
      </c>
      <c r="H111" s="1233">
        <v>0</v>
      </c>
      <c r="I111" s="1235">
        <f t="shared" si="12"/>
        <v>0.01</v>
      </c>
      <c r="J111" s="900" t="s">
        <v>1001</v>
      </c>
    </row>
    <row r="112" spans="1:10">
      <c r="A112" s="845">
        <f t="shared" si="10"/>
        <v>84</v>
      </c>
      <c r="B112" s="1236" t="str">
        <f>'4b - ADIT Beginning Ending'!B61</f>
        <v>7027 - INSURANCE PREMIUMS ACCRUED</v>
      </c>
      <c r="C112" s="1235">
        <f>'4b - ADIT Beginning Ending'!H61</f>
        <v>527.69500000000005</v>
      </c>
      <c r="D112" s="1233">
        <v>0</v>
      </c>
      <c r="E112" s="1233">
        <v>0</v>
      </c>
      <c r="F112" s="1235">
        <f t="shared" si="14"/>
        <v>527.69500000000005</v>
      </c>
      <c r="G112" s="1233">
        <v>0</v>
      </c>
      <c r="H112" s="1233">
        <v>0</v>
      </c>
      <c r="I112" s="1235">
        <f t="shared" si="12"/>
        <v>527.69500000000005</v>
      </c>
      <c r="J112" s="900" t="s">
        <v>879</v>
      </c>
    </row>
    <row r="113" spans="1:10">
      <c r="A113" s="845">
        <f t="shared" si="10"/>
        <v>85</v>
      </c>
      <c r="B113" s="1236" t="str">
        <f>'4b - ADIT Beginning Ending'!B62</f>
        <v>7048 - ACCRD COMPANYWIDE INCENTV PLAN</v>
      </c>
      <c r="C113" s="1235">
        <f>'4b - ADIT Beginning Ending'!H62</f>
        <v>-3.5000000000000003E-2</v>
      </c>
      <c r="D113" s="1233">
        <v>0</v>
      </c>
      <c r="E113" s="1233">
        <v>0</v>
      </c>
      <c r="F113" s="1235">
        <f t="shared" si="14"/>
        <v>-3.5000000000000003E-2</v>
      </c>
      <c r="G113" s="1233">
        <v>0</v>
      </c>
      <c r="H113" s="1233">
        <v>0</v>
      </c>
      <c r="I113" s="1235">
        <f t="shared" si="12"/>
        <v>-3.5000000000000003E-2</v>
      </c>
      <c r="J113" s="900" t="s">
        <v>879</v>
      </c>
    </row>
    <row r="114" spans="1:10" ht="12.75" customHeight="1">
      <c r="A114" s="845">
        <f t="shared" si="10"/>
        <v>86</v>
      </c>
      <c r="B114" s="857"/>
      <c r="C114" s="858"/>
      <c r="D114" s="864"/>
      <c r="E114" s="864"/>
      <c r="F114" s="864"/>
      <c r="G114" s="864"/>
      <c r="H114" s="864"/>
      <c r="I114" s="864"/>
      <c r="J114" s="886"/>
    </row>
    <row r="115" spans="1:10" ht="12.75" customHeight="1">
      <c r="A115" s="845">
        <f t="shared" si="10"/>
        <v>87</v>
      </c>
      <c r="B115" s="865" t="s">
        <v>877</v>
      </c>
      <c r="C115" s="866">
        <f>SUM(C87:C114)</f>
        <v>721457.6449999999</v>
      </c>
      <c r="D115" s="866">
        <f t="shared" ref="D115:H115" si="15">SUM(D87:D114)</f>
        <v>0</v>
      </c>
      <c r="E115" s="866">
        <f t="shared" si="15"/>
        <v>0</v>
      </c>
      <c r="F115" s="866">
        <f t="shared" si="15"/>
        <v>721457.6449999999</v>
      </c>
      <c r="G115" s="866">
        <f t="shared" si="15"/>
        <v>0</v>
      </c>
      <c r="H115" s="866">
        <f t="shared" si="15"/>
        <v>0</v>
      </c>
      <c r="I115" s="866"/>
      <c r="J115" s="899"/>
    </row>
    <row r="116" spans="1:10" ht="12.75" customHeight="1">
      <c r="A116" s="845">
        <f t="shared" si="10"/>
        <v>88</v>
      </c>
      <c r="B116" s="865" t="str">
        <f>B71</f>
        <v>Less FASB 109 Above if not separately removed</v>
      </c>
      <c r="C116" s="866">
        <f>SUM(D116:H116)</f>
        <v>0</v>
      </c>
      <c r="D116" s="984">
        <v>0</v>
      </c>
      <c r="E116" s="984">
        <v>0</v>
      </c>
      <c r="F116" s="984">
        <f>F91+F93</f>
        <v>0</v>
      </c>
      <c r="G116" s="984">
        <v>0</v>
      </c>
      <c r="H116" s="984">
        <v>0</v>
      </c>
      <c r="I116" s="906"/>
      <c r="J116" s="900" t="s">
        <v>1013</v>
      </c>
    </row>
    <row r="117" spans="1:10" ht="12.75" customHeight="1">
      <c r="A117" s="845">
        <f t="shared" si="10"/>
        <v>89</v>
      </c>
      <c r="B117" s="865" t="str">
        <f>B72</f>
        <v>Less FASB 106 and Other Excludable Items Above if not separately removed</v>
      </c>
      <c r="C117" s="866">
        <f>SUM(D117:H117)</f>
        <v>0</v>
      </c>
      <c r="D117" s="984">
        <v>0</v>
      </c>
      <c r="E117" s="984">
        <v>0</v>
      </c>
      <c r="F117" s="984">
        <v>0</v>
      </c>
      <c r="G117" s="984">
        <v>0</v>
      </c>
      <c r="H117" s="984">
        <v>0</v>
      </c>
      <c r="I117" s="906"/>
      <c r="J117" s="900"/>
    </row>
    <row r="118" spans="1:10" ht="12.75" customHeight="1">
      <c r="A118" s="845">
        <f>A117+1</f>
        <v>90</v>
      </c>
      <c r="B118" s="865" t="str">
        <f>B73</f>
        <v>Less Proration Adjustment (from Worksheet 4c)</v>
      </c>
      <c r="C118" s="866">
        <f>'4c - ADIT Proration'!J64</f>
        <v>0</v>
      </c>
      <c r="D118" s="984">
        <v>0</v>
      </c>
      <c r="E118" s="984">
        <v>0</v>
      </c>
      <c r="F118" s="984">
        <v>0</v>
      </c>
      <c r="G118" s="984">
        <v>0</v>
      </c>
      <c r="H118" s="984">
        <v>0</v>
      </c>
      <c r="I118" s="906"/>
      <c r="J118" s="899"/>
    </row>
    <row r="119" spans="1:10" ht="12.75" customHeight="1">
      <c r="A119" s="845">
        <f t="shared" si="10"/>
        <v>91</v>
      </c>
      <c r="B119" s="865" t="str">
        <f>"Total Company  (ln "&amp;A115&amp;" - ln "&amp;A116&amp;" - ln "&amp;A117&amp;" + ln "&amp;A118&amp;")"</f>
        <v>Total Company  (ln 87 - ln 88 - ln 89 + ln 90)</v>
      </c>
      <c r="C119" s="1118">
        <f t="shared" ref="C119:H119" si="16">+C115-C116-C117+C118</f>
        <v>721457.6449999999</v>
      </c>
      <c r="D119" s="1118">
        <f t="shared" si="16"/>
        <v>0</v>
      </c>
      <c r="E119" s="1118">
        <f t="shared" si="16"/>
        <v>0</v>
      </c>
      <c r="F119" s="1118">
        <f t="shared" si="16"/>
        <v>721457.6449999999</v>
      </c>
      <c r="G119" s="1118">
        <f t="shared" si="16"/>
        <v>0</v>
      </c>
      <c r="H119" s="1118">
        <f t="shared" si="16"/>
        <v>0</v>
      </c>
      <c r="I119" s="866"/>
      <c r="J119" s="899"/>
    </row>
    <row r="120" spans="1:10" ht="13.5" thickBot="1">
      <c r="A120" s="845">
        <f t="shared" si="10"/>
        <v>92</v>
      </c>
      <c r="B120" s="865" t="str">
        <f>B75</f>
        <v>Transmission Allocator [ GP or W/S ]</v>
      </c>
      <c r="C120" s="866"/>
      <c r="D120" s="873">
        <v>0</v>
      </c>
      <c r="E120" s="873">
        <v>0</v>
      </c>
      <c r="F120" s="873">
        <v>1</v>
      </c>
      <c r="G120" s="873">
        <f>'Attachment H-29A'!$G$83</f>
        <v>1</v>
      </c>
      <c r="H120" s="873">
        <f>'Attachment H-29A'!$I$197</f>
        <v>1</v>
      </c>
      <c r="I120" s="874"/>
      <c r="J120" s="899"/>
    </row>
    <row r="121" spans="1:10" ht="13.5" thickBot="1">
      <c r="A121" s="845">
        <f t="shared" si="10"/>
        <v>93</v>
      </c>
      <c r="B121" s="865" t="str">
        <f>"Total Transmission  (ln "&amp;A119&amp;" * ln "&amp;A120&amp;")"</f>
        <v>Total Transmission  (ln 91 * ln 92)</v>
      </c>
      <c r="C121" s="875"/>
      <c r="D121" s="866">
        <f>IF(D119&lt;&gt;0,D119*D120,0)</f>
        <v>0</v>
      </c>
      <c r="E121" s="866">
        <f>IF(E119&lt;&gt;0,E119*E120,0)</f>
        <v>0</v>
      </c>
      <c r="F121" s="866">
        <f>IF(F119&lt;&gt;0,F119*F120,0)</f>
        <v>721457.6449999999</v>
      </c>
      <c r="G121" s="866">
        <f>IF(G119&lt;&gt;0,G119*G120,0)</f>
        <v>0</v>
      </c>
      <c r="H121" s="876">
        <f>IF(H119&lt;&gt;0,H119*H120,0)</f>
        <v>0</v>
      </c>
      <c r="I121" s="877">
        <f>SUM(F121:H121)</f>
        <v>721457.6449999999</v>
      </c>
      <c r="J121" s="865"/>
    </row>
    <row r="122" spans="1:10">
      <c r="A122" s="845"/>
      <c r="B122" s="878"/>
      <c r="C122" s="879"/>
      <c r="D122" s="880"/>
      <c r="E122" s="880"/>
      <c r="F122" s="880"/>
      <c r="G122" s="880"/>
      <c r="H122" s="880"/>
      <c r="I122" s="880"/>
      <c r="J122" s="878"/>
    </row>
    <row r="123" spans="1:10" ht="12.75" customHeight="1">
      <c r="A123" s="845"/>
      <c r="B123" s="879"/>
      <c r="C123" s="882"/>
      <c r="D123" s="883"/>
      <c r="E123" s="883"/>
      <c r="F123" s="883"/>
      <c r="G123" s="883"/>
      <c r="H123" s="883"/>
      <c r="I123" s="880"/>
      <c r="J123" s="901"/>
    </row>
    <row r="124" spans="1:10" ht="15.5">
      <c r="A124" s="845"/>
      <c r="B124" s="846" t="s">
        <v>878</v>
      </c>
      <c r="C124" s="846"/>
      <c r="D124" s="895"/>
      <c r="E124" s="896"/>
      <c r="F124" s="897"/>
      <c r="G124" s="846"/>
      <c r="H124" s="846"/>
      <c r="I124" s="846"/>
      <c r="J124" s="901"/>
    </row>
    <row r="125" spans="1:10" ht="12.75" customHeight="1">
      <c r="A125" s="845"/>
      <c r="B125" s="882"/>
      <c r="C125" s="882"/>
      <c r="D125" s="882"/>
      <c r="E125" s="882"/>
      <c r="F125" s="882"/>
      <c r="G125" s="882"/>
      <c r="H125" s="902"/>
      <c r="I125" s="882"/>
      <c r="J125" s="901"/>
    </row>
    <row r="126" spans="1:10">
      <c r="A126" s="845"/>
      <c r="B126" s="850" t="str">
        <f t="shared" ref="B126:J126" si="17">B7</f>
        <v>(A)</v>
      </c>
      <c r="C126" s="850" t="str">
        <f t="shared" si="17"/>
        <v>(B)</v>
      </c>
      <c r="D126" s="850" t="str">
        <f t="shared" si="17"/>
        <v>(C)</v>
      </c>
      <c r="E126" s="850" t="str">
        <f t="shared" si="17"/>
        <v>(D)</v>
      </c>
      <c r="F126" s="850" t="str">
        <f t="shared" si="17"/>
        <v>(E)</v>
      </c>
      <c r="G126" s="850" t="str">
        <f t="shared" si="17"/>
        <v>(F)</v>
      </c>
      <c r="H126" s="850" t="str">
        <f t="shared" si="17"/>
        <v>(G)</v>
      </c>
      <c r="I126" s="850" t="str">
        <f t="shared" si="17"/>
        <v>(H)</v>
      </c>
      <c r="J126" s="903" t="str">
        <f t="shared" si="17"/>
        <v>(I)</v>
      </c>
    </row>
    <row r="127" spans="1:10">
      <c r="A127" s="845"/>
      <c r="B127" s="850"/>
      <c r="C127" s="851" t="s">
        <v>853</v>
      </c>
      <c r="D127" s="850" t="str">
        <f>D8</f>
        <v>100%</v>
      </c>
      <c r="E127" s="853">
        <v>1</v>
      </c>
      <c r="F127" s="850" t="str">
        <f>F8</f>
        <v>100%</v>
      </c>
      <c r="G127" s="850"/>
      <c r="H127" s="850"/>
      <c r="I127" s="850" t="str">
        <f>I8</f>
        <v>Total Included</v>
      </c>
      <c r="J127" s="901"/>
    </row>
    <row r="128" spans="1:10">
      <c r="A128" s="845" t="s">
        <v>8</v>
      </c>
      <c r="B128" s="850"/>
      <c r="C128" s="850" t="s">
        <v>856</v>
      </c>
      <c r="D128" s="850" t="str">
        <f>D9</f>
        <v>Non-Transmission</v>
      </c>
      <c r="E128" s="850" t="s">
        <v>858</v>
      </c>
      <c r="F128" s="850" t="str">
        <f>F9</f>
        <v>Transmission</v>
      </c>
      <c r="G128" s="850" t="str">
        <f>G9</f>
        <v xml:space="preserve">Plant </v>
      </c>
      <c r="H128" s="850" t="str">
        <f>H9</f>
        <v>Labor</v>
      </c>
      <c r="I128" s="850" t="str">
        <f>I9</f>
        <v>in Ratebase</v>
      </c>
      <c r="J128" s="901"/>
    </row>
    <row r="129" spans="1:16">
      <c r="A129" s="845" t="s">
        <v>10</v>
      </c>
      <c r="B129" s="856" t="str">
        <f>B10</f>
        <v>Identification</v>
      </c>
      <c r="C129" s="855" t="s">
        <v>946</v>
      </c>
      <c r="D129" s="856" t="str">
        <f>D10</f>
        <v>Related</v>
      </c>
      <c r="E129" s="856" t="s">
        <v>861</v>
      </c>
      <c r="F129" s="856" t="str">
        <f>F10</f>
        <v>Related</v>
      </c>
      <c r="G129" s="856" t="str">
        <f>G10</f>
        <v>Related</v>
      </c>
      <c r="H129" s="856" t="str">
        <f>H10</f>
        <v>Related</v>
      </c>
      <c r="I129" s="856" t="str">
        <f>I10</f>
        <v>(E)+(F)+(G)</v>
      </c>
      <c r="J129" s="904" t="str">
        <f>J10</f>
        <v>Description / Justification</v>
      </c>
    </row>
    <row r="130" spans="1:16">
      <c r="A130" s="845">
        <f>A121+1</f>
        <v>94</v>
      </c>
      <c r="B130" s="898" t="str">
        <f>'4b - ADIT Beginning Ending'!B69</f>
        <v>520A  Provision for Possible Revenue Refunds</v>
      </c>
      <c r="C130" s="1117">
        <f>'4b - ADIT Beginning Ending'!H69</f>
        <v>173017.27499999999</v>
      </c>
      <c r="D130" s="1233">
        <v>0</v>
      </c>
      <c r="E130" s="1233">
        <v>0</v>
      </c>
      <c r="F130" s="1233">
        <v>0</v>
      </c>
      <c r="G130" s="1233">
        <v>0</v>
      </c>
      <c r="H130" s="1117">
        <f>C130</f>
        <v>173017.27499999999</v>
      </c>
      <c r="I130" s="1117">
        <f t="shared" ref="I130:I131" si="18">F130+G130+H130</f>
        <v>173017.27499999999</v>
      </c>
      <c r="J130" s="900" t="s">
        <v>1001</v>
      </c>
      <c r="K130" s="905"/>
      <c r="L130" s="905"/>
      <c r="M130" s="905"/>
      <c r="N130" s="905"/>
      <c r="O130" s="905"/>
      <c r="P130" s="905"/>
    </row>
    <row r="131" spans="1:16" ht="12.75" customHeight="1">
      <c r="A131" s="845">
        <f t="shared" ref="A131:A167" si="19">A130+1</f>
        <v>95</v>
      </c>
      <c r="B131" s="898" t="str">
        <f>'4b - ADIT Beginning Ending'!B70</f>
        <v>520Y Provision for Rate Refund - Excess ADFIT Protected</v>
      </c>
      <c r="C131" s="1117">
        <f>'4b - ADIT Beginning Ending'!H70</f>
        <v>0</v>
      </c>
      <c r="D131" s="1233">
        <v>0</v>
      </c>
      <c r="E131" s="1233">
        <v>0</v>
      </c>
      <c r="F131" s="1117">
        <f>C131</f>
        <v>0</v>
      </c>
      <c r="G131" s="1233">
        <v>0</v>
      </c>
      <c r="H131" s="1233">
        <v>0</v>
      </c>
      <c r="I131" s="1117">
        <f t="shared" si="18"/>
        <v>0</v>
      </c>
      <c r="J131" s="900" t="s">
        <v>1001</v>
      </c>
    </row>
    <row r="132" spans="1:16" ht="12.75" customHeight="1">
      <c r="A132" s="845">
        <f t="shared" si="19"/>
        <v>96</v>
      </c>
      <c r="B132" s="898" t="str">
        <f>'4b - ADIT Beginning Ending'!B71</f>
        <v>601E- Insurance Premiums Accrued</v>
      </c>
      <c r="C132" s="1117">
        <f>'4b - ADIT Beginning Ending'!H71</f>
        <v>-2109.8049999999998</v>
      </c>
      <c r="D132" s="1233">
        <v>0</v>
      </c>
      <c r="E132" s="1233">
        <v>0</v>
      </c>
      <c r="F132" s="1117">
        <f t="shared" ref="F132:F133" si="20">C132</f>
        <v>-2109.8049999999998</v>
      </c>
      <c r="G132" s="1233">
        <v>0</v>
      </c>
      <c r="H132" s="1233">
        <v>0</v>
      </c>
      <c r="I132" s="1117">
        <f>F132+G132+H132</f>
        <v>-2109.8049999999998</v>
      </c>
      <c r="J132" s="900" t="s">
        <v>879</v>
      </c>
    </row>
    <row r="133" spans="1:16" ht="12.75" customHeight="1">
      <c r="A133" s="845">
        <f t="shared" si="19"/>
        <v>97</v>
      </c>
      <c r="B133" s="898" t="str">
        <f>'4b - ADIT Beginning Ending'!B72</f>
        <v>601T  TMO Land Purchase Prem Amort</v>
      </c>
      <c r="C133" s="1117">
        <f>'4b - ADIT Beginning Ending'!H72</f>
        <v>0</v>
      </c>
      <c r="D133" s="1233">
        <v>0</v>
      </c>
      <c r="E133" s="1233">
        <v>0</v>
      </c>
      <c r="F133" s="1117">
        <f t="shared" si="20"/>
        <v>0</v>
      </c>
      <c r="G133" s="1233">
        <v>0</v>
      </c>
      <c r="H133" s="1117">
        <f>C133</f>
        <v>0</v>
      </c>
      <c r="I133" s="1117">
        <f>F133+G133+H133</f>
        <v>0</v>
      </c>
      <c r="J133" s="1206" t="s">
        <v>1006</v>
      </c>
    </row>
    <row r="134" spans="1:16" ht="12.75" customHeight="1">
      <c r="A134" s="845">
        <f t="shared" si="19"/>
        <v>98</v>
      </c>
      <c r="B134" s="898" t="str">
        <f>'4b - ADIT Beginning Ending'!B73</f>
        <v>612Y  Accrued Companywide Incentive Plan</v>
      </c>
      <c r="C134" s="1117">
        <f>'4b - ADIT Beginning Ending'!H73</f>
        <v>0.14499999999999999</v>
      </c>
      <c r="D134" s="1233">
        <v>0</v>
      </c>
      <c r="E134" s="1233">
        <v>0</v>
      </c>
      <c r="F134" s="1117">
        <f>C134</f>
        <v>0.14499999999999999</v>
      </c>
      <c r="G134" s="1233">
        <v>0</v>
      </c>
      <c r="H134" s="1233">
        <v>0</v>
      </c>
      <c r="I134" s="1117">
        <f t="shared" ref="I134:I148" si="21">F134+G134+H134</f>
        <v>0.14499999999999999</v>
      </c>
      <c r="J134" s="900" t="s">
        <v>879</v>
      </c>
    </row>
    <row r="135" spans="1:16" ht="12.75" customHeight="1">
      <c r="A135" s="845">
        <f t="shared" si="19"/>
        <v>99</v>
      </c>
      <c r="B135" s="898" t="str">
        <f>'4b - ADIT Beginning Ending'!B74</f>
        <v>230A ACRS Benefit Normalized</v>
      </c>
      <c r="C135" s="1117">
        <f>'4b - ADIT Beginning Ending'!H74</f>
        <v>-51.31</v>
      </c>
      <c r="D135" s="1233">
        <v>0</v>
      </c>
      <c r="E135" s="1233">
        <v>0</v>
      </c>
      <c r="F135" s="1117">
        <f>C135</f>
        <v>-51.31</v>
      </c>
      <c r="G135" s="1233">
        <v>0</v>
      </c>
      <c r="H135" s="1233">
        <v>0</v>
      </c>
      <c r="I135" s="1117">
        <f t="shared" si="21"/>
        <v>-51.31</v>
      </c>
      <c r="J135" s="900" t="s">
        <v>879</v>
      </c>
    </row>
    <row r="136" spans="1:16" ht="12.75" customHeight="1">
      <c r="A136" s="845">
        <f t="shared" si="19"/>
        <v>100</v>
      </c>
      <c r="B136" s="898" t="str">
        <f>'4b - ADIT Beginning Ending'!B75</f>
        <v>911Q-DSIT  DSIT Entry-Normalized</v>
      </c>
      <c r="C136" s="1117">
        <f>'4b - ADIT Beginning Ending'!H75</f>
        <v>0</v>
      </c>
      <c r="D136" s="1233">
        <v>0</v>
      </c>
      <c r="E136" s="1233">
        <v>0</v>
      </c>
      <c r="F136" s="1233">
        <v>0</v>
      </c>
      <c r="G136" s="1117">
        <f>C136</f>
        <v>0</v>
      </c>
      <c r="H136" s="1233">
        <v>0</v>
      </c>
      <c r="I136" s="1117">
        <f t="shared" si="21"/>
        <v>0</v>
      </c>
      <c r="J136" s="1206" t="s">
        <v>875</v>
      </c>
    </row>
    <row r="137" spans="1:16" ht="12.75" customHeight="1">
      <c r="A137" s="845">
        <f t="shared" si="19"/>
        <v>101</v>
      </c>
      <c r="B137" s="898" t="str">
        <f>'4b - ADIT Beginning Ending'!B76</f>
        <v>960Z - NOL-Deferred Tax Asset Reclass</v>
      </c>
      <c r="C137" s="1117">
        <f>'4b - ADIT Beginning Ending'!H76</f>
        <v>88451.414999999994</v>
      </c>
      <c r="D137" s="1233">
        <v>0</v>
      </c>
      <c r="E137" s="1233">
        <v>0</v>
      </c>
      <c r="F137" s="1233">
        <v>0</v>
      </c>
      <c r="G137" s="1117">
        <f>C137</f>
        <v>88451.414999999994</v>
      </c>
      <c r="H137" s="1233">
        <v>0</v>
      </c>
      <c r="I137" s="1117">
        <f t="shared" si="21"/>
        <v>88451.414999999994</v>
      </c>
      <c r="J137" s="1206" t="s">
        <v>1007</v>
      </c>
    </row>
    <row r="138" spans="1:16" ht="12.75" customHeight="1">
      <c r="A138" s="845">
        <f t="shared" si="19"/>
        <v>102</v>
      </c>
      <c r="B138" s="898" t="str">
        <f>'4b - ADIT Beginning Ending'!B77</f>
        <v>014C-PA - NOL-State C/F-Deferred Tax Asset</v>
      </c>
      <c r="C138" s="1117">
        <f>'4b - ADIT Beginning Ending'!H77</f>
        <v>113337.51</v>
      </c>
      <c r="D138" s="1233">
        <v>0</v>
      </c>
      <c r="E138" s="1233">
        <v>0</v>
      </c>
      <c r="F138" s="1117">
        <f>C138</f>
        <v>113337.51</v>
      </c>
      <c r="G138" s="1233">
        <v>0</v>
      </c>
      <c r="H138" s="1233">
        <v>0</v>
      </c>
      <c r="I138" s="1117">
        <f t="shared" si="21"/>
        <v>113337.51</v>
      </c>
      <c r="J138" s="1206" t="s">
        <v>1008</v>
      </c>
    </row>
    <row r="139" spans="1:16" ht="12.75" customHeight="1">
      <c r="A139" s="845">
        <f t="shared" si="19"/>
        <v>103</v>
      </c>
      <c r="B139" s="898" t="str">
        <f>'4b - ADIT Beginning Ending'!B78</f>
        <v>960F-XS Excess ADFIT 282.4 - Protected</v>
      </c>
      <c r="C139" s="1117">
        <f>'4b - ADIT Beginning Ending'!H78</f>
        <v>0</v>
      </c>
      <c r="D139" s="1233">
        <v>0</v>
      </c>
      <c r="E139" s="1233">
        <v>0</v>
      </c>
      <c r="F139" s="1117">
        <f>C139</f>
        <v>0</v>
      </c>
      <c r="G139" s="1233">
        <v>0</v>
      </c>
      <c r="H139" s="1233">
        <v>0</v>
      </c>
      <c r="I139" s="1117">
        <f t="shared" si="21"/>
        <v>0</v>
      </c>
      <c r="J139" s="1208" t="s">
        <v>872</v>
      </c>
    </row>
    <row r="140" spans="1:16" ht="12.75" customHeight="1">
      <c r="A140" s="845">
        <f t="shared" si="19"/>
        <v>104</v>
      </c>
      <c r="B140" s="898" t="str">
        <f>'4b - ADIT Beginning Ending'!B79</f>
        <v>960F-XS Excess ADFIT 282.4 - Unprotected</v>
      </c>
      <c r="C140" s="1117">
        <f>'4b - ADIT Beginning Ending'!H79</f>
        <v>0</v>
      </c>
      <c r="D140" s="1233">
        <v>0</v>
      </c>
      <c r="E140" s="1233">
        <v>0</v>
      </c>
      <c r="F140" s="1117">
        <f t="shared" ref="F140:F142" si="22">C140</f>
        <v>0</v>
      </c>
      <c r="G140" s="1233">
        <v>0</v>
      </c>
      <c r="H140" s="1233">
        <v>0</v>
      </c>
      <c r="I140" s="1117">
        <f t="shared" si="21"/>
        <v>0</v>
      </c>
      <c r="J140" s="900" t="s">
        <v>876</v>
      </c>
    </row>
    <row r="141" spans="1:16" ht="12.75" customHeight="1">
      <c r="A141" s="845">
        <f t="shared" si="19"/>
        <v>105</v>
      </c>
      <c r="B141" s="898" t="str">
        <f>'4b - ADIT Beginning Ending'!B80</f>
        <v>960F-XS Excess ADFIT 283.4 - Unprotected</v>
      </c>
      <c r="C141" s="1117">
        <f>'4b - ADIT Beginning Ending'!H80</f>
        <v>0</v>
      </c>
      <c r="D141" s="1233">
        <v>0</v>
      </c>
      <c r="E141" s="1233">
        <v>0</v>
      </c>
      <c r="F141" s="1117">
        <f t="shared" si="22"/>
        <v>0</v>
      </c>
      <c r="G141" s="1233">
        <v>0</v>
      </c>
      <c r="H141" s="1233">
        <v>0</v>
      </c>
      <c r="I141" s="1117">
        <f t="shared" si="21"/>
        <v>0</v>
      </c>
      <c r="J141" s="900" t="s">
        <v>876</v>
      </c>
    </row>
    <row r="142" spans="1:16" ht="12.75" customHeight="1">
      <c r="A142" s="845">
        <f t="shared" si="19"/>
        <v>106</v>
      </c>
      <c r="B142" s="898" t="str">
        <f>'4b - ADIT Beginning Ending'!B81</f>
        <v>EXCESS DSIT - UNPROTECTED PA</v>
      </c>
      <c r="C142" s="1117">
        <f>'4b - ADIT Beginning Ending'!H81</f>
        <v>0</v>
      </c>
      <c r="D142" s="1233">
        <v>0</v>
      </c>
      <c r="E142" s="1233">
        <v>0</v>
      </c>
      <c r="F142" s="1117">
        <f t="shared" si="22"/>
        <v>0</v>
      </c>
      <c r="G142" s="1233">
        <v>0</v>
      </c>
      <c r="H142" s="1233">
        <v>0</v>
      </c>
      <c r="I142" s="1117">
        <f t="shared" si="21"/>
        <v>0</v>
      </c>
      <c r="J142" s="1206" t="s">
        <v>876</v>
      </c>
    </row>
    <row r="143" spans="1:16">
      <c r="A143" s="845">
        <f t="shared" si="19"/>
        <v>107</v>
      </c>
      <c r="B143" s="898" t="str">
        <f>'4b - ADIT Beginning Ending'!B82</f>
        <v>310A AOFUDC</v>
      </c>
      <c r="C143" s="1117">
        <f>'4b - ADIT Beginning Ending'!H82</f>
        <v>606.4</v>
      </c>
      <c r="D143" s="1117">
        <f>C143</f>
        <v>606.4</v>
      </c>
      <c r="E143" s="1233">
        <v>0</v>
      </c>
      <c r="F143" s="1233">
        <v>0</v>
      </c>
      <c r="G143" s="1233">
        <v>0</v>
      </c>
      <c r="H143" s="1233">
        <v>0</v>
      </c>
      <c r="I143" s="1117">
        <f>H143+G143+F143</f>
        <v>0</v>
      </c>
      <c r="J143" s="1206" t="s">
        <v>1004</v>
      </c>
    </row>
    <row r="144" spans="1:16" ht="12.75" customHeight="1">
      <c r="A144" s="845">
        <f t="shared" si="19"/>
        <v>108</v>
      </c>
      <c r="B144" s="898" t="str">
        <f>'4b - ADIT Beginning Ending'!B83</f>
        <v>712L CAPITALIZED SOFTWARE COST-BOOKS</v>
      </c>
      <c r="C144" s="1117">
        <f>'4b - ADIT Beginning Ending'!H83</f>
        <v>-711.80499999999995</v>
      </c>
      <c r="D144" s="1233">
        <v>0</v>
      </c>
      <c r="E144" s="1233">
        <v>0</v>
      </c>
      <c r="F144" s="1233">
        <v>0</v>
      </c>
      <c r="G144" s="1117">
        <f>C144</f>
        <v>-711.80499999999995</v>
      </c>
      <c r="H144" s="1233">
        <v>0</v>
      </c>
      <c r="I144" s="1117">
        <f t="shared" ref="I144" si="23">H144+G144+F144</f>
        <v>-711.80499999999995</v>
      </c>
      <c r="J144" s="1206" t="s">
        <v>871</v>
      </c>
    </row>
    <row r="145" spans="1:10" ht="12.75" customHeight="1">
      <c r="A145" s="845">
        <f t="shared" si="19"/>
        <v>109</v>
      </c>
      <c r="B145" s="898" t="str">
        <f>'4b - ADIT Beginning Ending'!B84</f>
        <v>910K REMOVAL CST</v>
      </c>
      <c r="C145" s="1117">
        <f>'4b - ADIT Beginning Ending'!H84</f>
        <v>-0.35</v>
      </c>
      <c r="D145" s="1233">
        <v>0</v>
      </c>
      <c r="E145" s="1233">
        <v>0</v>
      </c>
      <c r="F145" s="1233">
        <v>0</v>
      </c>
      <c r="G145" s="1117">
        <f>C145</f>
        <v>-0.35</v>
      </c>
      <c r="H145" s="1233">
        <v>0</v>
      </c>
      <c r="I145" s="1117">
        <f t="shared" si="21"/>
        <v>-0.35</v>
      </c>
      <c r="J145" s="1206" t="s">
        <v>1005</v>
      </c>
    </row>
    <row r="146" spans="1:10" ht="12.75" customHeight="1">
      <c r="A146" s="845">
        <f t="shared" si="19"/>
        <v>110</v>
      </c>
      <c r="B146" s="898" t="str">
        <f>'4b - ADIT Beginning Ending'!B85</f>
        <v>712K  Capitalized Software Cost</v>
      </c>
      <c r="C146" s="1117">
        <f>'4b - ADIT Beginning Ending'!H85</f>
        <v>1494.635</v>
      </c>
      <c r="D146" s="1233">
        <v>0</v>
      </c>
      <c r="E146" s="1233">
        <v>0</v>
      </c>
      <c r="F146" s="1233">
        <v>0</v>
      </c>
      <c r="G146" s="1117">
        <f>C146</f>
        <v>1494.635</v>
      </c>
      <c r="H146" s="1233">
        <v>0</v>
      </c>
      <c r="I146" s="1117">
        <f t="shared" ref="I146:I147" si="24">H146+G146+F146</f>
        <v>1494.635</v>
      </c>
      <c r="J146" s="1206" t="s">
        <v>871</v>
      </c>
    </row>
    <row r="147" spans="1:10" ht="12.75" customHeight="1">
      <c r="A147" s="845">
        <f t="shared" si="19"/>
        <v>111</v>
      </c>
      <c r="B147" s="898" t="str">
        <f>'4b - ADIT Beginning Ending'!B86</f>
        <v>671S Reg Asset - Pre Construction</v>
      </c>
      <c r="C147" s="1117">
        <f>'4b - ADIT Beginning Ending'!H86</f>
        <v>5.0000000000000001E-3</v>
      </c>
      <c r="D147" s="1233">
        <v>0</v>
      </c>
      <c r="E147" s="1233">
        <v>0</v>
      </c>
      <c r="F147" s="1117">
        <f t="shared" ref="F147:F148" si="25">C147</f>
        <v>5.0000000000000001E-3</v>
      </c>
      <c r="G147" s="1233">
        <v>0</v>
      </c>
      <c r="H147" s="1233">
        <v>0</v>
      </c>
      <c r="I147" s="1117">
        <f t="shared" si="24"/>
        <v>5.0000000000000001E-3</v>
      </c>
      <c r="J147" s="1206" t="s">
        <v>1017</v>
      </c>
    </row>
    <row r="148" spans="1:10" ht="12.75" customHeight="1">
      <c r="A148" s="845">
        <f t="shared" si="19"/>
        <v>112</v>
      </c>
      <c r="B148" s="898" t="str">
        <f>'4b - ADIT Beginning Ending'!B87</f>
        <v>675A REG ASSET-FERC Formula Rates Under Recvr</v>
      </c>
      <c r="C148" s="1117">
        <f>'4b - ADIT Beginning Ending'!H87</f>
        <v>12417.445</v>
      </c>
      <c r="D148" s="1233">
        <v>0</v>
      </c>
      <c r="E148" s="1233">
        <v>0</v>
      </c>
      <c r="F148" s="1117">
        <f t="shared" si="25"/>
        <v>12417.445</v>
      </c>
      <c r="G148" s="1233">
        <v>0</v>
      </c>
      <c r="H148" s="1233">
        <v>0</v>
      </c>
      <c r="I148" s="1117">
        <f t="shared" si="21"/>
        <v>12417.445</v>
      </c>
      <c r="J148" s="1206" t="s">
        <v>1010</v>
      </c>
    </row>
    <row r="149" spans="1:10" ht="12.75" customHeight="1">
      <c r="A149" s="845">
        <f t="shared" si="19"/>
        <v>113</v>
      </c>
      <c r="B149" s="1236" t="str">
        <f>'4b - ADIT Beginning Ending'!B88</f>
        <v>4041 - NOL - DEFERRED TAX ASSET RECLASS</v>
      </c>
      <c r="C149" s="1237">
        <f>'4b - ADIT Beginning Ending'!H88</f>
        <v>0</v>
      </c>
      <c r="D149" s="1233">
        <v>0</v>
      </c>
      <c r="E149" s="1233">
        <v>0</v>
      </c>
      <c r="F149" s="1233">
        <v>0</v>
      </c>
      <c r="G149" s="1235">
        <f>+C149</f>
        <v>0</v>
      </c>
      <c r="H149" s="1233">
        <v>0</v>
      </c>
      <c r="I149" s="1235">
        <f t="shared" ref="I149:I159" si="26">H149+G149+F149</f>
        <v>0</v>
      </c>
      <c r="J149" s="900" t="s">
        <v>1007</v>
      </c>
    </row>
    <row r="150" spans="1:10" ht="12.75" customHeight="1">
      <c r="A150" s="845">
        <f t="shared" si="19"/>
        <v>114</v>
      </c>
      <c r="B150" s="1236" t="str">
        <f>'4b - ADIT Beginning Ending'!B89</f>
        <v>6002 - PT AFUDC Debt - NORM</v>
      </c>
      <c r="C150" s="1237">
        <f>'4b - ADIT Beginning Ending'!H89</f>
        <v>606.4</v>
      </c>
      <c r="D150" s="1235">
        <f>+C150</f>
        <v>606.4</v>
      </c>
      <c r="E150" s="1233">
        <v>0</v>
      </c>
      <c r="F150" s="1233">
        <v>0</v>
      </c>
      <c r="G150" s="1233">
        <v>0</v>
      </c>
      <c r="H150" s="1233">
        <v>0</v>
      </c>
      <c r="I150" s="1235">
        <f t="shared" si="26"/>
        <v>0</v>
      </c>
      <c r="J150" s="900" t="s">
        <v>1004</v>
      </c>
    </row>
    <row r="151" spans="1:10" ht="12.75" customHeight="1">
      <c r="A151" s="845">
        <f t="shared" si="19"/>
        <v>115</v>
      </c>
      <c r="B151" s="1236" t="str">
        <f>'4b - ADIT Beginning Ending'!B90</f>
        <v>6009 - PT COR - NORM</v>
      </c>
      <c r="C151" s="1237">
        <f>'4b - ADIT Beginning Ending'!H90</f>
        <v>-0.35000000000000003</v>
      </c>
      <c r="D151" s="1233">
        <v>0</v>
      </c>
      <c r="E151" s="1233">
        <v>0</v>
      </c>
      <c r="F151" s="1233">
        <v>0</v>
      </c>
      <c r="G151" s="1235">
        <f>C151</f>
        <v>-0.35000000000000003</v>
      </c>
      <c r="H151" s="1233">
        <v>0</v>
      </c>
      <c r="I151" s="1235">
        <f t="shared" si="26"/>
        <v>-0.35000000000000003</v>
      </c>
      <c r="J151" s="900" t="s">
        <v>1005</v>
      </c>
    </row>
    <row r="152" spans="1:10" ht="12.75" customHeight="1">
      <c r="A152" s="845">
        <f t="shared" si="19"/>
        <v>116</v>
      </c>
      <c r="B152" s="1236" t="str">
        <f>'4b - ADIT Beginning Ending'!B91</f>
        <v>6018 - PT Method/Life - NORM</v>
      </c>
      <c r="C152" s="1237">
        <f>'4b - ADIT Beginning Ending'!H91</f>
        <v>1163.9549999999999</v>
      </c>
      <c r="D152" s="1233">
        <v>0</v>
      </c>
      <c r="E152" s="1233">
        <v>0</v>
      </c>
      <c r="F152" s="1233">
        <v>0</v>
      </c>
      <c r="G152" s="1235">
        <f>+C152</f>
        <v>1163.9549999999999</v>
      </c>
      <c r="H152" s="1233">
        <v>0</v>
      </c>
      <c r="I152" s="1235">
        <f t="shared" si="26"/>
        <v>1163.9549999999999</v>
      </c>
      <c r="J152" s="900" t="s">
        <v>1000</v>
      </c>
    </row>
    <row r="153" spans="1:10" ht="12.75" customHeight="1">
      <c r="A153" s="845">
        <f t="shared" si="19"/>
        <v>117</v>
      </c>
      <c r="B153" s="1236" t="str">
        <f>'4b - ADIT Beginning Ending'!B92</f>
        <v>6523 - 2020 712L 481(a) Software</v>
      </c>
      <c r="C153" s="1237">
        <f>'4b - ADIT Beginning Ending'!H92</f>
        <v>-711.83</v>
      </c>
      <c r="D153" s="1233">
        <v>0</v>
      </c>
      <c r="E153" s="1233">
        <v>0</v>
      </c>
      <c r="F153" s="1233">
        <v>0</v>
      </c>
      <c r="G153" s="1235">
        <f>+C153</f>
        <v>-711.83</v>
      </c>
      <c r="H153" s="1233">
        <v>0</v>
      </c>
      <c r="I153" s="1235">
        <f t="shared" si="26"/>
        <v>-711.83</v>
      </c>
      <c r="J153" s="900" t="s">
        <v>871</v>
      </c>
    </row>
    <row r="154" spans="1:10" ht="12.75" customHeight="1">
      <c r="A154" s="845">
        <f t="shared" si="19"/>
        <v>118</v>
      </c>
      <c r="B154" s="1236" t="str">
        <f>'4b - ADIT Beginning Ending'!B93</f>
        <v>7021 - PROVS POSS REV REFDS-A/L</v>
      </c>
      <c r="C154" s="1237">
        <f>'4b - ADIT Beginning Ending'!H93</f>
        <v>-0.04</v>
      </c>
      <c r="D154" s="1233">
        <v>0</v>
      </c>
      <c r="E154" s="1233">
        <v>0</v>
      </c>
      <c r="F154" s="1233">
        <v>0</v>
      </c>
      <c r="G154" s="1233">
        <v>0</v>
      </c>
      <c r="H154" s="1235">
        <f>+C154</f>
        <v>-0.04</v>
      </c>
      <c r="I154" s="1235">
        <f t="shared" si="26"/>
        <v>-0.04</v>
      </c>
      <c r="J154" s="900" t="s">
        <v>1001</v>
      </c>
    </row>
    <row r="155" spans="1:10" ht="12.75" customHeight="1">
      <c r="A155" s="845">
        <f t="shared" si="19"/>
        <v>119</v>
      </c>
      <c r="B155" s="1236" t="str">
        <f>'4b - ADIT Beginning Ending'!B94</f>
        <v>7027 - INSURANCE PREMIUMS ACCRUED</v>
      </c>
      <c r="C155" s="1237">
        <f>'4b - ADIT Beginning Ending'!H94</f>
        <v>-2109.9349999999999</v>
      </c>
      <c r="D155" s="1233">
        <v>0</v>
      </c>
      <c r="E155" s="1233">
        <v>0</v>
      </c>
      <c r="F155" s="1235">
        <f>+C155</f>
        <v>-2109.9349999999999</v>
      </c>
      <c r="G155" s="1233">
        <v>0</v>
      </c>
      <c r="H155" s="1233">
        <v>0</v>
      </c>
      <c r="I155" s="1235">
        <f t="shared" si="26"/>
        <v>-2109.9349999999999</v>
      </c>
      <c r="J155" s="900" t="s">
        <v>879</v>
      </c>
    </row>
    <row r="156" spans="1:10" ht="12.75" customHeight="1">
      <c r="A156" s="845">
        <f t="shared" si="19"/>
        <v>120</v>
      </c>
      <c r="B156" s="1236" t="str">
        <f>'4b - ADIT Beginning Ending'!B95</f>
        <v>7048 - ACCRD COMPANYWIDE INCENTV PLAN</v>
      </c>
      <c r="C156" s="1237">
        <f>'4b - ADIT Beginning Ending'!H95</f>
        <v>0.14499999999999999</v>
      </c>
      <c r="D156" s="1233">
        <v>0</v>
      </c>
      <c r="E156" s="1233">
        <v>0</v>
      </c>
      <c r="F156" s="1235">
        <f>+C156</f>
        <v>0.14499999999999999</v>
      </c>
      <c r="G156" s="1233">
        <v>0</v>
      </c>
      <c r="H156" s="1233">
        <v>0</v>
      </c>
      <c r="I156" s="1235">
        <f t="shared" si="26"/>
        <v>0.14499999999999999</v>
      </c>
      <c r="J156" s="900" t="s">
        <v>879</v>
      </c>
    </row>
    <row r="157" spans="1:10" ht="12.75" customHeight="1">
      <c r="A157" s="845">
        <f t="shared" si="19"/>
        <v>121</v>
      </c>
      <c r="B157" s="1236" t="str">
        <f>'4b - ADIT Beginning Ending'!B96</f>
        <v>7337 - REG ASSET-PRE CONSTRUCTION COSTS</v>
      </c>
      <c r="C157" s="1237">
        <f>'4b - ADIT Beginning Ending'!H96</f>
        <v>5.0000000000000001E-3</v>
      </c>
      <c r="D157" s="1233">
        <v>0</v>
      </c>
      <c r="E157" s="1233">
        <v>0</v>
      </c>
      <c r="F157" s="1235">
        <f>+C157</f>
        <v>5.0000000000000001E-3</v>
      </c>
      <c r="G157" s="1233">
        <v>0</v>
      </c>
      <c r="H157" s="1233">
        <v>0</v>
      </c>
      <c r="I157" s="1235">
        <f t="shared" si="26"/>
        <v>5.0000000000000001E-3</v>
      </c>
      <c r="J157" s="900" t="s">
        <v>1017</v>
      </c>
    </row>
    <row r="158" spans="1:10" ht="12.75" customHeight="1">
      <c r="A158" s="845">
        <f t="shared" si="19"/>
        <v>122</v>
      </c>
      <c r="B158" s="1236" t="str">
        <f>'4b - ADIT Beginning Ending'!B97</f>
        <v>7423 - REG ASSET-FERC Formula Rates Under Recvr</v>
      </c>
      <c r="C158" s="1237">
        <f>'4b - ADIT Beginning Ending'!H97</f>
        <v>18827.174999999999</v>
      </c>
      <c r="D158" s="1233">
        <v>0</v>
      </c>
      <c r="E158" s="1233">
        <v>0</v>
      </c>
      <c r="F158" s="1235">
        <f>+C158</f>
        <v>18827.174999999999</v>
      </c>
      <c r="G158" s="1233">
        <v>0</v>
      </c>
      <c r="H158" s="1233">
        <v>0</v>
      </c>
      <c r="I158" s="1235">
        <f t="shared" si="26"/>
        <v>18827.174999999999</v>
      </c>
      <c r="J158" s="900" t="s">
        <v>1010</v>
      </c>
    </row>
    <row r="159" spans="1:10" ht="12.75" customHeight="1">
      <c r="A159" s="845">
        <f t="shared" si="19"/>
        <v>123</v>
      </c>
      <c r="B159" s="1236" t="str">
        <f>'4b - ADIT Beginning Ending'!B98</f>
        <v>4032 - NOL-STATE C/F-DEF TAX ASSET-L/T - PA</v>
      </c>
      <c r="C159" s="1237">
        <f>'4b - ADIT Beginning Ending'!H98</f>
        <v>60339.29</v>
      </c>
      <c r="D159" s="1233">
        <v>0</v>
      </c>
      <c r="E159" s="1233">
        <v>0</v>
      </c>
      <c r="F159" s="1235">
        <f>+C159</f>
        <v>60339.29</v>
      </c>
      <c r="G159" s="1233">
        <v>0</v>
      </c>
      <c r="H159" s="1233">
        <v>0</v>
      </c>
      <c r="I159" s="1235">
        <f t="shared" si="26"/>
        <v>60339.29</v>
      </c>
      <c r="J159" s="900" t="s">
        <v>1008</v>
      </c>
    </row>
    <row r="160" spans="1:10" ht="12.75" customHeight="1">
      <c r="A160" s="845">
        <f t="shared" si="19"/>
        <v>124</v>
      </c>
      <c r="B160" s="857"/>
      <c r="C160" s="859"/>
      <c r="D160" s="890"/>
      <c r="E160" s="890"/>
      <c r="F160" s="890"/>
      <c r="G160" s="890"/>
      <c r="H160" s="890"/>
      <c r="I160" s="857"/>
      <c r="J160" s="886"/>
    </row>
    <row r="161" spans="1:10" ht="12.75" customHeight="1">
      <c r="A161" s="845">
        <f t="shared" si="19"/>
        <v>125</v>
      </c>
      <c r="B161" s="865" t="s">
        <v>880</v>
      </c>
      <c r="C161" s="866">
        <f>SUM(C130:C160)</f>
        <v>464566.37500000012</v>
      </c>
      <c r="D161" s="866">
        <f>SUM(D130:D160)</f>
        <v>1212.8</v>
      </c>
      <c r="E161" s="866">
        <f t="shared" ref="E161:H161" si="27">SUM(E130:E160)</f>
        <v>0</v>
      </c>
      <c r="F161" s="866">
        <f t="shared" si="27"/>
        <v>200650.67</v>
      </c>
      <c r="G161" s="866">
        <f t="shared" si="27"/>
        <v>89685.669999999984</v>
      </c>
      <c r="H161" s="866">
        <f t="shared" si="27"/>
        <v>173017.23499999999</v>
      </c>
      <c r="I161" s="866"/>
      <c r="J161" s="899"/>
    </row>
    <row r="162" spans="1:10" ht="12.75" customHeight="1">
      <c r="A162" s="845">
        <f t="shared" si="19"/>
        <v>126</v>
      </c>
      <c r="B162" s="983" t="str">
        <f>B116</f>
        <v>Less FASB 109 Above if not separately removed</v>
      </c>
      <c r="C162" s="866">
        <f>SUM(D162:H162)</f>
        <v>0</v>
      </c>
      <c r="D162" s="984">
        <v>0</v>
      </c>
      <c r="E162" s="984">
        <v>0</v>
      </c>
      <c r="F162" s="984">
        <f>SUM(F139:F141)+F149</f>
        <v>0</v>
      </c>
      <c r="G162" s="984">
        <f t="shared" ref="G162:H162" si="28">SUM(G139:G141)+G149</f>
        <v>0</v>
      </c>
      <c r="H162" s="984">
        <f t="shared" si="28"/>
        <v>0</v>
      </c>
      <c r="I162" s="906" t="s">
        <v>2</v>
      </c>
      <c r="J162" s="900" t="s">
        <v>1025</v>
      </c>
    </row>
    <row r="163" spans="1:10" ht="12.75" customHeight="1">
      <c r="A163" s="845">
        <f t="shared" si="19"/>
        <v>127</v>
      </c>
      <c r="B163" s="865" t="str">
        <f>B117</f>
        <v>Less FASB 106 and Other Excludable Items Above if not separately removed</v>
      </c>
      <c r="C163" s="866">
        <f>SUM(D163:H163)</f>
        <v>0</v>
      </c>
      <c r="D163" s="984">
        <v>0</v>
      </c>
      <c r="E163" s="984">
        <v>0</v>
      </c>
      <c r="F163" s="984">
        <v>0</v>
      </c>
      <c r="G163" s="984">
        <v>0</v>
      </c>
      <c r="H163" s="984">
        <v>0</v>
      </c>
      <c r="I163" s="906" t="s">
        <v>2</v>
      </c>
      <c r="J163" s="900"/>
    </row>
    <row r="164" spans="1:10" ht="12.75" customHeight="1">
      <c r="A164" s="845">
        <f t="shared" si="19"/>
        <v>128</v>
      </c>
      <c r="B164" s="865" t="str">
        <f>B118</f>
        <v>Less Proration Adjustment (from Worksheet 4c)</v>
      </c>
      <c r="C164" s="866">
        <f>'4c - ADIT Proration'!J96</f>
        <v>0</v>
      </c>
      <c r="D164" s="984">
        <v>0</v>
      </c>
      <c r="E164" s="984">
        <v>0</v>
      </c>
      <c r="F164" s="984">
        <v>0</v>
      </c>
      <c r="G164" s="984">
        <v>0</v>
      </c>
      <c r="H164" s="984">
        <v>0</v>
      </c>
      <c r="I164" s="906"/>
      <c r="J164" s="899"/>
    </row>
    <row r="165" spans="1:10" ht="12.75" customHeight="1">
      <c r="A165" s="845">
        <f t="shared" si="19"/>
        <v>129</v>
      </c>
      <c r="B165" s="865" t="str">
        <f>"Total Company  (ln "&amp;A161&amp;" - ln "&amp;A162&amp;" - ln "&amp;A163&amp;" + ln "&amp;A164&amp;")"</f>
        <v>Total Company  (ln 125 - ln 126 - ln 127 + ln 128)</v>
      </c>
      <c r="C165" s="866">
        <f>+C161-C162-C163+C164</f>
        <v>464566.37500000012</v>
      </c>
      <c r="D165" s="866">
        <f t="shared" ref="D165:H165" si="29">+D161-D162-D163+D164</f>
        <v>1212.8</v>
      </c>
      <c r="E165" s="866">
        <f t="shared" si="29"/>
        <v>0</v>
      </c>
      <c r="F165" s="866">
        <f t="shared" si="29"/>
        <v>200650.67</v>
      </c>
      <c r="G165" s="866">
        <f t="shared" si="29"/>
        <v>89685.669999999984</v>
      </c>
      <c r="H165" s="866">
        <f t="shared" si="29"/>
        <v>173017.23499999999</v>
      </c>
      <c r="I165" s="866" t="s">
        <v>2</v>
      </c>
      <c r="J165" s="899"/>
    </row>
    <row r="166" spans="1:10" ht="12.75" customHeight="1" thickBot="1">
      <c r="A166" s="845">
        <f t="shared" si="19"/>
        <v>130</v>
      </c>
      <c r="B166" s="865" t="str">
        <f>B120</f>
        <v>Transmission Allocator [ GP or W/S ]</v>
      </c>
      <c r="C166" s="907"/>
      <c r="D166" s="873">
        <v>0</v>
      </c>
      <c r="E166" s="873">
        <v>0</v>
      </c>
      <c r="F166" s="873">
        <v>1</v>
      </c>
      <c r="G166" s="873">
        <f>'Attachment H-29A'!$G$83</f>
        <v>1</v>
      </c>
      <c r="H166" s="873">
        <f>'Attachment H-29A'!$I$197</f>
        <v>1</v>
      </c>
      <c r="I166" s="874"/>
      <c r="J166" s="899"/>
    </row>
    <row r="167" spans="1:10" ht="12.75" customHeight="1" thickBot="1">
      <c r="A167" s="845">
        <f t="shared" si="19"/>
        <v>131</v>
      </c>
      <c r="B167" s="865" t="str">
        <f>"Total Transmission  (ln "&amp;A165&amp;" * ln "&amp;A166&amp;")"</f>
        <v>Total Transmission  (ln 129 * ln 130)</v>
      </c>
      <c r="C167" s="875"/>
      <c r="D167" s="866">
        <f>IF(D165&lt;&gt;0,D165*D166,0)</f>
        <v>0</v>
      </c>
      <c r="E167" s="866">
        <f>IF(E165&lt;&gt;0,E165*E166,0)</f>
        <v>0</v>
      </c>
      <c r="F167" s="866">
        <f>IF(F165&lt;&gt;0,F165*F166,0)</f>
        <v>200650.67</v>
      </c>
      <c r="G167" s="866">
        <f>IF(G165&lt;&gt;0,G165*G166,0)</f>
        <v>89685.669999999984</v>
      </c>
      <c r="H167" s="876">
        <f>IF(H165&lt;&gt;0,H165*H166,0)</f>
        <v>173017.23499999999</v>
      </c>
      <c r="I167" s="877">
        <f>SUM(F167:H167)</f>
        <v>463353.57499999995</v>
      </c>
      <c r="J167" s="865"/>
    </row>
    <row r="168" spans="1:10" ht="12.75" customHeight="1">
      <c r="A168" s="845"/>
      <c r="B168" s="854"/>
      <c r="C168" s="882"/>
      <c r="D168" s="883"/>
      <c r="E168" s="883"/>
      <c r="F168" s="883"/>
      <c r="G168" s="883"/>
      <c r="H168" s="883"/>
      <c r="I168" s="880"/>
      <c r="J168" s="901"/>
    </row>
  </sheetData>
  <mergeCells count="3">
    <mergeCell ref="A1:J1"/>
    <mergeCell ref="A2:J2"/>
    <mergeCell ref="A3:J3"/>
  </mergeCells>
  <pageMargins left="0.24" right="0.24" top="0.5" bottom="0.5" header="0.5" footer="0.5"/>
  <pageSetup scale="47" fitToHeight="0" orientation="landscape" r:id="rId1"/>
  <headerFooter alignWithMargins="0"/>
  <rowBreaks count="1" manualBreakCount="1">
    <brk id="7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54"/>
  <sheetViews>
    <sheetView view="pageBreakPreview" zoomScale="80" zoomScaleNormal="90" zoomScaleSheetLayoutView="80" workbookViewId="0">
      <selection activeCell="B7" sqref="B7:C7"/>
    </sheetView>
  </sheetViews>
  <sheetFormatPr defaultRowHeight="12.5"/>
  <cols>
    <col min="1" max="1" width="3.84375" style="1032" customWidth="1"/>
    <col min="2" max="2" width="49.69140625" style="1001" customWidth="1"/>
    <col min="3" max="3" width="15.53515625" style="1001" customWidth="1"/>
    <col min="4" max="4" width="7.07421875" style="1001" customWidth="1"/>
    <col min="5" max="5" width="50.07421875" style="1001" customWidth="1"/>
    <col min="6" max="6" width="15.07421875" style="1001" customWidth="1"/>
    <col min="7" max="7" width="3" style="1001" customWidth="1"/>
    <col min="8" max="8" width="16.4609375" style="1001" customWidth="1"/>
    <col min="9" max="9" width="3.84375" style="1001" customWidth="1"/>
    <col min="10" max="257" width="8.69140625" style="1001"/>
    <col min="258" max="258" width="43.07421875" style="1001" customWidth="1"/>
    <col min="259" max="259" width="15.07421875" style="1001" customWidth="1"/>
    <col min="260" max="260" width="9.84375" style="1001" customWidth="1"/>
    <col min="261" max="261" width="44.07421875" style="1001" customWidth="1"/>
    <col min="262" max="262" width="14.07421875" style="1001" customWidth="1"/>
    <col min="263" max="263" width="3" style="1001" customWidth="1"/>
    <col min="264" max="264" width="16.4609375" style="1001" customWidth="1"/>
    <col min="265" max="265" width="3.84375" style="1001" customWidth="1"/>
    <col min="266" max="513" width="8.69140625" style="1001"/>
    <col min="514" max="514" width="43.07421875" style="1001" customWidth="1"/>
    <col min="515" max="515" width="15.07421875" style="1001" customWidth="1"/>
    <col min="516" max="516" width="9.84375" style="1001" customWidth="1"/>
    <col min="517" max="517" width="44.07421875" style="1001" customWidth="1"/>
    <col min="518" max="518" width="14.07421875" style="1001" customWidth="1"/>
    <col min="519" max="519" width="3" style="1001" customWidth="1"/>
    <col min="520" max="520" width="16.4609375" style="1001" customWidth="1"/>
    <col min="521" max="521" width="3.84375" style="1001" customWidth="1"/>
    <col min="522" max="769" width="8.69140625" style="1001"/>
    <col min="770" max="770" width="43.07421875" style="1001" customWidth="1"/>
    <col min="771" max="771" width="15.07421875" style="1001" customWidth="1"/>
    <col min="772" max="772" width="9.84375" style="1001" customWidth="1"/>
    <col min="773" max="773" width="44.07421875" style="1001" customWidth="1"/>
    <col min="774" max="774" width="14.07421875" style="1001" customWidth="1"/>
    <col min="775" max="775" width="3" style="1001" customWidth="1"/>
    <col min="776" max="776" width="16.4609375" style="1001" customWidth="1"/>
    <col min="777" max="777" width="3.84375" style="1001" customWidth="1"/>
    <col min="778" max="1025" width="8.69140625" style="1001"/>
    <col min="1026" max="1026" width="43.07421875" style="1001" customWidth="1"/>
    <col min="1027" max="1027" width="15.07421875" style="1001" customWidth="1"/>
    <col min="1028" max="1028" width="9.84375" style="1001" customWidth="1"/>
    <col min="1029" max="1029" width="44.07421875" style="1001" customWidth="1"/>
    <col min="1030" max="1030" width="14.07421875" style="1001" customWidth="1"/>
    <col min="1031" max="1031" width="3" style="1001" customWidth="1"/>
    <col min="1032" max="1032" width="16.4609375" style="1001" customWidth="1"/>
    <col min="1033" max="1033" width="3.84375" style="1001" customWidth="1"/>
    <col min="1034" max="1281" width="8.69140625" style="1001"/>
    <col min="1282" max="1282" width="43.07421875" style="1001" customWidth="1"/>
    <col min="1283" max="1283" width="15.07421875" style="1001" customWidth="1"/>
    <col min="1284" max="1284" width="9.84375" style="1001" customWidth="1"/>
    <col min="1285" max="1285" width="44.07421875" style="1001" customWidth="1"/>
    <col min="1286" max="1286" width="14.07421875" style="1001" customWidth="1"/>
    <col min="1287" max="1287" width="3" style="1001" customWidth="1"/>
    <col min="1288" max="1288" width="16.4609375" style="1001" customWidth="1"/>
    <col min="1289" max="1289" width="3.84375" style="1001" customWidth="1"/>
    <col min="1290" max="1537" width="8.69140625" style="1001"/>
    <col min="1538" max="1538" width="43.07421875" style="1001" customWidth="1"/>
    <col min="1539" max="1539" width="15.07421875" style="1001" customWidth="1"/>
    <col min="1540" max="1540" width="9.84375" style="1001" customWidth="1"/>
    <col min="1541" max="1541" width="44.07421875" style="1001" customWidth="1"/>
    <col min="1542" max="1542" width="14.07421875" style="1001" customWidth="1"/>
    <col min="1543" max="1543" width="3" style="1001" customWidth="1"/>
    <col min="1544" max="1544" width="16.4609375" style="1001" customWidth="1"/>
    <col min="1545" max="1545" width="3.84375" style="1001" customWidth="1"/>
    <col min="1546" max="1793" width="8.69140625" style="1001"/>
    <col min="1794" max="1794" width="43.07421875" style="1001" customWidth="1"/>
    <col min="1795" max="1795" width="15.07421875" style="1001" customWidth="1"/>
    <col min="1796" max="1796" width="9.84375" style="1001" customWidth="1"/>
    <col min="1797" max="1797" width="44.07421875" style="1001" customWidth="1"/>
    <col min="1798" max="1798" width="14.07421875" style="1001" customWidth="1"/>
    <col min="1799" max="1799" width="3" style="1001" customWidth="1"/>
    <col min="1800" max="1800" width="16.4609375" style="1001" customWidth="1"/>
    <col min="1801" max="1801" width="3.84375" style="1001" customWidth="1"/>
    <col min="1802" max="2049" width="8.69140625" style="1001"/>
    <col min="2050" max="2050" width="43.07421875" style="1001" customWidth="1"/>
    <col min="2051" max="2051" width="15.07421875" style="1001" customWidth="1"/>
    <col min="2052" max="2052" width="9.84375" style="1001" customWidth="1"/>
    <col min="2053" max="2053" width="44.07421875" style="1001" customWidth="1"/>
    <col min="2054" max="2054" width="14.07421875" style="1001" customWidth="1"/>
    <col min="2055" max="2055" width="3" style="1001" customWidth="1"/>
    <col min="2056" max="2056" width="16.4609375" style="1001" customWidth="1"/>
    <col min="2057" max="2057" width="3.84375" style="1001" customWidth="1"/>
    <col min="2058" max="2305" width="8.69140625" style="1001"/>
    <col min="2306" max="2306" width="43.07421875" style="1001" customWidth="1"/>
    <col min="2307" max="2307" width="15.07421875" style="1001" customWidth="1"/>
    <col min="2308" max="2308" width="9.84375" style="1001" customWidth="1"/>
    <col min="2309" max="2309" width="44.07421875" style="1001" customWidth="1"/>
    <col min="2310" max="2310" width="14.07421875" style="1001" customWidth="1"/>
    <col min="2311" max="2311" width="3" style="1001" customWidth="1"/>
    <col min="2312" max="2312" width="16.4609375" style="1001" customWidth="1"/>
    <col min="2313" max="2313" width="3.84375" style="1001" customWidth="1"/>
    <col min="2314" max="2561" width="8.69140625" style="1001"/>
    <col min="2562" max="2562" width="43.07421875" style="1001" customWidth="1"/>
    <col min="2563" max="2563" width="15.07421875" style="1001" customWidth="1"/>
    <col min="2564" max="2564" width="9.84375" style="1001" customWidth="1"/>
    <col min="2565" max="2565" width="44.07421875" style="1001" customWidth="1"/>
    <col min="2566" max="2566" width="14.07421875" style="1001" customWidth="1"/>
    <col min="2567" max="2567" width="3" style="1001" customWidth="1"/>
    <col min="2568" max="2568" width="16.4609375" style="1001" customWidth="1"/>
    <col min="2569" max="2569" width="3.84375" style="1001" customWidth="1"/>
    <col min="2570" max="2817" width="8.69140625" style="1001"/>
    <col min="2818" max="2818" width="43.07421875" style="1001" customWidth="1"/>
    <col min="2819" max="2819" width="15.07421875" style="1001" customWidth="1"/>
    <col min="2820" max="2820" width="9.84375" style="1001" customWidth="1"/>
    <col min="2821" max="2821" width="44.07421875" style="1001" customWidth="1"/>
    <col min="2822" max="2822" width="14.07421875" style="1001" customWidth="1"/>
    <col min="2823" max="2823" width="3" style="1001" customWidth="1"/>
    <col min="2824" max="2824" width="16.4609375" style="1001" customWidth="1"/>
    <col min="2825" max="2825" width="3.84375" style="1001" customWidth="1"/>
    <col min="2826" max="3073" width="8.69140625" style="1001"/>
    <col min="3074" max="3074" width="43.07421875" style="1001" customWidth="1"/>
    <col min="3075" max="3075" width="15.07421875" style="1001" customWidth="1"/>
    <col min="3076" max="3076" width="9.84375" style="1001" customWidth="1"/>
    <col min="3077" max="3077" width="44.07421875" style="1001" customWidth="1"/>
    <col min="3078" max="3078" width="14.07421875" style="1001" customWidth="1"/>
    <col min="3079" max="3079" width="3" style="1001" customWidth="1"/>
    <col min="3080" max="3080" width="16.4609375" style="1001" customWidth="1"/>
    <col min="3081" max="3081" width="3.84375" style="1001" customWidth="1"/>
    <col min="3082" max="3329" width="8.69140625" style="1001"/>
    <col min="3330" max="3330" width="43.07421875" style="1001" customWidth="1"/>
    <col min="3331" max="3331" width="15.07421875" style="1001" customWidth="1"/>
    <col min="3332" max="3332" width="9.84375" style="1001" customWidth="1"/>
    <col min="3333" max="3333" width="44.07421875" style="1001" customWidth="1"/>
    <col min="3334" max="3334" width="14.07421875" style="1001" customWidth="1"/>
    <col min="3335" max="3335" width="3" style="1001" customWidth="1"/>
    <col min="3336" max="3336" width="16.4609375" style="1001" customWidth="1"/>
    <col min="3337" max="3337" width="3.84375" style="1001" customWidth="1"/>
    <col min="3338" max="3585" width="8.69140625" style="1001"/>
    <col min="3586" max="3586" width="43.07421875" style="1001" customWidth="1"/>
    <col min="3587" max="3587" width="15.07421875" style="1001" customWidth="1"/>
    <col min="3588" max="3588" width="9.84375" style="1001" customWidth="1"/>
    <col min="3589" max="3589" width="44.07421875" style="1001" customWidth="1"/>
    <col min="3590" max="3590" width="14.07421875" style="1001" customWidth="1"/>
    <col min="3591" max="3591" width="3" style="1001" customWidth="1"/>
    <col min="3592" max="3592" width="16.4609375" style="1001" customWidth="1"/>
    <col min="3593" max="3593" width="3.84375" style="1001" customWidth="1"/>
    <col min="3594" max="3841" width="8.69140625" style="1001"/>
    <col min="3842" max="3842" width="43.07421875" style="1001" customWidth="1"/>
    <col min="3843" max="3843" width="15.07421875" style="1001" customWidth="1"/>
    <col min="3844" max="3844" width="9.84375" style="1001" customWidth="1"/>
    <col min="3845" max="3845" width="44.07421875" style="1001" customWidth="1"/>
    <col min="3846" max="3846" width="14.07421875" style="1001" customWidth="1"/>
    <col min="3847" max="3847" width="3" style="1001" customWidth="1"/>
    <col min="3848" max="3848" width="16.4609375" style="1001" customWidth="1"/>
    <col min="3849" max="3849" width="3.84375" style="1001" customWidth="1"/>
    <col min="3850" max="4097" width="8.69140625" style="1001"/>
    <col min="4098" max="4098" width="43.07421875" style="1001" customWidth="1"/>
    <col min="4099" max="4099" width="15.07421875" style="1001" customWidth="1"/>
    <col min="4100" max="4100" width="9.84375" style="1001" customWidth="1"/>
    <col min="4101" max="4101" width="44.07421875" style="1001" customWidth="1"/>
    <col min="4102" max="4102" width="14.07421875" style="1001" customWidth="1"/>
    <col min="4103" max="4103" width="3" style="1001" customWidth="1"/>
    <col min="4104" max="4104" width="16.4609375" style="1001" customWidth="1"/>
    <col min="4105" max="4105" width="3.84375" style="1001" customWidth="1"/>
    <col min="4106" max="4353" width="8.69140625" style="1001"/>
    <col min="4354" max="4354" width="43.07421875" style="1001" customWidth="1"/>
    <col min="4355" max="4355" width="15.07421875" style="1001" customWidth="1"/>
    <col min="4356" max="4356" width="9.84375" style="1001" customWidth="1"/>
    <col min="4357" max="4357" width="44.07421875" style="1001" customWidth="1"/>
    <col min="4358" max="4358" width="14.07421875" style="1001" customWidth="1"/>
    <col min="4359" max="4359" width="3" style="1001" customWidth="1"/>
    <col min="4360" max="4360" width="16.4609375" style="1001" customWidth="1"/>
    <col min="4361" max="4361" width="3.84375" style="1001" customWidth="1"/>
    <col min="4362" max="4609" width="8.69140625" style="1001"/>
    <col min="4610" max="4610" width="43.07421875" style="1001" customWidth="1"/>
    <col min="4611" max="4611" width="15.07421875" style="1001" customWidth="1"/>
    <col min="4612" max="4612" width="9.84375" style="1001" customWidth="1"/>
    <col min="4613" max="4613" width="44.07421875" style="1001" customWidth="1"/>
    <col min="4614" max="4614" width="14.07421875" style="1001" customWidth="1"/>
    <col min="4615" max="4615" width="3" style="1001" customWidth="1"/>
    <col min="4616" max="4616" width="16.4609375" style="1001" customWidth="1"/>
    <col min="4617" max="4617" width="3.84375" style="1001" customWidth="1"/>
    <col min="4618" max="4865" width="8.69140625" style="1001"/>
    <col min="4866" max="4866" width="43.07421875" style="1001" customWidth="1"/>
    <col min="4867" max="4867" width="15.07421875" style="1001" customWidth="1"/>
    <col min="4868" max="4868" width="9.84375" style="1001" customWidth="1"/>
    <col min="4869" max="4869" width="44.07421875" style="1001" customWidth="1"/>
    <col min="4870" max="4870" width="14.07421875" style="1001" customWidth="1"/>
    <col min="4871" max="4871" width="3" style="1001" customWidth="1"/>
    <col min="4872" max="4872" width="16.4609375" style="1001" customWidth="1"/>
    <col min="4873" max="4873" width="3.84375" style="1001" customWidth="1"/>
    <col min="4874" max="5121" width="8.69140625" style="1001"/>
    <col min="5122" max="5122" width="43.07421875" style="1001" customWidth="1"/>
    <col min="5123" max="5123" width="15.07421875" style="1001" customWidth="1"/>
    <col min="5124" max="5124" width="9.84375" style="1001" customWidth="1"/>
    <col min="5125" max="5125" width="44.07421875" style="1001" customWidth="1"/>
    <col min="5126" max="5126" width="14.07421875" style="1001" customWidth="1"/>
    <col min="5127" max="5127" width="3" style="1001" customWidth="1"/>
    <col min="5128" max="5128" width="16.4609375" style="1001" customWidth="1"/>
    <col min="5129" max="5129" width="3.84375" style="1001" customWidth="1"/>
    <col min="5130" max="5377" width="8.69140625" style="1001"/>
    <col min="5378" max="5378" width="43.07421875" style="1001" customWidth="1"/>
    <col min="5379" max="5379" width="15.07421875" style="1001" customWidth="1"/>
    <col min="5380" max="5380" width="9.84375" style="1001" customWidth="1"/>
    <col min="5381" max="5381" width="44.07421875" style="1001" customWidth="1"/>
    <col min="5382" max="5382" width="14.07421875" style="1001" customWidth="1"/>
    <col min="5383" max="5383" width="3" style="1001" customWidth="1"/>
    <col min="5384" max="5384" width="16.4609375" style="1001" customWidth="1"/>
    <col min="5385" max="5385" width="3.84375" style="1001" customWidth="1"/>
    <col min="5386" max="5633" width="8.69140625" style="1001"/>
    <col min="5634" max="5634" width="43.07421875" style="1001" customWidth="1"/>
    <col min="5635" max="5635" width="15.07421875" style="1001" customWidth="1"/>
    <col min="5636" max="5636" width="9.84375" style="1001" customWidth="1"/>
    <col min="5637" max="5637" width="44.07421875" style="1001" customWidth="1"/>
    <col min="5638" max="5638" width="14.07421875" style="1001" customWidth="1"/>
    <col min="5639" max="5639" width="3" style="1001" customWidth="1"/>
    <col min="5640" max="5640" width="16.4609375" style="1001" customWidth="1"/>
    <col min="5641" max="5641" width="3.84375" style="1001" customWidth="1"/>
    <col min="5642" max="5889" width="8.69140625" style="1001"/>
    <col min="5890" max="5890" width="43.07421875" style="1001" customWidth="1"/>
    <col min="5891" max="5891" width="15.07421875" style="1001" customWidth="1"/>
    <col min="5892" max="5892" width="9.84375" style="1001" customWidth="1"/>
    <col min="5893" max="5893" width="44.07421875" style="1001" customWidth="1"/>
    <col min="5894" max="5894" width="14.07421875" style="1001" customWidth="1"/>
    <col min="5895" max="5895" width="3" style="1001" customWidth="1"/>
    <col min="5896" max="5896" width="16.4609375" style="1001" customWidth="1"/>
    <col min="5897" max="5897" width="3.84375" style="1001" customWidth="1"/>
    <col min="5898" max="6145" width="8.69140625" style="1001"/>
    <col min="6146" max="6146" width="43.07421875" style="1001" customWidth="1"/>
    <col min="6147" max="6147" width="15.07421875" style="1001" customWidth="1"/>
    <col min="6148" max="6148" width="9.84375" style="1001" customWidth="1"/>
    <col min="6149" max="6149" width="44.07421875" style="1001" customWidth="1"/>
    <col min="6150" max="6150" width="14.07421875" style="1001" customWidth="1"/>
    <col min="6151" max="6151" width="3" style="1001" customWidth="1"/>
    <col min="6152" max="6152" width="16.4609375" style="1001" customWidth="1"/>
    <col min="6153" max="6153" width="3.84375" style="1001" customWidth="1"/>
    <col min="6154" max="6401" width="8.69140625" style="1001"/>
    <col min="6402" max="6402" width="43.07421875" style="1001" customWidth="1"/>
    <col min="6403" max="6403" width="15.07421875" style="1001" customWidth="1"/>
    <col min="6404" max="6404" width="9.84375" style="1001" customWidth="1"/>
    <col min="6405" max="6405" width="44.07421875" style="1001" customWidth="1"/>
    <col min="6406" max="6406" width="14.07421875" style="1001" customWidth="1"/>
    <col min="6407" max="6407" width="3" style="1001" customWidth="1"/>
    <col min="6408" max="6408" width="16.4609375" style="1001" customWidth="1"/>
    <col min="6409" max="6409" width="3.84375" style="1001" customWidth="1"/>
    <col min="6410" max="6657" width="8.69140625" style="1001"/>
    <col min="6658" max="6658" width="43.07421875" style="1001" customWidth="1"/>
    <col min="6659" max="6659" width="15.07421875" style="1001" customWidth="1"/>
    <col min="6660" max="6660" width="9.84375" style="1001" customWidth="1"/>
    <col min="6661" max="6661" width="44.07421875" style="1001" customWidth="1"/>
    <col min="6662" max="6662" width="14.07421875" style="1001" customWidth="1"/>
    <col min="6663" max="6663" width="3" style="1001" customWidth="1"/>
    <col min="6664" max="6664" width="16.4609375" style="1001" customWidth="1"/>
    <col min="6665" max="6665" width="3.84375" style="1001" customWidth="1"/>
    <col min="6666" max="6913" width="8.69140625" style="1001"/>
    <col min="6914" max="6914" width="43.07421875" style="1001" customWidth="1"/>
    <col min="6915" max="6915" width="15.07421875" style="1001" customWidth="1"/>
    <col min="6916" max="6916" width="9.84375" style="1001" customWidth="1"/>
    <col min="6917" max="6917" width="44.07421875" style="1001" customWidth="1"/>
    <col min="6918" max="6918" width="14.07421875" style="1001" customWidth="1"/>
    <col min="6919" max="6919" width="3" style="1001" customWidth="1"/>
    <col min="6920" max="6920" width="16.4609375" style="1001" customWidth="1"/>
    <col min="6921" max="6921" width="3.84375" style="1001" customWidth="1"/>
    <col min="6922" max="7169" width="8.69140625" style="1001"/>
    <col min="7170" max="7170" width="43.07421875" style="1001" customWidth="1"/>
    <col min="7171" max="7171" width="15.07421875" style="1001" customWidth="1"/>
    <col min="7172" max="7172" width="9.84375" style="1001" customWidth="1"/>
    <col min="7173" max="7173" width="44.07421875" style="1001" customWidth="1"/>
    <col min="7174" max="7174" width="14.07421875" style="1001" customWidth="1"/>
    <col min="7175" max="7175" width="3" style="1001" customWidth="1"/>
    <col min="7176" max="7176" width="16.4609375" style="1001" customWidth="1"/>
    <col min="7177" max="7177" width="3.84375" style="1001" customWidth="1"/>
    <col min="7178" max="7425" width="8.69140625" style="1001"/>
    <col min="7426" max="7426" width="43.07421875" style="1001" customWidth="1"/>
    <col min="7427" max="7427" width="15.07421875" style="1001" customWidth="1"/>
    <col min="7428" max="7428" width="9.84375" style="1001" customWidth="1"/>
    <col min="7429" max="7429" width="44.07421875" style="1001" customWidth="1"/>
    <col min="7430" max="7430" width="14.07421875" style="1001" customWidth="1"/>
    <col min="7431" max="7431" width="3" style="1001" customWidth="1"/>
    <col min="7432" max="7432" width="16.4609375" style="1001" customWidth="1"/>
    <col min="7433" max="7433" width="3.84375" style="1001" customWidth="1"/>
    <col min="7434" max="7681" width="8.69140625" style="1001"/>
    <col min="7682" max="7682" width="43.07421875" style="1001" customWidth="1"/>
    <col min="7683" max="7683" width="15.07421875" style="1001" customWidth="1"/>
    <col min="7684" max="7684" width="9.84375" style="1001" customWidth="1"/>
    <col min="7685" max="7685" width="44.07421875" style="1001" customWidth="1"/>
    <col min="7686" max="7686" width="14.07421875" style="1001" customWidth="1"/>
    <col min="7687" max="7687" width="3" style="1001" customWidth="1"/>
    <col min="7688" max="7688" width="16.4609375" style="1001" customWidth="1"/>
    <col min="7689" max="7689" width="3.84375" style="1001" customWidth="1"/>
    <col min="7690" max="7937" width="8.69140625" style="1001"/>
    <col min="7938" max="7938" width="43.07421875" style="1001" customWidth="1"/>
    <col min="7939" max="7939" width="15.07421875" style="1001" customWidth="1"/>
    <col min="7940" max="7940" width="9.84375" style="1001" customWidth="1"/>
    <col min="7941" max="7941" width="44.07421875" style="1001" customWidth="1"/>
    <col min="7942" max="7942" width="14.07421875" style="1001" customWidth="1"/>
    <col min="7943" max="7943" width="3" style="1001" customWidth="1"/>
    <col min="7944" max="7944" width="16.4609375" style="1001" customWidth="1"/>
    <col min="7945" max="7945" width="3.84375" style="1001" customWidth="1"/>
    <col min="7946" max="8193" width="8.69140625" style="1001"/>
    <col min="8194" max="8194" width="43.07421875" style="1001" customWidth="1"/>
    <col min="8195" max="8195" width="15.07421875" style="1001" customWidth="1"/>
    <col min="8196" max="8196" width="9.84375" style="1001" customWidth="1"/>
    <col min="8197" max="8197" width="44.07421875" style="1001" customWidth="1"/>
    <col min="8198" max="8198" width="14.07421875" style="1001" customWidth="1"/>
    <col min="8199" max="8199" width="3" style="1001" customWidth="1"/>
    <col min="8200" max="8200" width="16.4609375" style="1001" customWidth="1"/>
    <col min="8201" max="8201" width="3.84375" style="1001" customWidth="1"/>
    <col min="8202" max="8449" width="8.69140625" style="1001"/>
    <col min="8450" max="8450" width="43.07421875" style="1001" customWidth="1"/>
    <col min="8451" max="8451" width="15.07421875" style="1001" customWidth="1"/>
    <col min="8452" max="8452" width="9.84375" style="1001" customWidth="1"/>
    <col min="8453" max="8453" width="44.07421875" style="1001" customWidth="1"/>
    <col min="8454" max="8454" width="14.07421875" style="1001" customWidth="1"/>
    <col min="8455" max="8455" width="3" style="1001" customWidth="1"/>
    <col min="8456" max="8456" width="16.4609375" style="1001" customWidth="1"/>
    <col min="8457" max="8457" width="3.84375" style="1001" customWidth="1"/>
    <col min="8458" max="8705" width="8.69140625" style="1001"/>
    <col min="8706" max="8706" width="43.07421875" style="1001" customWidth="1"/>
    <col min="8707" max="8707" width="15.07421875" style="1001" customWidth="1"/>
    <col min="8708" max="8708" width="9.84375" style="1001" customWidth="1"/>
    <col min="8709" max="8709" width="44.07421875" style="1001" customWidth="1"/>
    <col min="8710" max="8710" width="14.07421875" style="1001" customWidth="1"/>
    <col min="8711" max="8711" width="3" style="1001" customWidth="1"/>
    <col min="8712" max="8712" width="16.4609375" style="1001" customWidth="1"/>
    <col min="8713" max="8713" width="3.84375" style="1001" customWidth="1"/>
    <col min="8714" max="8961" width="8.69140625" style="1001"/>
    <col min="8962" max="8962" width="43.07421875" style="1001" customWidth="1"/>
    <col min="8963" max="8963" width="15.07421875" style="1001" customWidth="1"/>
    <col min="8964" max="8964" width="9.84375" style="1001" customWidth="1"/>
    <col min="8965" max="8965" width="44.07421875" style="1001" customWidth="1"/>
    <col min="8966" max="8966" width="14.07421875" style="1001" customWidth="1"/>
    <col min="8967" max="8967" width="3" style="1001" customWidth="1"/>
    <col min="8968" max="8968" width="16.4609375" style="1001" customWidth="1"/>
    <col min="8969" max="8969" width="3.84375" style="1001" customWidth="1"/>
    <col min="8970" max="9217" width="8.69140625" style="1001"/>
    <col min="9218" max="9218" width="43.07421875" style="1001" customWidth="1"/>
    <col min="9219" max="9219" width="15.07421875" style="1001" customWidth="1"/>
    <col min="9220" max="9220" width="9.84375" style="1001" customWidth="1"/>
    <col min="9221" max="9221" width="44.07421875" style="1001" customWidth="1"/>
    <col min="9222" max="9222" width="14.07421875" style="1001" customWidth="1"/>
    <col min="9223" max="9223" width="3" style="1001" customWidth="1"/>
    <col min="9224" max="9224" width="16.4609375" style="1001" customWidth="1"/>
    <col min="9225" max="9225" width="3.84375" style="1001" customWidth="1"/>
    <col min="9226" max="9473" width="8.69140625" style="1001"/>
    <col min="9474" max="9474" width="43.07421875" style="1001" customWidth="1"/>
    <col min="9475" max="9475" width="15.07421875" style="1001" customWidth="1"/>
    <col min="9476" max="9476" width="9.84375" style="1001" customWidth="1"/>
    <col min="9477" max="9477" width="44.07421875" style="1001" customWidth="1"/>
    <col min="9478" max="9478" width="14.07421875" style="1001" customWidth="1"/>
    <col min="9479" max="9479" width="3" style="1001" customWidth="1"/>
    <col min="9480" max="9480" width="16.4609375" style="1001" customWidth="1"/>
    <col min="9481" max="9481" width="3.84375" style="1001" customWidth="1"/>
    <col min="9482" max="9729" width="8.69140625" style="1001"/>
    <col min="9730" max="9730" width="43.07421875" style="1001" customWidth="1"/>
    <col min="9731" max="9731" width="15.07421875" style="1001" customWidth="1"/>
    <col min="9732" max="9732" width="9.84375" style="1001" customWidth="1"/>
    <col min="9733" max="9733" width="44.07421875" style="1001" customWidth="1"/>
    <col min="9734" max="9734" width="14.07421875" style="1001" customWidth="1"/>
    <col min="9735" max="9735" width="3" style="1001" customWidth="1"/>
    <col min="9736" max="9736" width="16.4609375" style="1001" customWidth="1"/>
    <col min="9737" max="9737" width="3.84375" style="1001" customWidth="1"/>
    <col min="9738" max="9985" width="8.69140625" style="1001"/>
    <col min="9986" max="9986" width="43.07421875" style="1001" customWidth="1"/>
    <col min="9987" max="9987" width="15.07421875" style="1001" customWidth="1"/>
    <col min="9988" max="9988" width="9.84375" style="1001" customWidth="1"/>
    <col min="9989" max="9989" width="44.07421875" style="1001" customWidth="1"/>
    <col min="9990" max="9990" width="14.07421875" style="1001" customWidth="1"/>
    <col min="9991" max="9991" width="3" style="1001" customWidth="1"/>
    <col min="9992" max="9992" width="16.4609375" style="1001" customWidth="1"/>
    <col min="9993" max="9993" width="3.84375" style="1001" customWidth="1"/>
    <col min="9994" max="10241" width="8.69140625" style="1001"/>
    <col min="10242" max="10242" width="43.07421875" style="1001" customWidth="1"/>
    <col min="10243" max="10243" width="15.07421875" style="1001" customWidth="1"/>
    <col min="10244" max="10244" width="9.84375" style="1001" customWidth="1"/>
    <col min="10245" max="10245" width="44.07421875" style="1001" customWidth="1"/>
    <col min="10246" max="10246" width="14.07421875" style="1001" customWidth="1"/>
    <col min="10247" max="10247" width="3" style="1001" customWidth="1"/>
    <col min="10248" max="10248" width="16.4609375" style="1001" customWidth="1"/>
    <col min="10249" max="10249" width="3.84375" style="1001" customWidth="1"/>
    <col min="10250" max="10497" width="8.69140625" style="1001"/>
    <col min="10498" max="10498" width="43.07421875" style="1001" customWidth="1"/>
    <col min="10499" max="10499" width="15.07421875" style="1001" customWidth="1"/>
    <col min="10500" max="10500" width="9.84375" style="1001" customWidth="1"/>
    <col min="10501" max="10501" width="44.07421875" style="1001" customWidth="1"/>
    <col min="10502" max="10502" width="14.07421875" style="1001" customWidth="1"/>
    <col min="10503" max="10503" width="3" style="1001" customWidth="1"/>
    <col min="10504" max="10504" width="16.4609375" style="1001" customWidth="1"/>
    <col min="10505" max="10505" width="3.84375" style="1001" customWidth="1"/>
    <col min="10506" max="10753" width="8.69140625" style="1001"/>
    <col min="10754" max="10754" width="43.07421875" style="1001" customWidth="1"/>
    <col min="10755" max="10755" width="15.07421875" style="1001" customWidth="1"/>
    <col min="10756" max="10756" width="9.84375" style="1001" customWidth="1"/>
    <col min="10757" max="10757" width="44.07421875" style="1001" customWidth="1"/>
    <col min="10758" max="10758" width="14.07421875" style="1001" customWidth="1"/>
    <col min="10759" max="10759" width="3" style="1001" customWidth="1"/>
    <col min="10760" max="10760" width="16.4609375" style="1001" customWidth="1"/>
    <col min="10761" max="10761" width="3.84375" style="1001" customWidth="1"/>
    <col min="10762" max="11009" width="8.69140625" style="1001"/>
    <col min="11010" max="11010" width="43.07421875" style="1001" customWidth="1"/>
    <col min="11011" max="11011" width="15.07421875" style="1001" customWidth="1"/>
    <col min="11012" max="11012" width="9.84375" style="1001" customWidth="1"/>
    <col min="11013" max="11013" width="44.07421875" style="1001" customWidth="1"/>
    <col min="11014" max="11014" width="14.07421875" style="1001" customWidth="1"/>
    <col min="11015" max="11015" width="3" style="1001" customWidth="1"/>
    <col min="11016" max="11016" width="16.4609375" style="1001" customWidth="1"/>
    <col min="11017" max="11017" width="3.84375" style="1001" customWidth="1"/>
    <col min="11018" max="11265" width="8.69140625" style="1001"/>
    <col min="11266" max="11266" width="43.07421875" style="1001" customWidth="1"/>
    <col min="11267" max="11267" width="15.07421875" style="1001" customWidth="1"/>
    <col min="11268" max="11268" width="9.84375" style="1001" customWidth="1"/>
    <col min="11269" max="11269" width="44.07421875" style="1001" customWidth="1"/>
    <col min="11270" max="11270" width="14.07421875" style="1001" customWidth="1"/>
    <col min="11271" max="11271" width="3" style="1001" customWidth="1"/>
    <col min="11272" max="11272" width="16.4609375" style="1001" customWidth="1"/>
    <col min="11273" max="11273" width="3.84375" style="1001" customWidth="1"/>
    <col min="11274" max="11521" width="8.69140625" style="1001"/>
    <col min="11522" max="11522" width="43.07421875" style="1001" customWidth="1"/>
    <col min="11523" max="11523" width="15.07421875" style="1001" customWidth="1"/>
    <col min="11524" max="11524" width="9.84375" style="1001" customWidth="1"/>
    <col min="11525" max="11525" width="44.07421875" style="1001" customWidth="1"/>
    <col min="11526" max="11526" width="14.07421875" style="1001" customWidth="1"/>
    <col min="11527" max="11527" width="3" style="1001" customWidth="1"/>
    <col min="11528" max="11528" width="16.4609375" style="1001" customWidth="1"/>
    <col min="11529" max="11529" width="3.84375" style="1001" customWidth="1"/>
    <col min="11530" max="11777" width="8.69140625" style="1001"/>
    <col min="11778" max="11778" width="43.07421875" style="1001" customWidth="1"/>
    <col min="11779" max="11779" width="15.07421875" style="1001" customWidth="1"/>
    <col min="11780" max="11780" width="9.84375" style="1001" customWidth="1"/>
    <col min="11781" max="11781" width="44.07421875" style="1001" customWidth="1"/>
    <col min="11782" max="11782" width="14.07421875" style="1001" customWidth="1"/>
    <col min="11783" max="11783" width="3" style="1001" customWidth="1"/>
    <col min="11784" max="11784" width="16.4609375" style="1001" customWidth="1"/>
    <col min="11785" max="11785" width="3.84375" style="1001" customWidth="1"/>
    <col min="11786" max="12033" width="8.69140625" style="1001"/>
    <col min="12034" max="12034" width="43.07421875" style="1001" customWidth="1"/>
    <col min="12035" max="12035" width="15.07421875" style="1001" customWidth="1"/>
    <col min="12036" max="12036" width="9.84375" style="1001" customWidth="1"/>
    <col min="12037" max="12037" width="44.07421875" style="1001" customWidth="1"/>
    <col min="12038" max="12038" width="14.07421875" style="1001" customWidth="1"/>
    <col min="12039" max="12039" width="3" style="1001" customWidth="1"/>
    <col min="12040" max="12040" width="16.4609375" style="1001" customWidth="1"/>
    <col min="12041" max="12041" width="3.84375" style="1001" customWidth="1"/>
    <col min="12042" max="12289" width="8.69140625" style="1001"/>
    <col min="12290" max="12290" width="43.07421875" style="1001" customWidth="1"/>
    <col min="12291" max="12291" width="15.07421875" style="1001" customWidth="1"/>
    <col min="12292" max="12292" width="9.84375" style="1001" customWidth="1"/>
    <col min="12293" max="12293" width="44.07421875" style="1001" customWidth="1"/>
    <col min="12294" max="12294" width="14.07421875" style="1001" customWidth="1"/>
    <col min="12295" max="12295" width="3" style="1001" customWidth="1"/>
    <col min="12296" max="12296" width="16.4609375" style="1001" customWidth="1"/>
    <col min="12297" max="12297" width="3.84375" style="1001" customWidth="1"/>
    <col min="12298" max="12545" width="8.69140625" style="1001"/>
    <col min="12546" max="12546" width="43.07421875" style="1001" customWidth="1"/>
    <col min="12547" max="12547" width="15.07421875" style="1001" customWidth="1"/>
    <col min="12548" max="12548" width="9.84375" style="1001" customWidth="1"/>
    <col min="12549" max="12549" width="44.07421875" style="1001" customWidth="1"/>
    <col min="12550" max="12550" width="14.07421875" style="1001" customWidth="1"/>
    <col min="12551" max="12551" width="3" style="1001" customWidth="1"/>
    <col min="12552" max="12552" width="16.4609375" style="1001" customWidth="1"/>
    <col min="12553" max="12553" width="3.84375" style="1001" customWidth="1"/>
    <col min="12554" max="12801" width="8.69140625" style="1001"/>
    <col min="12802" max="12802" width="43.07421875" style="1001" customWidth="1"/>
    <col min="12803" max="12803" width="15.07421875" style="1001" customWidth="1"/>
    <col min="12804" max="12804" width="9.84375" style="1001" customWidth="1"/>
    <col min="12805" max="12805" width="44.07421875" style="1001" customWidth="1"/>
    <col min="12806" max="12806" width="14.07421875" style="1001" customWidth="1"/>
    <col min="12807" max="12807" width="3" style="1001" customWidth="1"/>
    <col min="12808" max="12808" width="16.4609375" style="1001" customWidth="1"/>
    <col min="12809" max="12809" width="3.84375" style="1001" customWidth="1"/>
    <col min="12810" max="13057" width="8.69140625" style="1001"/>
    <col min="13058" max="13058" width="43.07421875" style="1001" customWidth="1"/>
    <col min="13059" max="13059" width="15.07421875" style="1001" customWidth="1"/>
    <col min="13060" max="13060" width="9.84375" style="1001" customWidth="1"/>
    <col min="13061" max="13061" width="44.07421875" style="1001" customWidth="1"/>
    <col min="13062" max="13062" width="14.07421875" style="1001" customWidth="1"/>
    <col min="13063" max="13063" width="3" style="1001" customWidth="1"/>
    <col min="13064" max="13064" width="16.4609375" style="1001" customWidth="1"/>
    <col min="13065" max="13065" width="3.84375" style="1001" customWidth="1"/>
    <col min="13066" max="13313" width="8.69140625" style="1001"/>
    <col min="13314" max="13314" width="43.07421875" style="1001" customWidth="1"/>
    <col min="13315" max="13315" width="15.07421875" style="1001" customWidth="1"/>
    <col min="13316" max="13316" width="9.84375" style="1001" customWidth="1"/>
    <col min="13317" max="13317" width="44.07421875" style="1001" customWidth="1"/>
    <col min="13318" max="13318" width="14.07421875" style="1001" customWidth="1"/>
    <col min="13319" max="13319" width="3" style="1001" customWidth="1"/>
    <col min="13320" max="13320" width="16.4609375" style="1001" customWidth="1"/>
    <col min="13321" max="13321" width="3.84375" style="1001" customWidth="1"/>
    <col min="13322" max="13569" width="8.69140625" style="1001"/>
    <col min="13570" max="13570" width="43.07421875" style="1001" customWidth="1"/>
    <col min="13571" max="13571" width="15.07421875" style="1001" customWidth="1"/>
    <col min="13572" max="13572" width="9.84375" style="1001" customWidth="1"/>
    <col min="13573" max="13573" width="44.07421875" style="1001" customWidth="1"/>
    <col min="13574" max="13574" width="14.07421875" style="1001" customWidth="1"/>
    <col min="13575" max="13575" width="3" style="1001" customWidth="1"/>
    <col min="13576" max="13576" width="16.4609375" style="1001" customWidth="1"/>
    <col min="13577" max="13577" width="3.84375" style="1001" customWidth="1"/>
    <col min="13578" max="13825" width="8.69140625" style="1001"/>
    <col min="13826" max="13826" width="43.07421875" style="1001" customWidth="1"/>
    <col min="13827" max="13827" width="15.07421875" style="1001" customWidth="1"/>
    <col min="13828" max="13828" width="9.84375" style="1001" customWidth="1"/>
    <col min="13829" max="13829" width="44.07421875" style="1001" customWidth="1"/>
    <col min="13830" max="13830" width="14.07421875" style="1001" customWidth="1"/>
    <col min="13831" max="13831" width="3" style="1001" customWidth="1"/>
    <col min="13832" max="13832" width="16.4609375" style="1001" customWidth="1"/>
    <col min="13833" max="13833" width="3.84375" style="1001" customWidth="1"/>
    <col min="13834" max="14081" width="8.69140625" style="1001"/>
    <col min="14082" max="14082" width="43.07421875" style="1001" customWidth="1"/>
    <col min="14083" max="14083" width="15.07421875" style="1001" customWidth="1"/>
    <col min="14084" max="14084" width="9.84375" style="1001" customWidth="1"/>
    <col min="14085" max="14085" width="44.07421875" style="1001" customWidth="1"/>
    <col min="14086" max="14086" width="14.07421875" style="1001" customWidth="1"/>
    <col min="14087" max="14087" width="3" style="1001" customWidth="1"/>
    <col min="14088" max="14088" width="16.4609375" style="1001" customWidth="1"/>
    <col min="14089" max="14089" width="3.84375" style="1001" customWidth="1"/>
    <col min="14090" max="14337" width="8.69140625" style="1001"/>
    <col min="14338" max="14338" width="43.07421875" style="1001" customWidth="1"/>
    <col min="14339" max="14339" width="15.07421875" style="1001" customWidth="1"/>
    <col min="14340" max="14340" width="9.84375" style="1001" customWidth="1"/>
    <col min="14341" max="14341" width="44.07421875" style="1001" customWidth="1"/>
    <col min="14342" max="14342" width="14.07421875" style="1001" customWidth="1"/>
    <col min="14343" max="14343" width="3" style="1001" customWidth="1"/>
    <col min="14344" max="14344" width="16.4609375" style="1001" customWidth="1"/>
    <col min="14345" max="14345" width="3.84375" style="1001" customWidth="1"/>
    <col min="14346" max="14593" width="8.69140625" style="1001"/>
    <col min="14594" max="14594" width="43.07421875" style="1001" customWidth="1"/>
    <col min="14595" max="14595" width="15.07421875" style="1001" customWidth="1"/>
    <col min="14596" max="14596" width="9.84375" style="1001" customWidth="1"/>
    <col min="14597" max="14597" width="44.07421875" style="1001" customWidth="1"/>
    <col min="14598" max="14598" width="14.07421875" style="1001" customWidth="1"/>
    <col min="14599" max="14599" width="3" style="1001" customWidth="1"/>
    <col min="14600" max="14600" width="16.4609375" style="1001" customWidth="1"/>
    <col min="14601" max="14601" width="3.84375" style="1001" customWidth="1"/>
    <col min="14602" max="14849" width="8.69140625" style="1001"/>
    <col min="14850" max="14850" width="43.07421875" style="1001" customWidth="1"/>
    <col min="14851" max="14851" width="15.07421875" style="1001" customWidth="1"/>
    <col min="14852" max="14852" width="9.84375" style="1001" customWidth="1"/>
    <col min="14853" max="14853" width="44.07421875" style="1001" customWidth="1"/>
    <col min="14854" max="14854" width="14.07421875" style="1001" customWidth="1"/>
    <col min="14855" max="14855" width="3" style="1001" customWidth="1"/>
    <col min="14856" max="14856" width="16.4609375" style="1001" customWidth="1"/>
    <col min="14857" max="14857" width="3.84375" style="1001" customWidth="1"/>
    <col min="14858" max="15105" width="8.69140625" style="1001"/>
    <col min="15106" max="15106" width="43.07421875" style="1001" customWidth="1"/>
    <col min="15107" max="15107" width="15.07421875" style="1001" customWidth="1"/>
    <col min="15108" max="15108" width="9.84375" style="1001" customWidth="1"/>
    <col min="15109" max="15109" width="44.07421875" style="1001" customWidth="1"/>
    <col min="15110" max="15110" width="14.07421875" style="1001" customWidth="1"/>
    <col min="15111" max="15111" width="3" style="1001" customWidth="1"/>
    <col min="15112" max="15112" width="16.4609375" style="1001" customWidth="1"/>
    <col min="15113" max="15113" width="3.84375" style="1001" customWidth="1"/>
    <col min="15114" max="15361" width="8.69140625" style="1001"/>
    <col min="15362" max="15362" width="43.07421875" style="1001" customWidth="1"/>
    <col min="15363" max="15363" width="15.07421875" style="1001" customWidth="1"/>
    <col min="15364" max="15364" width="9.84375" style="1001" customWidth="1"/>
    <col min="15365" max="15365" width="44.07421875" style="1001" customWidth="1"/>
    <col min="15366" max="15366" width="14.07421875" style="1001" customWidth="1"/>
    <col min="15367" max="15367" width="3" style="1001" customWidth="1"/>
    <col min="15368" max="15368" width="16.4609375" style="1001" customWidth="1"/>
    <col min="15369" max="15369" width="3.84375" style="1001" customWidth="1"/>
    <col min="15370" max="15617" width="8.69140625" style="1001"/>
    <col min="15618" max="15618" width="43.07421875" style="1001" customWidth="1"/>
    <col min="15619" max="15619" width="15.07421875" style="1001" customWidth="1"/>
    <col min="15620" max="15620" width="9.84375" style="1001" customWidth="1"/>
    <col min="15621" max="15621" width="44.07421875" style="1001" customWidth="1"/>
    <col min="15622" max="15622" width="14.07421875" style="1001" customWidth="1"/>
    <col min="15623" max="15623" width="3" style="1001" customWidth="1"/>
    <col min="15624" max="15624" width="16.4609375" style="1001" customWidth="1"/>
    <col min="15625" max="15625" width="3.84375" style="1001" customWidth="1"/>
    <col min="15626" max="15873" width="8.69140625" style="1001"/>
    <col min="15874" max="15874" width="43.07421875" style="1001" customWidth="1"/>
    <col min="15875" max="15875" width="15.07421875" style="1001" customWidth="1"/>
    <col min="15876" max="15876" width="9.84375" style="1001" customWidth="1"/>
    <col min="15877" max="15877" width="44.07421875" style="1001" customWidth="1"/>
    <col min="15878" max="15878" width="14.07421875" style="1001" customWidth="1"/>
    <col min="15879" max="15879" width="3" style="1001" customWidth="1"/>
    <col min="15880" max="15880" width="16.4609375" style="1001" customWidth="1"/>
    <col min="15881" max="15881" width="3.84375" style="1001" customWidth="1"/>
    <col min="15882" max="16129" width="8.69140625" style="1001"/>
    <col min="16130" max="16130" width="43.07421875" style="1001" customWidth="1"/>
    <col min="16131" max="16131" width="15.07421875" style="1001" customWidth="1"/>
    <col min="16132" max="16132" width="9.84375" style="1001" customWidth="1"/>
    <col min="16133" max="16133" width="44.07421875" style="1001" customWidth="1"/>
    <col min="16134" max="16134" width="14.07421875" style="1001" customWidth="1"/>
    <col min="16135" max="16135" width="3" style="1001" customWidth="1"/>
    <col min="16136" max="16136" width="16.4609375" style="1001" customWidth="1"/>
    <col min="16137" max="16137" width="3.84375" style="1001" customWidth="1"/>
    <col min="16138" max="16384" width="8.69140625" style="1001"/>
  </cols>
  <sheetData>
    <row r="1" spans="1:8" ht="20">
      <c r="A1" s="1274" t="s">
        <v>942</v>
      </c>
      <c r="B1" s="1274"/>
      <c r="C1" s="1274"/>
      <c r="D1" s="1274"/>
      <c r="E1" s="1274"/>
      <c r="F1" s="1274"/>
      <c r="G1" s="1274"/>
      <c r="H1" s="1274"/>
    </row>
    <row r="2" spans="1:8" ht="20">
      <c r="A2" s="1274" t="str">
        <f>'Attachment H-29A'!D5</f>
        <v>Transource Pennsylvania, LLC</v>
      </c>
      <c r="B2" s="1274"/>
      <c r="C2" s="1274"/>
      <c r="D2" s="1274"/>
      <c r="E2" s="1274"/>
      <c r="F2" s="1274"/>
      <c r="G2" s="1274"/>
      <c r="H2" s="1274"/>
    </row>
    <row r="3" spans="1:8" ht="20">
      <c r="A3" s="1274" t="str">
        <f>'Attachment H-29A'!J3</f>
        <v>For  the 12 months ended 12/31/2024</v>
      </c>
      <c r="B3" s="1274"/>
      <c r="C3" s="1274"/>
      <c r="D3" s="1274"/>
      <c r="E3" s="1274"/>
      <c r="F3" s="1274"/>
      <c r="G3" s="1274"/>
      <c r="H3" s="1274"/>
    </row>
    <row r="4" spans="1:8" ht="20">
      <c r="A4" s="999"/>
      <c r="B4" s="999"/>
      <c r="C4" s="999"/>
      <c r="D4" s="999"/>
      <c r="E4" s="999"/>
      <c r="F4" s="999"/>
      <c r="G4" s="999"/>
      <c r="H4" s="1002" t="s">
        <v>599</v>
      </c>
    </row>
    <row r="5" spans="1:8" s="1007" customFormat="1" ht="18">
      <c r="A5" s="1003"/>
      <c r="B5" s="1004"/>
      <c r="C5" s="1005"/>
      <c r="D5" s="1005"/>
      <c r="E5" s="1006"/>
      <c r="F5" s="1005"/>
      <c r="G5" s="1005"/>
      <c r="H5" s="1005"/>
    </row>
    <row r="6" spans="1:8" ht="13">
      <c r="A6" s="1008" t="s">
        <v>8</v>
      </c>
      <c r="B6" s="1275" t="s">
        <v>948</v>
      </c>
      <c r="C6" s="1275"/>
      <c r="D6" s="1009"/>
      <c r="E6" s="1275" t="s">
        <v>949</v>
      </c>
      <c r="F6" s="1275"/>
      <c r="G6" s="1009"/>
      <c r="H6" s="1008" t="s">
        <v>881</v>
      </c>
    </row>
    <row r="7" spans="1:8" ht="13">
      <c r="A7" s="1008" t="s">
        <v>10</v>
      </c>
      <c r="B7" s="1276">
        <v>2023</v>
      </c>
      <c r="C7" s="1277"/>
      <c r="D7" s="1010" t="s">
        <v>882</v>
      </c>
      <c r="E7" s="1276">
        <v>2024</v>
      </c>
      <c r="F7" s="1277"/>
      <c r="G7" s="1009"/>
      <c r="H7" s="1011" t="s">
        <v>950</v>
      </c>
    </row>
    <row r="8" spans="1:8" ht="13">
      <c r="A8" s="1008">
        <v>1</v>
      </c>
      <c r="B8" s="1012" t="s">
        <v>952</v>
      </c>
      <c r="C8" s="1013" t="s">
        <v>190</v>
      </c>
      <c r="D8" s="1009"/>
      <c r="E8" s="1009"/>
      <c r="F8" s="1013" t="s">
        <v>191</v>
      </c>
      <c r="G8" s="1009"/>
    </row>
    <row r="9" spans="1:8" ht="13">
      <c r="A9" s="1008"/>
      <c r="B9" s="1012"/>
      <c r="C9" s="1013"/>
      <c r="D9" s="1009"/>
      <c r="E9" s="1009"/>
      <c r="F9" s="1013"/>
      <c r="G9" s="1009"/>
    </row>
    <row r="10" spans="1:8">
      <c r="A10" s="1008">
        <f>A8+1</f>
        <v>2</v>
      </c>
      <c r="B10" s="1014"/>
      <c r="C10" s="908"/>
      <c r="D10" s="1009"/>
      <c r="E10" s="1014"/>
      <c r="F10" s="908"/>
      <c r="G10" s="1015"/>
      <c r="H10" s="1015"/>
    </row>
    <row r="11" spans="1:8">
      <c r="A11" s="1008">
        <f>A10+1</f>
        <v>3</v>
      </c>
      <c r="B11" s="1014"/>
      <c r="C11" s="908"/>
      <c r="D11" s="1016"/>
      <c r="E11" s="1014"/>
      <c r="F11" s="908"/>
      <c r="G11" s="1015"/>
      <c r="H11" s="1015"/>
    </row>
    <row r="12" spans="1:8" ht="13" thickBot="1">
      <c r="A12" s="1008">
        <f>A11+1</f>
        <v>4</v>
      </c>
      <c r="B12" s="1017" t="s">
        <v>953</v>
      </c>
      <c r="C12" s="1199">
        <f>SUM(C10:C11)</f>
        <v>0</v>
      </c>
      <c r="D12" s="1019"/>
      <c r="E12" s="1017" t="s">
        <v>954</v>
      </c>
      <c r="F12" s="1199">
        <f>SUM(F10:F11)</f>
        <v>0</v>
      </c>
      <c r="G12" s="1098"/>
      <c r="H12" s="1097">
        <f>AVERAGE(C12,F12)</f>
        <v>0</v>
      </c>
    </row>
    <row r="13" spans="1:8" ht="14.5" customHeight="1" thickTop="1">
      <c r="A13" s="1008"/>
      <c r="B13" s="1009"/>
      <c r="C13" s="1009"/>
      <c r="D13" s="1009"/>
      <c r="E13" s="1009"/>
      <c r="F13" s="1020" t="s">
        <v>2</v>
      </c>
      <c r="G13" s="1009"/>
      <c r="H13" s="1009"/>
    </row>
    <row r="14" spans="1:8" ht="14.5" customHeight="1">
      <c r="A14" s="1008">
        <f>A12+1</f>
        <v>5</v>
      </c>
      <c r="B14" s="1012" t="s">
        <v>883</v>
      </c>
      <c r="C14" s="1009"/>
      <c r="D14" s="1009"/>
      <c r="E14" s="1009"/>
      <c r="F14" s="1020"/>
      <c r="G14" s="1009"/>
      <c r="H14" s="1009"/>
    </row>
    <row r="15" spans="1:8">
      <c r="A15" s="1008">
        <f>A14+1</f>
        <v>6</v>
      </c>
      <c r="B15" s="1094" t="s">
        <v>1026</v>
      </c>
      <c r="C15" s="1099">
        <v>-2056.4499999999998</v>
      </c>
      <c r="D15" s="1009"/>
      <c r="E15" s="1094" t="s">
        <v>1026</v>
      </c>
      <c r="F15" s="1099">
        <v>0</v>
      </c>
      <c r="G15" s="1015"/>
      <c r="H15" s="1098">
        <f>AVERAGE(C15,F15)</f>
        <v>-1028.2249999999999</v>
      </c>
    </row>
    <row r="16" spans="1:8">
      <c r="A16" s="1008">
        <f>A15+1</f>
        <v>7</v>
      </c>
      <c r="B16" s="1094" t="s">
        <v>1027</v>
      </c>
      <c r="C16" s="1099">
        <v>-14.07</v>
      </c>
      <c r="D16" s="1016"/>
      <c r="E16" s="1094" t="s">
        <v>1027</v>
      </c>
      <c r="F16" s="1099">
        <v>0</v>
      </c>
      <c r="G16" s="1015"/>
      <c r="H16" s="1098">
        <f t="shared" ref="H16:H27" si="0">AVERAGE(C16,F16)</f>
        <v>-7.0350000000000001</v>
      </c>
    </row>
    <row r="17" spans="1:8">
      <c r="A17" s="1008">
        <f>A16+1</f>
        <v>8</v>
      </c>
      <c r="B17" s="1094" t="s">
        <v>1028</v>
      </c>
      <c r="C17" s="1099">
        <v>59905.13</v>
      </c>
      <c r="D17" s="1016"/>
      <c r="E17" s="1094" t="s">
        <v>1028</v>
      </c>
      <c r="F17" s="1099">
        <v>0</v>
      </c>
      <c r="G17" s="1015"/>
      <c r="H17" s="1098">
        <f t="shared" si="0"/>
        <v>29952.564999999999</v>
      </c>
    </row>
    <row r="18" spans="1:8">
      <c r="A18" s="1008">
        <f>A17+1</f>
        <v>9</v>
      </c>
      <c r="B18" s="1094" t="s">
        <v>1029</v>
      </c>
      <c r="C18" s="1099">
        <v>-28529.34</v>
      </c>
      <c r="D18" s="1016"/>
      <c r="E18" s="1094" t="s">
        <v>1029</v>
      </c>
      <c r="F18" s="1099">
        <v>0</v>
      </c>
      <c r="G18" s="1015"/>
      <c r="H18" s="1098">
        <f t="shared" si="0"/>
        <v>-14264.67</v>
      </c>
    </row>
    <row r="19" spans="1:8">
      <c r="A19" s="1008">
        <f t="shared" ref="A19:A32" si="1">A18+1</f>
        <v>10</v>
      </c>
      <c r="B19" s="1094" t="s">
        <v>1030</v>
      </c>
      <c r="C19" s="1099">
        <v>24304.53</v>
      </c>
      <c r="D19" s="1016"/>
      <c r="E19" s="1094" t="s">
        <v>1030</v>
      </c>
      <c r="F19" s="1099">
        <v>0</v>
      </c>
      <c r="G19" s="1015"/>
      <c r="H19" s="1098">
        <f t="shared" si="0"/>
        <v>12152.264999999999</v>
      </c>
    </row>
    <row r="20" spans="1:8">
      <c r="A20" s="1008">
        <f t="shared" si="1"/>
        <v>11</v>
      </c>
      <c r="B20" s="1094" t="s">
        <v>1031</v>
      </c>
      <c r="C20" s="1099">
        <v>0</v>
      </c>
      <c r="D20" s="1016"/>
      <c r="E20" s="1094" t="s">
        <v>1031</v>
      </c>
      <c r="F20" s="1099">
        <v>0</v>
      </c>
      <c r="G20" s="1015"/>
      <c r="H20" s="1098">
        <f t="shared" si="0"/>
        <v>0</v>
      </c>
    </row>
    <row r="21" spans="1:8">
      <c r="A21" s="1008">
        <f t="shared" si="1"/>
        <v>12</v>
      </c>
      <c r="B21" s="1094" t="s">
        <v>1032</v>
      </c>
      <c r="C21" s="1099">
        <v>0</v>
      </c>
      <c r="D21" s="1016"/>
      <c r="E21" s="1094" t="s">
        <v>1032</v>
      </c>
      <c r="F21" s="1099">
        <v>0</v>
      </c>
      <c r="G21" s="1015"/>
      <c r="H21" s="1098">
        <f t="shared" si="0"/>
        <v>0</v>
      </c>
    </row>
    <row r="22" spans="1:8">
      <c r="A22" s="1008">
        <f t="shared" si="1"/>
        <v>13</v>
      </c>
      <c r="B22" s="1094" t="s">
        <v>1033</v>
      </c>
      <c r="C22" s="1099">
        <v>0</v>
      </c>
      <c r="D22" s="1016"/>
      <c r="E22" s="1094" t="s">
        <v>1033</v>
      </c>
      <c r="F22" s="1099">
        <v>0</v>
      </c>
      <c r="G22" s="1015"/>
      <c r="H22" s="1098">
        <f t="shared" si="0"/>
        <v>0</v>
      </c>
    </row>
    <row r="23" spans="1:8">
      <c r="A23" s="1008">
        <f t="shared" si="1"/>
        <v>14</v>
      </c>
      <c r="B23" s="1094" t="s">
        <v>1034</v>
      </c>
      <c r="C23" s="1099">
        <v>0</v>
      </c>
      <c r="D23" s="1016"/>
      <c r="E23" s="1094" t="s">
        <v>1034</v>
      </c>
      <c r="F23" s="1099">
        <v>0</v>
      </c>
      <c r="G23" s="1015"/>
      <c r="H23" s="1098">
        <f t="shared" si="0"/>
        <v>0</v>
      </c>
    </row>
    <row r="24" spans="1:8">
      <c r="A24" s="1008">
        <f t="shared" si="1"/>
        <v>15</v>
      </c>
      <c r="B24" s="1094" t="s">
        <v>1035</v>
      </c>
      <c r="C24" s="1099">
        <v>0</v>
      </c>
      <c r="D24" s="1016"/>
      <c r="E24" s="1094" t="s">
        <v>1035</v>
      </c>
      <c r="F24" s="1099">
        <v>24304.53</v>
      </c>
      <c r="G24" s="1015"/>
      <c r="H24" s="1098">
        <f t="shared" si="0"/>
        <v>12152.264999999999</v>
      </c>
    </row>
    <row r="25" spans="1:8">
      <c r="A25" s="1008">
        <f t="shared" si="1"/>
        <v>16</v>
      </c>
      <c r="B25" s="1094" t="s">
        <v>1036</v>
      </c>
      <c r="C25" s="1099">
        <v>0</v>
      </c>
      <c r="D25" s="1016"/>
      <c r="E25" s="1094" t="s">
        <v>1036</v>
      </c>
      <c r="F25" s="1099">
        <v>-14.07</v>
      </c>
      <c r="G25" s="1015"/>
      <c r="H25" s="1098">
        <f t="shared" si="0"/>
        <v>-7.0350000000000001</v>
      </c>
    </row>
    <row r="26" spans="1:8">
      <c r="A26" s="1008">
        <f t="shared" si="1"/>
        <v>17</v>
      </c>
      <c r="B26" s="1094" t="s">
        <v>1037</v>
      </c>
      <c r="C26" s="1099">
        <v>0</v>
      </c>
      <c r="D26" s="1016"/>
      <c r="E26" s="1094" t="s">
        <v>1037</v>
      </c>
      <c r="F26" s="1099">
        <v>46651.48</v>
      </c>
      <c r="G26" s="1015"/>
      <c r="H26" s="1098">
        <f t="shared" si="0"/>
        <v>23325.74</v>
      </c>
    </row>
    <row r="27" spans="1:8">
      <c r="A27" s="1008">
        <f t="shared" si="1"/>
        <v>18</v>
      </c>
      <c r="B27" s="1094" t="s">
        <v>1038</v>
      </c>
      <c r="C27" s="1099">
        <v>0</v>
      </c>
      <c r="D27" s="1016"/>
      <c r="E27" s="1094" t="s">
        <v>1038</v>
      </c>
      <c r="F27" s="1099">
        <v>-28530.18</v>
      </c>
      <c r="G27" s="1015"/>
      <c r="H27" s="1098">
        <f t="shared" si="0"/>
        <v>-14265.09</v>
      </c>
    </row>
    <row r="28" spans="1:8">
      <c r="A28" s="1008">
        <f t="shared" si="1"/>
        <v>19</v>
      </c>
      <c r="B28" s="1094"/>
      <c r="C28" s="1099"/>
      <c r="D28" s="1016"/>
      <c r="E28" s="1094"/>
      <c r="F28" s="1099"/>
      <c r="G28" s="1015"/>
      <c r="H28" s="1098"/>
    </row>
    <row r="29" spans="1:8">
      <c r="A29" s="1008">
        <f t="shared" si="1"/>
        <v>20</v>
      </c>
      <c r="B29" s="1094"/>
      <c r="C29" s="1099"/>
      <c r="D29" s="1016"/>
      <c r="E29" s="1094"/>
      <c r="F29" s="1099"/>
      <c r="G29" s="1015"/>
      <c r="H29" s="1098"/>
    </row>
    <row r="30" spans="1:8">
      <c r="A30" s="1008">
        <f t="shared" si="1"/>
        <v>21</v>
      </c>
      <c r="B30" s="1094"/>
      <c r="C30" s="1099"/>
      <c r="D30" s="1016"/>
      <c r="E30" s="1094"/>
      <c r="F30" s="1099"/>
      <c r="G30" s="1015"/>
      <c r="H30" s="1098"/>
    </row>
    <row r="31" spans="1:8">
      <c r="A31" s="1008">
        <f t="shared" si="1"/>
        <v>22</v>
      </c>
      <c r="B31" s="1094"/>
      <c r="C31" s="1099"/>
      <c r="D31" s="1016"/>
      <c r="E31" s="1094"/>
      <c r="F31" s="1099"/>
      <c r="G31" s="1009"/>
      <c r="H31" s="1098"/>
    </row>
    <row r="32" spans="1:8" ht="13" thickBot="1">
      <c r="A32" s="1008">
        <f t="shared" si="1"/>
        <v>23</v>
      </c>
      <c r="B32" s="1017" t="s">
        <v>884</v>
      </c>
      <c r="C32" s="1018">
        <f>SUM(C15:C31)</f>
        <v>53609.8</v>
      </c>
      <c r="D32" s="1019"/>
      <c r="E32" s="1017" t="s">
        <v>885</v>
      </c>
      <c r="F32" s="1018">
        <f>SUM(F15:F31)</f>
        <v>42411.76</v>
      </c>
      <c r="G32" s="1009"/>
      <c r="H32" s="1018">
        <f>AVERAGE(C32,F32)</f>
        <v>48010.78</v>
      </c>
    </row>
    <row r="33" spans="1:8" ht="16" thickTop="1">
      <c r="A33" s="1008"/>
      <c r="B33" s="1009"/>
      <c r="C33"/>
      <c r="D33"/>
      <c r="E33"/>
      <c r="F33"/>
      <c r="G33" s="1009"/>
      <c r="H33" s="1009"/>
    </row>
    <row r="34" spans="1:8" ht="13">
      <c r="A34" s="1008">
        <f>A32+1</f>
        <v>24</v>
      </c>
      <c r="B34" s="1012" t="s">
        <v>886</v>
      </c>
      <c r="C34" s="1009"/>
      <c r="D34" s="1009"/>
      <c r="E34" s="1009"/>
      <c r="F34" s="1015"/>
      <c r="G34" s="1009"/>
      <c r="H34" s="1009"/>
    </row>
    <row r="35" spans="1:8" ht="11.5" customHeight="1">
      <c r="A35" s="1008"/>
      <c r="B35" s="1009"/>
      <c r="C35" s="1010" t="s">
        <v>2</v>
      </c>
      <c r="D35" s="1009"/>
      <c r="E35" s="1009"/>
      <c r="F35" s="1010" t="s">
        <v>2</v>
      </c>
      <c r="G35" s="1009"/>
      <c r="H35" s="1009"/>
    </row>
    <row r="36" spans="1:8">
      <c r="A36" s="1008">
        <f>A34+1</f>
        <v>25</v>
      </c>
      <c r="B36" s="1095" t="s">
        <v>1039</v>
      </c>
      <c r="C36" s="1099">
        <v>0.22</v>
      </c>
      <c r="D36" s="1009"/>
      <c r="E36" s="1095" t="s">
        <v>1039</v>
      </c>
      <c r="F36" s="908">
        <v>0</v>
      </c>
      <c r="G36" s="1009"/>
      <c r="H36" s="1015">
        <f>AVERAGE(C36,F36)</f>
        <v>0.11</v>
      </c>
    </row>
    <row r="37" spans="1:8">
      <c r="A37" s="1008">
        <f>A36+1</f>
        <v>26</v>
      </c>
      <c r="B37" s="1095" t="s">
        <v>1040</v>
      </c>
      <c r="C37" s="1099">
        <v>0</v>
      </c>
      <c r="D37" s="1009"/>
      <c r="E37" s="1095" t="s">
        <v>1040</v>
      </c>
      <c r="F37" s="908">
        <v>0</v>
      </c>
      <c r="G37" s="1009"/>
      <c r="H37" s="1015">
        <f t="shared" ref="H37:H62" si="2">AVERAGE(C37,F37)</f>
        <v>0</v>
      </c>
    </row>
    <row r="38" spans="1:8">
      <c r="A38" s="1008">
        <f>A37+1</f>
        <v>27</v>
      </c>
      <c r="B38" s="1095" t="s">
        <v>1041</v>
      </c>
      <c r="C38" s="1099">
        <v>0</v>
      </c>
      <c r="D38" s="1009"/>
      <c r="E38" s="1095" t="s">
        <v>1041</v>
      </c>
      <c r="F38" s="908">
        <v>0</v>
      </c>
      <c r="G38" s="1009"/>
      <c r="H38" s="1015">
        <f t="shared" si="2"/>
        <v>0</v>
      </c>
    </row>
    <row r="39" spans="1:8">
      <c r="A39" s="1008">
        <f t="shared" ref="A39:A64" si="3">A38+1</f>
        <v>28</v>
      </c>
      <c r="B39" s="1095" t="s">
        <v>1042</v>
      </c>
      <c r="C39" s="1099">
        <v>0</v>
      </c>
      <c r="D39" s="1009"/>
      <c r="E39" s="1095" t="s">
        <v>1042</v>
      </c>
      <c r="F39" s="908">
        <v>0</v>
      </c>
      <c r="G39" s="1009"/>
      <c r="H39" s="1015">
        <f t="shared" si="2"/>
        <v>0</v>
      </c>
    </row>
    <row r="40" spans="1:8">
      <c r="A40" s="1008">
        <f t="shared" si="3"/>
        <v>29</v>
      </c>
      <c r="B40" s="1095" t="s">
        <v>1043</v>
      </c>
      <c r="C40" s="1099">
        <v>0</v>
      </c>
      <c r="D40" s="1009"/>
      <c r="E40" s="1095" t="s">
        <v>1043</v>
      </c>
      <c r="F40" s="908">
        <v>0</v>
      </c>
      <c r="G40" s="1009"/>
      <c r="H40" s="1015">
        <f t="shared" si="2"/>
        <v>0</v>
      </c>
    </row>
    <row r="41" spans="1:8">
      <c r="A41" s="1008">
        <f t="shared" si="3"/>
        <v>30</v>
      </c>
      <c r="B41" s="1095" t="s">
        <v>1044</v>
      </c>
      <c r="C41" s="1099">
        <v>0</v>
      </c>
      <c r="D41" s="1009"/>
      <c r="E41" s="1095" t="s">
        <v>1041</v>
      </c>
      <c r="F41" s="908">
        <v>0</v>
      </c>
      <c r="G41" s="1009"/>
      <c r="H41" s="1015">
        <f t="shared" si="2"/>
        <v>0</v>
      </c>
    </row>
    <row r="42" spans="1:8">
      <c r="A42" s="1008">
        <f t="shared" si="3"/>
        <v>31</v>
      </c>
      <c r="B42" s="1095" t="s">
        <v>1045</v>
      </c>
      <c r="C42" s="1099">
        <v>0</v>
      </c>
      <c r="D42" s="1009"/>
      <c r="E42" s="1095" t="s">
        <v>1041</v>
      </c>
      <c r="F42" s="908">
        <v>0</v>
      </c>
      <c r="G42" s="1009"/>
      <c r="H42" s="1015">
        <f t="shared" si="2"/>
        <v>0</v>
      </c>
    </row>
    <row r="43" spans="1:8">
      <c r="A43" s="1008">
        <f t="shared" si="3"/>
        <v>32</v>
      </c>
      <c r="B43" s="1021" t="s">
        <v>1046</v>
      </c>
      <c r="C43" s="1099">
        <v>47601.74</v>
      </c>
      <c r="D43" s="1009"/>
      <c r="E43" s="1021" t="s">
        <v>1046</v>
      </c>
      <c r="F43" s="908">
        <v>0</v>
      </c>
      <c r="G43" s="1009"/>
      <c r="H43" s="1015">
        <f t="shared" si="2"/>
        <v>23800.87</v>
      </c>
    </row>
    <row r="44" spans="1:8">
      <c r="A44" s="1008">
        <f t="shared" si="3"/>
        <v>33</v>
      </c>
      <c r="B44" s="1021" t="s">
        <v>1026</v>
      </c>
      <c r="C44" s="908">
        <v>-498.28</v>
      </c>
      <c r="D44" s="1009"/>
      <c r="E44" s="1021" t="s">
        <v>1026</v>
      </c>
      <c r="F44" s="908">
        <v>0</v>
      </c>
      <c r="G44" s="1009"/>
      <c r="H44" s="1015">
        <f t="shared" si="2"/>
        <v>-249.14</v>
      </c>
    </row>
    <row r="45" spans="1:8">
      <c r="A45" s="1008">
        <f t="shared" si="3"/>
        <v>34</v>
      </c>
      <c r="B45" s="1021" t="s">
        <v>1047</v>
      </c>
      <c r="C45" s="908">
        <v>497693.2</v>
      </c>
      <c r="D45" s="1009"/>
      <c r="E45" s="1021" t="s">
        <v>1047</v>
      </c>
      <c r="F45" s="908">
        <v>0</v>
      </c>
      <c r="G45" s="1009"/>
      <c r="H45" s="1015">
        <f t="shared" si="2"/>
        <v>248846.6</v>
      </c>
    </row>
    <row r="46" spans="1:8">
      <c r="A46" s="1008">
        <f t="shared" si="3"/>
        <v>35</v>
      </c>
      <c r="B46" s="1021" t="s">
        <v>1028</v>
      </c>
      <c r="C46" s="908">
        <v>14234.6</v>
      </c>
      <c r="D46" s="1009"/>
      <c r="E46" s="1021" t="s">
        <v>1028</v>
      </c>
      <c r="F46" s="908">
        <v>0</v>
      </c>
      <c r="G46" s="1009"/>
      <c r="H46" s="1015">
        <f t="shared" si="2"/>
        <v>7117.3</v>
      </c>
    </row>
    <row r="47" spans="1:8">
      <c r="A47" s="1008">
        <f t="shared" si="3"/>
        <v>36</v>
      </c>
      <c r="B47" s="1021" t="s">
        <v>1030</v>
      </c>
      <c r="C47" s="908">
        <v>5775.22</v>
      </c>
      <c r="D47" s="1009"/>
      <c r="E47" s="1021" t="s">
        <v>1030</v>
      </c>
      <c r="F47" s="908">
        <v>0</v>
      </c>
      <c r="G47" s="1009"/>
      <c r="H47" s="1015">
        <f t="shared" si="2"/>
        <v>2887.61</v>
      </c>
    </row>
    <row r="48" spans="1:8">
      <c r="A48" s="1008">
        <f t="shared" si="3"/>
        <v>37</v>
      </c>
      <c r="B48" s="1021" t="s">
        <v>1029</v>
      </c>
      <c r="C48" s="908">
        <v>-6779.11</v>
      </c>
      <c r="D48" s="1009"/>
      <c r="E48" s="1021" t="s">
        <v>1029</v>
      </c>
      <c r="F48" s="908">
        <v>0</v>
      </c>
      <c r="G48" s="1009"/>
      <c r="H48" s="1015">
        <f t="shared" si="2"/>
        <v>-3389.5549999999998</v>
      </c>
    </row>
    <row r="49" spans="1:8">
      <c r="A49" s="1008">
        <f t="shared" si="3"/>
        <v>38</v>
      </c>
      <c r="B49" s="1021" t="s">
        <v>1048</v>
      </c>
      <c r="C49" s="908">
        <v>-3.34</v>
      </c>
      <c r="D49" s="1009"/>
      <c r="E49" s="1021" t="s">
        <v>1048</v>
      </c>
      <c r="F49" s="908">
        <v>0</v>
      </c>
      <c r="G49" s="1009"/>
      <c r="H49" s="1015">
        <f t="shared" si="2"/>
        <v>-1.67</v>
      </c>
    </row>
    <row r="50" spans="1:8">
      <c r="A50" s="1008">
        <f t="shared" si="3"/>
        <v>39</v>
      </c>
      <c r="B50" s="1021" t="s">
        <v>1049</v>
      </c>
      <c r="C50" s="908">
        <v>-86542.89</v>
      </c>
      <c r="D50" s="1009"/>
      <c r="E50" s="1021" t="s">
        <v>1049</v>
      </c>
      <c r="F50" s="908">
        <v>0</v>
      </c>
      <c r="G50" s="1009"/>
      <c r="H50" s="1015">
        <f t="shared" si="2"/>
        <v>-43271.445</v>
      </c>
    </row>
    <row r="51" spans="1:8" s="1022" customFormat="1">
      <c r="A51" s="1008">
        <f t="shared" si="3"/>
        <v>40</v>
      </c>
      <c r="B51" s="1021" t="s">
        <v>1050</v>
      </c>
      <c r="C51" s="908">
        <v>1055.32</v>
      </c>
      <c r="D51" s="1009"/>
      <c r="E51" s="1021" t="s">
        <v>1050</v>
      </c>
      <c r="F51" s="908">
        <v>0</v>
      </c>
      <c r="G51" s="1016"/>
      <c r="H51" s="1015">
        <f t="shared" si="2"/>
        <v>527.66</v>
      </c>
    </row>
    <row r="52" spans="1:8" s="1022" customFormat="1">
      <c r="A52" s="1008">
        <f t="shared" si="3"/>
        <v>41</v>
      </c>
      <c r="B52" s="1021" t="s">
        <v>1051</v>
      </c>
      <c r="C52" s="908">
        <v>-7.0000000000000007E-2</v>
      </c>
      <c r="D52" s="1009"/>
      <c r="E52" s="1021" t="s">
        <v>1051</v>
      </c>
      <c r="F52" s="908">
        <v>0</v>
      </c>
      <c r="G52" s="1016"/>
      <c r="H52" s="1015">
        <f t="shared" si="2"/>
        <v>-3.5000000000000003E-2</v>
      </c>
    </row>
    <row r="53" spans="1:8" s="1022" customFormat="1">
      <c r="A53" s="1008">
        <f t="shared" si="3"/>
        <v>42</v>
      </c>
      <c r="B53" s="1021" t="s">
        <v>1052</v>
      </c>
      <c r="C53" s="908">
        <v>0</v>
      </c>
      <c r="D53" s="1009"/>
      <c r="E53" s="1021" t="s">
        <v>1052</v>
      </c>
      <c r="F53" s="908">
        <v>25342.5</v>
      </c>
      <c r="G53" s="1016"/>
      <c r="H53" s="1015">
        <f t="shared" si="2"/>
        <v>12671.25</v>
      </c>
    </row>
    <row r="54" spans="1:8" s="1022" customFormat="1">
      <c r="A54" s="1008">
        <f t="shared" si="3"/>
        <v>43</v>
      </c>
      <c r="B54" s="1021" t="s">
        <v>1053</v>
      </c>
      <c r="C54" s="908">
        <v>0</v>
      </c>
      <c r="D54" s="1009"/>
      <c r="E54" s="1021" t="s">
        <v>1053</v>
      </c>
      <c r="F54" s="908">
        <v>0.27</v>
      </c>
      <c r="G54" s="1016"/>
      <c r="H54" s="1015">
        <f t="shared" si="2"/>
        <v>0.13500000000000001</v>
      </c>
    </row>
    <row r="55" spans="1:8" s="1022" customFormat="1">
      <c r="A55" s="1008">
        <f t="shared" si="3"/>
        <v>44</v>
      </c>
      <c r="B55" s="1021" t="s">
        <v>1054</v>
      </c>
      <c r="C55" s="908">
        <v>0</v>
      </c>
      <c r="D55" s="1009"/>
      <c r="E55" s="1021" t="s">
        <v>1054</v>
      </c>
      <c r="F55" s="908">
        <v>933902.72</v>
      </c>
      <c r="G55" s="1016"/>
      <c r="H55" s="1015">
        <f t="shared" si="2"/>
        <v>466951.36</v>
      </c>
    </row>
    <row r="56" spans="1:8" s="1022" customFormat="1">
      <c r="A56" s="1008">
        <f t="shared" si="3"/>
        <v>45</v>
      </c>
      <c r="B56" s="1021" t="s">
        <v>1035</v>
      </c>
      <c r="C56" s="908">
        <v>0</v>
      </c>
      <c r="D56" s="1009"/>
      <c r="E56" s="1021" t="s">
        <v>1035</v>
      </c>
      <c r="F56" s="908">
        <v>5775.22</v>
      </c>
      <c r="G56" s="1016"/>
      <c r="H56" s="1015">
        <f t="shared" si="2"/>
        <v>2887.61</v>
      </c>
    </row>
    <row r="57" spans="1:8" s="1022" customFormat="1">
      <c r="A57" s="1008">
        <f t="shared" si="3"/>
        <v>46</v>
      </c>
      <c r="B57" s="1021" t="s">
        <v>1036</v>
      </c>
      <c r="C57" s="908">
        <v>0</v>
      </c>
      <c r="D57" s="1009"/>
      <c r="E57" s="1021" t="s">
        <v>1036</v>
      </c>
      <c r="F57" s="908">
        <v>-3.34</v>
      </c>
      <c r="G57" s="1016"/>
      <c r="H57" s="1015">
        <f t="shared" si="2"/>
        <v>-1.67</v>
      </c>
    </row>
    <row r="58" spans="1:8" s="1022" customFormat="1">
      <c r="A58" s="1008">
        <f t="shared" si="3"/>
        <v>47</v>
      </c>
      <c r="B58" s="1021" t="s">
        <v>1037</v>
      </c>
      <c r="C58" s="908">
        <v>0</v>
      </c>
      <c r="D58" s="1009"/>
      <c r="E58" s="1021" t="s">
        <v>1037</v>
      </c>
      <c r="F58" s="908">
        <v>11085.28</v>
      </c>
      <c r="G58" s="1016"/>
      <c r="H58" s="1015">
        <f t="shared" si="2"/>
        <v>5542.64</v>
      </c>
    </row>
    <row r="59" spans="1:8" s="1022" customFormat="1">
      <c r="A59" s="1008">
        <f t="shared" si="3"/>
        <v>48</v>
      </c>
      <c r="B59" s="1021" t="s">
        <v>1038</v>
      </c>
      <c r="C59" s="908">
        <v>0</v>
      </c>
      <c r="D59" s="1009"/>
      <c r="E59" s="1021" t="s">
        <v>1038</v>
      </c>
      <c r="F59" s="908">
        <v>-6779.31</v>
      </c>
      <c r="G59" s="1016"/>
      <c r="H59" s="1015">
        <f t="shared" si="2"/>
        <v>-3389.6550000000002</v>
      </c>
    </row>
    <row r="60" spans="1:8" s="1022" customFormat="1">
      <c r="A60" s="1008">
        <f t="shared" si="3"/>
        <v>49</v>
      </c>
      <c r="B60" s="1021" t="s">
        <v>1055</v>
      </c>
      <c r="C60" s="908">
        <v>0</v>
      </c>
      <c r="D60" s="1009"/>
      <c r="E60" s="1021" t="s">
        <v>1055</v>
      </c>
      <c r="F60" s="908">
        <v>0.02</v>
      </c>
      <c r="G60" s="1016"/>
      <c r="H60" s="1015">
        <f t="shared" si="2"/>
        <v>0.01</v>
      </c>
    </row>
    <row r="61" spans="1:8" s="1022" customFormat="1">
      <c r="A61" s="1008">
        <f t="shared" si="3"/>
        <v>50</v>
      </c>
      <c r="B61" s="1021" t="s">
        <v>1056</v>
      </c>
      <c r="C61" s="908">
        <v>0</v>
      </c>
      <c r="D61" s="1009"/>
      <c r="E61" s="1021" t="s">
        <v>1056</v>
      </c>
      <c r="F61" s="908">
        <v>1055.3900000000001</v>
      </c>
      <c r="G61" s="1016"/>
      <c r="H61" s="1015">
        <f t="shared" si="2"/>
        <v>527.69500000000005</v>
      </c>
    </row>
    <row r="62" spans="1:8" s="1022" customFormat="1">
      <c r="A62" s="1008">
        <f t="shared" si="3"/>
        <v>51</v>
      </c>
      <c r="B62" s="1021" t="s">
        <v>1057</v>
      </c>
      <c r="C62" s="908">
        <v>0</v>
      </c>
      <c r="D62" s="1009"/>
      <c r="E62" s="1021" t="s">
        <v>1057</v>
      </c>
      <c r="F62" s="908">
        <v>-7.0000000000000007E-2</v>
      </c>
      <c r="G62" s="1016"/>
      <c r="H62" s="1015">
        <f t="shared" si="2"/>
        <v>-3.5000000000000003E-2</v>
      </c>
    </row>
    <row r="63" spans="1:8" s="1022" customFormat="1">
      <c r="A63" s="1008">
        <f t="shared" si="3"/>
        <v>52</v>
      </c>
      <c r="B63" s="1021"/>
      <c r="C63" s="908"/>
      <c r="D63" s="1009"/>
      <c r="E63" s="1021"/>
      <c r="F63" s="908"/>
      <c r="G63" s="1016"/>
      <c r="H63" s="1015"/>
    </row>
    <row r="64" spans="1:8" s="1022" customFormat="1">
      <c r="A64" s="1008">
        <f t="shared" si="3"/>
        <v>53</v>
      </c>
      <c r="B64" s="1021"/>
      <c r="C64" s="908"/>
      <c r="D64" s="1009"/>
      <c r="E64" s="1021"/>
      <c r="F64" s="908"/>
      <c r="G64" s="1016"/>
      <c r="H64" s="1015"/>
    </row>
    <row r="65" spans="1:8" ht="13" thickBot="1">
      <c r="A65" s="1008">
        <f>A64+1</f>
        <v>54</v>
      </c>
      <c r="B65" s="1017" t="s">
        <v>887</v>
      </c>
      <c r="C65" s="1018">
        <f>SUM(C36:C64)</f>
        <v>472536.61</v>
      </c>
      <c r="D65" s="1019"/>
      <c r="E65" s="1017" t="s">
        <v>888</v>
      </c>
      <c r="F65" s="1018">
        <f>SUM(F36:F64)</f>
        <v>970378.68</v>
      </c>
      <c r="G65" s="1009"/>
      <c r="H65" s="1018">
        <f>AVERAGE(C65,F65)</f>
        <v>721457.64500000002</v>
      </c>
    </row>
    <row r="66" spans="1:8" ht="16" thickTop="1">
      <c r="A66" s="1008"/>
      <c r="B66" s="1009"/>
      <c r="C66"/>
      <c r="D66"/>
      <c r="E66"/>
      <c r="F66"/>
      <c r="G66" s="1009"/>
      <c r="H66" s="1009"/>
    </row>
    <row r="67" spans="1:8" ht="13">
      <c r="A67" s="1008">
        <f>A65+1</f>
        <v>55</v>
      </c>
      <c r="B67" s="1012" t="s">
        <v>889</v>
      </c>
      <c r="C67" s="1009"/>
      <c r="D67" s="1009"/>
      <c r="E67" s="1009"/>
      <c r="F67" s="1009"/>
      <c r="G67" s="1009"/>
      <c r="H67" s="1009"/>
    </row>
    <row r="68" spans="1:8">
      <c r="A68" s="1008"/>
      <c r="B68" s="1009"/>
      <c r="C68" s="1009"/>
      <c r="D68" s="1009"/>
      <c r="E68" s="1009"/>
      <c r="F68" s="1009"/>
      <c r="G68" s="1009"/>
      <c r="H68" s="1009"/>
    </row>
    <row r="69" spans="1:8">
      <c r="A69" s="1008">
        <f>A67+1</f>
        <v>56</v>
      </c>
      <c r="B69" s="1096" t="s">
        <v>1049</v>
      </c>
      <c r="C69" s="1099">
        <v>346034.55</v>
      </c>
      <c r="D69" s="1009"/>
      <c r="E69" s="1094" t="s">
        <v>1049</v>
      </c>
      <c r="F69" s="1099">
        <v>0</v>
      </c>
      <c r="G69" s="1009"/>
      <c r="H69" s="1098">
        <f t="shared" ref="H69:H98" si="4">AVERAGE(C69,F69)</f>
        <v>173017.27499999999</v>
      </c>
    </row>
    <row r="70" spans="1:8">
      <c r="A70" s="1008">
        <f>A69+1</f>
        <v>57</v>
      </c>
      <c r="B70" s="1096" t="s">
        <v>1058</v>
      </c>
      <c r="C70" s="1099">
        <v>0</v>
      </c>
      <c r="D70" s="1009"/>
      <c r="E70" s="1094" t="s">
        <v>1058</v>
      </c>
      <c r="F70" s="1099">
        <v>0</v>
      </c>
      <c r="G70" s="1009"/>
      <c r="H70" s="1098">
        <f t="shared" si="4"/>
        <v>0</v>
      </c>
    </row>
    <row r="71" spans="1:8">
      <c r="A71" s="1008">
        <f t="shared" ref="A71:A99" si="5">A70+1</f>
        <v>58</v>
      </c>
      <c r="B71" s="1096" t="s">
        <v>1059</v>
      </c>
      <c r="C71" s="1099">
        <v>-4219.6099999999997</v>
      </c>
      <c r="D71" s="1009"/>
      <c r="E71" s="1096" t="s">
        <v>1059</v>
      </c>
      <c r="F71" s="1099">
        <v>0</v>
      </c>
      <c r="G71" s="1009"/>
      <c r="H71" s="1098">
        <f t="shared" si="4"/>
        <v>-2109.8049999999998</v>
      </c>
    </row>
    <row r="72" spans="1:8">
      <c r="A72" s="1008">
        <f t="shared" si="5"/>
        <v>59</v>
      </c>
      <c r="B72" s="1096" t="s">
        <v>1060</v>
      </c>
      <c r="C72" s="1099">
        <v>0</v>
      </c>
      <c r="D72" s="1009"/>
      <c r="E72" s="1094" t="s">
        <v>1060</v>
      </c>
      <c r="F72" s="1099">
        <v>0</v>
      </c>
      <c r="G72" s="1009"/>
      <c r="H72" s="1098">
        <f t="shared" si="4"/>
        <v>0</v>
      </c>
    </row>
    <row r="73" spans="1:8">
      <c r="A73" s="1008">
        <f t="shared" si="5"/>
        <v>60</v>
      </c>
      <c r="B73" s="1096" t="s">
        <v>1051</v>
      </c>
      <c r="C73" s="1099">
        <v>0.28999999999999998</v>
      </c>
      <c r="D73" s="1009"/>
      <c r="E73" s="1094" t="s">
        <v>1051</v>
      </c>
      <c r="F73" s="1099">
        <v>0</v>
      </c>
      <c r="G73" s="1009"/>
      <c r="H73" s="1098">
        <f t="shared" si="4"/>
        <v>0.14499999999999999</v>
      </c>
    </row>
    <row r="74" spans="1:8">
      <c r="A74" s="1008">
        <f t="shared" si="5"/>
        <v>61</v>
      </c>
      <c r="B74" s="1096" t="s">
        <v>1026</v>
      </c>
      <c r="C74" s="1099">
        <v>-102.62</v>
      </c>
      <c r="D74" s="1009"/>
      <c r="E74" s="1094" t="s">
        <v>1026</v>
      </c>
      <c r="F74" s="1099">
        <v>0</v>
      </c>
      <c r="G74" s="1009"/>
      <c r="H74" s="1098">
        <f t="shared" si="4"/>
        <v>-51.31</v>
      </c>
    </row>
    <row r="75" spans="1:8">
      <c r="A75" s="1008">
        <f t="shared" si="5"/>
        <v>62</v>
      </c>
      <c r="B75" s="1096" t="s">
        <v>1040</v>
      </c>
      <c r="C75" s="1099">
        <v>0</v>
      </c>
      <c r="D75" s="1009"/>
      <c r="E75" s="1094" t="s">
        <v>1040</v>
      </c>
      <c r="F75" s="1099">
        <v>0</v>
      </c>
      <c r="G75" s="1009"/>
      <c r="H75" s="1098">
        <f t="shared" si="4"/>
        <v>0</v>
      </c>
    </row>
    <row r="76" spans="1:8">
      <c r="A76" s="1008">
        <f t="shared" si="5"/>
        <v>63</v>
      </c>
      <c r="B76" s="1096" t="s">
        <v>1061</v>
      </c>
      <c r="C76" s="1099">
        <v>176902.83</v>
      </c>
      <c r="D76" s="1009"/>
      <c r="E76" s="1094" t="s">
        <v>1061</v>
      </c>
      <c r="F76" s="1099">
        <v>0</v>
      </c>
      <c r="G76" s="1009"/>
      <c r="H76" s="1098">
        <f t="shared" si="4"/>
        <v>88451.414999999994</v>
      </c>
    </row>
    <row r="77" spans="1:8">
      <c r="A77" s="1008">
        <f t="shared" si="5"/>
        <v>64</v>
      </c>
      <c r="B77" s="1096" t="s">
        <v>1046</v>
      </c>
      <c r="C77" s="1099">
        <v>226675.02</v>
      </c>
      <c r="D77" s="1009"/>
      <c r="E77" s="1094" t="s">
        <v>1046</v>
      </c>
      <c r="F77" s="1099">
        <v>0</v>
      </c>
      <c r="G77" s="1009"/>
      <c r="H77" s="1098">
        <f t="shared" si="4"/>
        <v>113337.51</v>
      </c>
    </row>
    <row r="78" spans="1:8">
      <c r="A78" s="1008">
        <f t="shared" si="5"/>
        <v>65</v>
      </c>
      <c r="B78" s="1096" t="s">
        <v>1062</v>
      </c>
      <c r="C78" s="1099">
        <v>0</v>
      </c>
      <c r="D78" s="1009"/>
      <c r="E78" s="1094" t="s">
        <v>1062</v>
      </c>
      <c r="F78" s="1099">
        <v>0</v>
      </c>
      <c r="G78" s="1009"/>
      <c r="H78" s="1098">
        <f t="shared" si="4"/>
        <v>0</v>
      </c>
    </row>
    <row r="79" spans="1:8">
      <c r="A79" s="1008">
        <f t="shared" si="5"/>
        <v>66</v>
      </c>
      <c r="B79" s="1096" t="s">
        <v>1063</v>
      </c>
      <c r="C79" s="1099">
        <v>0</v>
      </c>
      <c r="D79" s="1009"/>
      <c r="E79" s="1094" t="s">
        <v>1063</v>
      </c>
      <c r="F79" s="1099">
        <v>0</v>
      </c>
      <c r="G79" s="1009"/>
      <c r="H79" s="1098">
        <f t="shared" si="4"/>
        <v>0</v>
      </c>
    </row>
    <row r="80" spans="1:8">
      <c r="A80" s="1008">
        <f t="shared" si="5"/>
        <v>67</v>
      </c>
      <c r="B80" s="1096" t="s">
        <v>1043</v>
      </c>
      <c r="C80" s="1099">
        <v>0</v>
      </c>
      <c r="D80" s="1009"/>
      <c r="E80" s="1094" t="s">
        <v>1043</v>
      </c>
      <c r="F80" s="1099">
        <v>0</v>
      </c>
      <c r="G80" s="1009"/>
      <c r="H80" s="1098">
        <f t="shared" si="4"/>
        <v>0</v>
      </c>
    </row>
    <row r="81" spans="1:8">
      <c r="A81" s="1008">
        <f t="shared" si="5"/>
        <v>68</v>
      </c>
      <c r="B81" s="1096" t="s">
        <v>1064</v>
      </c>
      <c r="C81" s="1099">
        <v>0</v>
      </c>
      <c r="D81" s="1009"/>
      <c r="E81" s="1096" t="s">
        <v>1064</v>
      </c>
      <c r="F81" s="1099">
        <v>0</v>
      </c>
      <c r="G81" s="1009"/>
      <c r="H81" s="1098">
        <f t="shared" si="4"/>
        <v>0</v>
      </c>
    </row>
    <row r="82" spans="1:8">
      <c r="A82" s="1008">
        <f t="shared" si="5"/>
        <v>69</v>
      </c>
      <c r="B82" s="1021" t="s">
        <v>1030</v>
      </c>
      <c r="C82" s="908">
        <v>1212.8</v>
      </c>
      <c r="D82" s="1009"/>
      <c r="E82" s="1021" t="s">
        <v>1030</v>
      </c>
      <c r="F82" s="908">
        <v>0</v>
      </c>
      <c r="G82" s="1009"/>
      <c r="H82" s="1098">
        <f t="shared" si="4"/>
        <v>606.4</v>
      </c>
    </row>
    <row r="83" spans="1:8">
      <c r="A83" s="1008">
        <f t="shared" si="5"/>
        <v>70</v>
      </c>
      <c r="B83" s="1021" t="s">
        <v>1029</v>
      </c>
      <c r="C83" s="908">
        <v>-1423.61</v>
      </c>
      <c r="D83" s="1009"/>
      <c r="E83" s="1021" t="s">
        <v>1029</v>
      </c>
      <c r="F83" s="908">
        <v>0</v>
      </c>
      <c r="G83" s="1009"/>
      <c r="H83" s="1098">
        <f t="shared" si="4"/>
        <v>-711.80499999999995</v>
      </c>
    </row>
    <row r="84" spans="1:8">
      <c r="A84" s="1008">
        <f t="shared" si="5"/>
        <v>71</v>
      </c>
      <c r="B84" s="1021" t="s">
        <v>1048</v>
      </c>
      <c r="C84" s="908">
        <v>-0.7</v>
      </c>
      <c r="D84" s="1009"/>
      <c r="E84" s="1021" t="s">
        <v>1048</v>
      </c>
      <c r="F84" s="908">
        <v>0</v>
      </c>
      <c r="G84" s="1009"/>
      <c r="H84" s="1098">
        <f t="shared" si="4"/>
        <v>-0.35</v>
      </c>
    </row>
    <row r="85" spans="1:8">
      <c r="A85" s="1008">
        <f t="shared" si="5"/>
        <v>72</v>
      </c>
      <c r="B85" s="1021" t="s">
        <v>1028</v>
      </c>
      <c r="C85" s="908">
        <v>2989.27</v>
      </c>
      <c r="D85" s="1009"/>
      <c r="E85" s="1021" t="s">
        <v>1028</v>
      </c>
      <c r="F85" s="908">
        <v>0</v>
      </c>
      <c r="G85" s="1009"/>
      <c r="H85" s="1098">
        <f t="shared" si="4"/>
        <v>1494.635</v>
      </c>
    </row>
    <row r="86" spans="1:8">
      <c r="A86" s="1008">
        <f t="shared" si="5"/>
        <v>73</v>
      </c>
      <c r="B86" s="1021" t="s">
        <v>1065</v>
      </c>
      <c r="C86" s="908">
        <v>0.01</v>
      </c>
      <c r="D86" s="1009"/>
      <c r="E86" s="1021" t="s">
        <v>1065</v>
      </c>
      <c r="F86" s="908">
        <v>0</v>
      </c>
      <c r="G86" s="1009"/>
      <c r="H86" s="1098">
        <f t="shared" si="4"/>
        <v>5.0000000000000001E-3</v>
      </c>
    </row>
    <row r="87" spans="1:8">
      <c r="A87" s="1008">
        <f t="shared" si="5"/>
        <v>74</v>
      </c>
      <c r="B87" s="1021" t="s">
        <v>1047</v>
      </c>
      <c r="C87" s="908">
        <v>24834.89</v>
      </c>
      <c r="D87" s="1009"/>
      <c r="E87" s="1021" t="s">
        <v>1047</v>
      </c>
      <c r="F87" s="908">
        <v>0</v>
      </c>
      <c r="G87" s="1009"/>
      <c r="H87" s="1098">
        <f t="shared" si="4"/>
        <v>12417.445</v>
      </c>
    </row>
    <row r="88" spans="1:8">
      <c r="A88" s="1008">
        <f t="shared" si="5"/>
        <v>75</v>
      </c>
      <c r="B88" s="1021" t="s">
        <v>1066</v>
      </c>
      <c r="C88" s="908">
        <v>0</v>
      </c>
      <c r="D88" s="1009"/>
      <c r="E88" s="1021" t="s">
        <v>1066</v>
      </c>
      <c r="F88" s="908">
        <v>0</v>
      </c>
      <c r="G88" s="1009"/>
      <c r="H88" s="1098">
        <f t="shared" si="4"/>
        <v>0</v>
      </c>
    </row>
    <row r="89" spans="1:8">
      <c r="A89" s="1008">
        <f t="shared" si="5"/>
        <v>76</v>
      </c>
      <c r="B89" s="1021" t="s">
        <v>1035</v>
      </c>
      <c r="C89" s="908">
        <v>0</v>
      </c>
      <c r="D89" s="1009"/>
      <c r="E89" s="1021" t="s">
        <v>1035</v>
      </c>
      <c r="F89" s="908">
        <v>1212.8</v>
      </c>
      <c r="G89" s="1009"/>
      <c r="H89" s="1098">
        <f t="shared" si="4"/>
        <v>606.4</v>
      </c>
    </row>
    <row r="90" spans="1:8">
      <c r="A90" s="1008">
        <f t="shared" si="5"/>
        <v>77</v>
      </c>
      <c r="B90" s="1021" t="s">
        <v>1036</v>
      </c>
      <c r="C90" s="908">
        <v>0</v>
      </c>
      <c r="D90" s="1009"/>
      <c r="E90" s="1021" t="s">
        <v>1036</v>
      </c>
      <c r="F90" s="908">
        <v>-0.70000000000000007</v>
      </c>
      <c r="G90" s="1009"/>
      <c r="H90" s="1098">
        <f t="shared" si="4"/>
        <v>-0.35000000000000003</v>
      </c>
    </row>
    <row r="91" spans="1:8">
      <c r="A91" s="1008">
        <f t="shared" si="5"/>
        <v>78</v>
      </c>
      <c r="B91" s="1021" t="s">
        <v>1037</v>
      </c>
      <c r="C91" s="908">
        <v>0</v>
      </c>
      <c r="D91" s="1009"/>
      <c r="E91" s="1021" t="s">
        <v>1037</v>
      </c>
      <c r="F91" s="908">
        <v>2327.91</v>
      </c>
      <c r="G91" s="1009"/>
      <c r="H91" s="1098">
        <f t="shared" si="4"/>
        <v>1163.9549999999999</v>
      </c>
    </row>
    <row r="92" spans="1:8">
      <c r="A92" s="1008">
        <f t="shared" si="5"/>
        <v>79</v>
      </c>
      <c r="B92" s="1021" t="s">
        <v>1038</v>
      </c>
      <c r="C92" s="908">
        <v>0</v>
      </c>
      <c r="D92" s="1009"/>
      <c r="E92" s="1021" t="s">
        <v>1038</v>
      </c>
      <c r="F92" s="908">
        <v>-1423.66</v>
      </c>
      <c r="G92" s="1009"/>
      <c r="H92" s="1098">
        <f t="shared" si="4"/>
        <v>-711.83</v>
      </c>
    </row>
    <row r="93" spans="1:8">
      <c r="A93" s="1008">
        <f t="shared" si="5"/>
        <v>80</v>
      </c>
      <c r="B93" s="1021" t="s">
        <v>1055</v>
      </c>
      <c r="C93" s="908">
        <v>0</v>
      </c>
      <c r="D93" s="1009"/>
      <c r="E93" s="1021" t="s">
        <v>1055</v>
      </c>
      <c r="F93" s="908">
        <v>-0.08</v>
      </c>
      <c r="G93" s="1009"/>
      <c r="H93" s="1098">
        <f t="shared" si="4"/>
        <v>-0.04</v>
      </c>
    </row>
    <row r="94" spans="1:8">
      <c r="A94" s="1008">
        <f t="shared" si="5"/>
        <v>81</v>
      </c>
      <c r="B94" s="1021" t="s">
        <v>1056</v>
      </c>
      <c r="C94" s="908">
        <v>0</v>
      </c>
      <c r="D94" s="1009"/>
      <c r="E94" s="1021" t="s">
        <v>1056</v>
      </c>
      <c r="F94" s="908">
        <v>-4219.87</v>
      </c>
      <c r="G94" s="1009"/>
      <c r="H94" s="1098">
        <f t="shared" si="4"/>
        <v>-2109.9349999999999</v>
      </c>
    </row>
    <row r="95" spans="1:8">
      <c r="A95" s="1008">
        <f t="shared" si="5"/>
        <v>82</v>
      </c>
      <c r="B95" s="1021" t="s">
        <v>1057</v>
      </c>
      <c r="C95" s="908">
        <v>0</v>
      </c>
      <c r="D95" s="1009"/>
      <c r="E95" s="1021" t="s">
        <v>1057</v>
      </c>
      <c r="F95" s="908">
        <v>0.28999999999999998</v>
      </c>
      <c r="G95" s="1009"/>
      <c r="H95" s="1098">
        <f t="shared" si="4"/>
        <v>0.14499999999999999</v>
      </c>
    </row>
    <row r="96" spans="1:8">
      <c r="A96" s="1008">
        <f t="shared" si="5"/>
        <v>83</v>
      </c>
      <c r="B96" s="1021" t="s">
        <v>1053</v>
      </c>
      <c r="C96" s="908">
        <v>0</v>
      </c>
      <c r="D96" s="1009"/>
      <c r="E96" s="1021" t="s">
        <v>1053</v>
      </c>
      <c r="F96" s="908">
        <v>0.01</v>
      </c>
      <c r="G96" s="1009"/>
      <c r="H96" s="1098">
        <f t="shared" si="4"/>
        <v>5.0000000000000001E-3</v>
      </c>
    </row>
    <row r="97" spans="1:9">
      <c r="A97" s="1008">
        <f t="shared" si="5"/>
        <v>84</v>
      </c>
      <c r="B97" s="1021" t="s">
        <v>1054</v>
      </c>
      <c r="C97" s="908">
        <v>0</v>
      </c>
      <c r="D97" s="1009"/>
      <c r="E97" s="1021" t="s">
        <v>1054</v>
      </c>
      <c r="F97" s="908">
        <v>37654.35</v>
      </c>
      <c r="G97" s="1009"/>
      <c r="H97" s="1098">
        <f t="shared" si="4"/>
        <v>18827.174999999999</v>
      </c>
    </row>
    <row r="98" spans="1:9">
      <c r="A98" s="1008">
        <f t="shared" si="5"/>
        <v>85</v>
      </c>
      <c r="B98" s="1021" t="s">
        <v>1052</v>
      </c>
      <c r="C98" s="908">
        <v>0</v>
      </c>
      <c r="D98" s="1009"/>
      <c r="E98" s="1021" t="s">
        <v>1052</v>
      </c>
      <c r="F98" s="908">
        <v>120678.58</v>
      </c>
      <c r="G98" s="1009"/>
      <c r="H98" s="1098">
        <f t="shared" si="4"/>
        <v>60339.29</v>
      </c>
    </row>
    <row r="99" spans="1:9">
      <c r="A99" s="1008">
        <f t="shared" si="5"/>
        <v>86</v>
      </c>
      <c r="B99" s="1021"/>
      <c r="C99" s="908"/>
      <c r="D99" s="1009"/>
      <c r="E99" s="1021"/>
      <c r="F99" s="908"/>
      <c r="G99" s="1009"/>
      <c r="H99" s="1098"/>
    </row>
    <row r="100" spans="1:9" ht="13" thickBot="1">
      <c r="A100" s="1008">
        <f>A99+1</f>
        <v>87</v>
      </c>
      <c r="B100" s="1017" t="s">
        <v>890</v>
      </c>
      <c r="C100" s="1018">
        <f>SUM(C69:C99)</f>
        <v>772903.12000000011</v>
      </c>
      <c r="D100" s="1019"/>
      <c r="E100" s="1017" t="s">
        <v>891</v>
      </c>
      <c r="F100" s="1018">
        <f>SUM(F69:F99)</f>
        <v>156229.63</v>
      </c>
      <c r="G100" s="1009"/>
      <c r="H100" s="1018">
        <f>AVERAGE(C100,F100)</f>
        <v>464566.37500000006</v>
      </c>
      <c r="I100" s="1023"/>
    </row>
    <row r="101" spans="1:9" ht="16" thickTop="1">
      <c r="A101" s="1008"/>
      <c r="B101" s="1017"/>
      <c r="C101"/>
      <c r="D101"/>
      <c r="E101"/>
      <c r="F101"/>
      <c r="G101" s="1009"/>
      <c r="H101" s="1015"/>
      <c r="I101" s="1023"/>
    </row>
    <row r="102" spans="1:9" ht="20">
      <c r="A102" s="1008"/>
      <c r="B102" s="909"/>
      <c r="C102" s="840"/>
      <c r="D102" s="1009"/>
      <c r="E102" s="1020"/>
      <c r="F102" s="1009"/>
      <c r="G102" s="1009"/>
      <c r="H102" s="1002" t="s">
        <v>147</v>
      </c>
      <c r="I102" s="1023"/>
    </row>
    <row r="103" spans="1:9" ht="18">
      <c r="A103" s="1008"/>
      <c r="B103" s="1004"/>
      <c r="C103" s="1005"/>
      <c r="D103" s="1005"/>
      <c r="E103" s="1006"/>
      <c r="F103" s="1005"/>
      <c r="G103" s="1005"/>
      <c r="H103" s="1005"/>
      <c r="I103" s="1023"/>
    </row>
    <row r="104" spans="1:9">
      <c r="A104" s="1008" t="s">
        <v>8</v>
      </c>
      <c r="B104" s="1009"/>
      <c r="C104" s="1009"/>
      <c r="D104" s="1009"/>
      <c r="E104" s="1009"/>
      <c r="F104" s="1009"/>
      <c r="G104" s="1009"/>
      <c r="H104" s="1008" t="s">
        <v>881</v>
      </c>
      <c r="I104" s="1023"/>
    </row>
    <row r="105" spans="1:9" ht="13">
      <c r="A105" s="1008" t="s">
        <v>10</v>
      </c>
      <c r="B105" s="1272">
        <f>B7</f>
        <v>2023</v>
      </c>
      <c r="C105" s="1273"/>
      <c r="D105" s="1010" t="s">
        <v>882</v>
      </c>
      <c r="E105" s="1272">
        <f>E7</f>
        <v>2024</v>
      </c>
      <c r="F105" s="1273"/>
      <c r="G105" s="1009"/>
      <c r="H105" s="1011" t="s">
        <v>950</v>
      </c>
      <c r="I105" s="1023"/>
    </row>
    <row r="106" spans="1:9" ht="13">
      <c r="A106" s="1008">
        <f>A100+1</f>
        <v>88</v>
      </c>
      <c r="B106" s="1012" t="s">
        <v>892</v>
      </c>
      <c r="C106" s="1013"/>
      <c r="D106" s="1009"/>
      <c r="E106" s="1009"/>
      <c r="F106" s="1013"/>
      <c r="G106" s="1009"/>
    </row>
    <row r="107" spans="1:9">
      <c r="A107" s="1008"/>
      <c r="B107" s="1016"/>
      <c r="C107" s="1016"/>
      <c r="D107" s="1016"/>
      <c r="E107" s="1016"/>
      <c r="F107" s="1016"/>
      <c r="G107" s="1009"/>
      <c r="H107" s="1015"/>
    </row>
    <row r="108" spans="1:9">
      <c r="A108" s="1008">
        <f>A106+1</f>
        <v>89</v>
      </c>
      <c r="B108" s="1095"/>
      <c r="C108" s="1100"/>
      <c r="D108" s="1009"/>
      <c r="E108" s="1094"/>
      <c r="F108" s="1100"/>
      <c r="G108" s="1098"/>
      <c r="H108" s="1098" t="e">
        <f t="shared" ref="H108:H113" si="6">AVERAGE(C108,F108)</f>
        <v>#DIV/0!</v>
      </c>
    </row>
    <row r="109" spans="1:9">
      <c r="A109" s="1008">
        <f t="shared" ref="A109:A125" si="7">A108+1</f>
        <v>90</v>
      </c>
      <c r="B109" s="1095"/>
      <c r="C109" s="1100"/>
      <c r="D109" s="1009"/>
      <c r="E109" s="1094"/>
      <c r="F109" s="1100"/>
      <c r="G109" s="1098"/>
      <c r="H109" s="1098" t="e">
        <f t="shared" si="6"/>
        <v>#DIV/0!</v>
      </c>
    </row>
    <row r="110" spans="1:9">
      <c r="A110" s="1008">
        <f t="shared" si="7"/>
        <v>91</v>
      </c>
      <c r="B110" s="1095"/>
      <c r="C110" s="1100"/>
      <c r="D110" s="1009"/>
      <c r="E110" s="1094"/>
      <c r="F110" s="1100"/>
      <c r="G110" s="1098"/>
      <c r="H110" s="1098" t="e">
        <f t="shared" si="6"/>
        <v>#DIV/0!</v>
      </c>
    </row>
    <row r="111" spans="1:9">
      <c r="A111" s="1008">
        <f t="shared" si="7"/>
        <v>92</v>
      </c>
      <c r="B111" s="1095"/>
      <c r="C111" s="1100"/>
      <c r="D111" s="1009"/>
      <c r="E111" s="1094"/>
      <c r="F111" s="1100"/>
      <c r="G111" s="1098"/>
      <c r="H111" s="1098" t="e">
        <f t="shared" si="6"/>
        <v>#DIV/0!</v>
      </c>
    </row>
    <row r="112" spans="1:9">
      <c r="A112" s="1008">
        <f t="shared" si="7"/>
        <v>93</v>
      </c>
      <c r="B112" s="1095"/>
      <c r="C112" s="1100"/>
      <c r="D112" s="1009"/>
      <c r="E112" s="1094"/>
      <c r="F112" s="1100"/>
      <c r="G112" s="1098"/>
      <c r="H112" s="1098" t="e">
        <f t="shared" si="6"/>
        <v>#DIV/0!</v>
      </c>
    </row>
    <row r="113" spans="1:8">
      <c r="A113" s="1008">
        <f t="shared" si="7"/>
        <v>94</v>
      </c>
      <c r="B113" s="1095"/>
      <c r="C113" s="1100"/>
      <c r="D113" s="1026"/>
      <c r="E113" s="1094"/>
      <c r="F113" s="1100"/>
      <c r="G113" s="1092"/>
      <c r="H113" s="1098" t="e">
        <f t="shared" si="6"/>
        <v>#DIV/0!</v>
      </c>
    </row>
    <row r="114" spans="1:8">
      <c r="A114" s="1008">
        <f t="shared" si="7"/>
        <v>95</v>
      </c>
      <c r="B114" s="1025"/>
      <c r="C114" s="910"/>
      <c r="D114" s="1026"/>
      <c r="E114" s="1025"/>
      <c r="F114" s="910"/>
      <c r="G114" s="1026"/>
      <c r="H114" s="1015"/>
    </row>
    <row r="115" spans="1:8">
      <c r="A115" s="1008">
        <f t="shared" si="7"/>
        <v>96</v>
      </c>
      <c r="B115" s="1025"/>
      <c r="C115" s="910"/>
      <c r="D115" s="1026"/>
      <c r="E115" s="1025"/>
      <c r="F115" s="910"/>
      <c r="G115" s="1026"/>
      <c r="H115" s="1015"/>
    </row>
    <row r="116" spans="1:8">
      <c r="A116" s="1008">
        <f t="shared" si="7"/>
        <v>97</v>
      </c>
      <c r="B116" s="1025"/>
      <c r="C116" s="910"/>
      <c r="D116" s="1026"/>
      <c r="E116" s="1025"/>
      <c r="F116" s="910"/>
      <c r="G116" s="1026"/>
      <c r="H116" s="1015"/>
    </row>
    <row r="117" spans="1:8">
      <c r="A117" s="1008">
        <f t="shared" si="7"/>
        <v>98</v>
      </c>
      <c r="B117" s="1025"/>
      <c r="C117" s="910"/>
      <c r="D117" s="1026"/>
      <c r="E117" s="1025"/>
      <c r="F117" s="910"/>
      <c r="G117" s="1026"/>
      <c r="H117" s="1015"/>
    </row>
    <row r="118" spans="1:8">
      <c r="A118" s="1008">
        <f t="shared" si="7"/>
        <v>99</v>
      </c>
      <c r="B118" s="1025"/>
      <c r="C118" s="1025"/>
      <c r="D118" s="1026"/>
      <c r="E118" s="1025"/>
      <c r="F118" s="910"/>
      <c r="G118" s="1026"/>
      <c r="H118" s="1015"/>
    </row>
    <row r="119" spans="1:8">
      <c r="A119" s="1008">
        <f t="shared" si="7"/>
        <v>100</v>
      </c>
      <c r="B119" s="1025"/>
      <c r="C119" s="1025"/>
      <c r="D119" s="1026"/>
      <c r="E119" s="1025"/>
      <c r="F119" s="910"/>
      <c r="G119" s="1026"/>
      <c r="H119" s="1015"/>
    </row>
    <row r="120" spans="1:8" ht="13">
      <c r="A120" s="1008">
        <f t="shared" si="7"/>
        <v>101</v>
      </c>
      <c r="B120" s="911"/>
      <c r="C120" s="1025"/>
      <c r="D120" s="1026"/>
      <c r="E120" s="911"/>
      <c r="F120" s="910"/>
      <c r="G120" s="1026"/>
      <c r="H120" s="1015"/>
    </row>
    <row r="121" spans="1:8">
      <c r="A121" s="1008">
        <f t="shared" si="7"/>
        <v>102</v>
      </c>
      <c r="B121" s="1025"/>
      <c r="C121" s="1025"/>
      <c r="D121" s="1026"/>
      <c r="E121" s="1025"/>
      <c r="F121" s="1025"/>
      <c r="G121" s="1026"/>
      <c r="H121" s="1015"/>
    </row>
    <row r="122" spans="1:8">
      <c r="A122" s="1008">
        <f t="shared" si="7"/>
        <v>103</v>
      </c>
      <c r="B122" s="1025"/>
      <c r="C122" s="1025"/>
      <c r="D122" s="1026"/>
      <c r="E122" s="1025"/>
      <c r="F122" s="1025"/>
      <c r="G122" s="1026"/>
      <c r="H122" s="1015"/>
    </row>
    <row r="123" spans="1:8">
      <c r="A123" s="1008">
        <f t="shared" si="7"/>
        <v>104</v>
      </c>
      <c r="B123" s="1025"/>
      <c r="C123" s="1025"/>
      <c r="D123" s="1026"/>
      <c r="E123" s="1025"/>
      <c r="F123" s="1025"/>
      <c r="G123" s="1026"/>
      <c r="H123" s="1015"/>
    </row>
    <row r="124" spans="1:8">
      <c r="A124" s="1008">
        <f t="shared" si="7"/>
        <v>105</v>
      </c>
      <c r="B124" s="1025"/>
      <c r="C124" s="1025"/>
      <c r="D124" s="1026"/>
      <c r="E124" s="1025"/>
      <c r="F124" s="1025"/>
      <c r="G124" s="1026"/>
      <c r="H124" s="1015"/>
    </row>
    <row r="125" spans="1:8">
      <c r="A125" s="1008">
        <f t="shared" si="7"/>
        <v>106</v>
      </c>
      <c r="B125" s="1025"/>
      <c r="C125" s="1025"/>
      <c r="D125" s="1026"/>
      <c r="E125" s="1025"/>
      <c r="F125" s="1025"/>
      <c r="G125" s="1026"/>
      <c r="H125" s="1015"/>
    </row>
    <row r="126" spans="1:8" ht="13" thickBot="1">
      <c r="A126" s="1008">
        <f>A125+1</f>
        <v>107</v>
      </c>
      <c r="B126" s="1027" t="s">
        <v>893</v>
      </c>
      <c r="C126" s="912">
        <f>SUM(C108:C125)</f>
        <v>0</v>
      </c>
      <c r="D126" s="1026"/>
      <c r="E126" s="1027" t="s">
        <v>894</v>
      </c>
      <c r="F126" s="912">
        <f>SUM(F108:F125)</f>
        <v>0</v>
      </c>
      <c r="G126" s="1026"/>
      <c r="H126" s="1018">
        <f>AVERAGE(C126,F126)</f>
        <v>0</v>
      </c>
    </row>
    <row r="127" spans="1:8" ht="16" thickTop="1">
      <c r="A127" s="1008"/>
      <c r="B127" s="1026"/>
      <c r="C127"/>
      <c r="D127" s="1026"/>
      <c r="E127" s="1026"/>
      <c r="F127"/>
      <c r="G127" s="1026"/>
      <c r="H127" s="1026"/>
    </row>
    <row r="128" spans="1:8" ht="13">
      <c r="A128" s="1008">
        <f>A126+1</f>
        <v>108</v>
      </c>
      <c r="B128" s="1028" t="s">
        <v>895</v>
      </c>
      <c r="C128" s="1026"/>
      <c r="D128" s="1026"/>
      <c r="E128" s="1026"/>
      <c r="F128" s="1026"/>
      <c r="G128" s="1026"/>
      <c r="H128" s="1026"/>
    </row>
    <row r="129" spans="1:8">
      <c r="A129" s="1008"/>
      <c r="B129" s="1016"/>
      <c r="C129" s="1016"/>
      <c r="D129" s="1009"/>
      <c r="E129" s="1016"/>
      <c r="F129" s="1016"/>
      <c r="G129" s="1009"/>
      <c r="H129" s="1015"/>
    </row>
    <row r="130" spans="1:8">
      <c r="A130" s="1008">
        <f>A128+1</f>
        <v>109</v>
      </c>
      <c r="B130" s="1021"/>
      <c r="C130" s="1024"/>
      <c r="D130" s="1009"/>
      <c r="E130" s="1021"/>
      <c r="F130" s="1024"/>
      <c r="G130" s="1009"/>
      <c r="H130" s="1015"/>
    </row>
    <row r="131" spans="1:8">
      <c r="A131" s="1008">
        <f t="shared" ref="A131:A144" si="8">A130+1</f>
        <v>110</v>
      </c>
      <c r="B131" s="1014"/>
      <c r="C131" s="1024"/>
      <c r="D131" s="1009"/>
      <c r="E131" s="1014"/>
      <c r="F131" s="1024"/>
      <c r="G131" s="1009"/>
      <c r="H131" s="1015"/>
    </row>
    <row r="132" spans="1:8">
      <c r="A132" s="1008">
        <f t="shared" si="8"/>
        <v>111</v>
      </c>
      <c r="B132" s="1014"/>
      <c r="C132" s="1024"/>
      <c r="D132" s="1009"/>
      <c r="E132" s="1014"/>
      <c r="F132" s="1024"/>
      <c r="G132" s="1009"/>
      <c r="H132" s="1015"/>
    </row>
    <row r="133" spans="1:8">
      <c r="A133" s="1008">
        <f t="shared" si="8"/>
        <v>112</v>
      </c>
      <c r="B133" s="1021"/>
      <c r="C133" s="1024"/>
      <c r="D133" s="1009"/>
      <c r="E133" s="1029"/>
      <c r="F133" s="1024"/>
      <c r="G133" s="1009"/>
      <c r="H133" s="1015"/>
    </row>
    <row r="134" spans="1:8">
      <c r="A134" s="1008">
        <f t="shared" si="8"/>
        <v>113</v>
      </c>
      <c r="B134" s="1021"/>
      <c r="C134" s="1021"/>
      <c r="D134" s="1009"/>
      <c r="E134" s="1021"/>
      <c r="F134" s="1021"/>
      <c r="G134" s="1009"/>
      <c r="H134" s="1015"/>
    </row>
    <row r="135" spans="1:8">
      <c r="A135" s="1008">
        <f t="shared" si="8"/>
        <v>114</v>
      </c>
      <c r="B135" s="1025"/>
      <c r="C135" s="1025"/>
      <c r="D135" s="1026"/>
      <c r="E135" s="1025"/>
      <c r="F135" s="1025"/>
      <c r="G135" s="1026"/>
      <c r="H135" s="1015"/>
    </row>
    <row r="136" spans="1:8">
      <c r="A136" s="1008">
        <f t="shared" si="8"/>
        <v>115</v>
      </c>
      <c r="B136" s="1025"/>
      <c r="C136" s="1025"/>
      <c r="D136" s="1026"/>
      <c r="E136" s="1025"/>
      <c r="F136" s="1025"/>
      <c r="G136" s="1026"/>
      <c r="H136" s="1015"/>
    </row>
    <row r="137" spans="1:8">
      <c r="A137" s="1008">
        <f t="shared" si="8"/>
        <v>116</v>
      </c>
      <c r="B137" s="1025"/>
      <c r="C137" s="1025"/>
      <c r="D137" s="1026"/>
      <c r="E137" s="1025"/>
      <c r="F137" s="1025"/>
      <c r="G137" s="1026"/>
      <c r="H137" s="1015"/>
    </row>
    <row r="138" spans="1:8">
      <c r="A138" s="1008">
        <f t="shared" si="8"/>
        <v>117</v>
      </c>
      <c r="B138" s="1025"/>
      <c r="C138" s="1025"/>
      <c r="D138" s="1026"/>
      <c r="E138" s="1025"/>
      <c r="F138" s="1025"/>
      <c r="G138" s="1026"/>
      <c r="H138" s="1015"/>
    </row>
    <row r="139" spans="1:8">
      <c r="A139" s="1008">
        <f t="shared" si="8"/>
        <v>118</v>
      </c>
      <c r="B139" s="1025"/>
      <c r="C139" s="1025"/>
      <c r="D139" s="1026"/>
      <c r="E139" s="1025"/>
      <c r="F139" s="1025"/>
      <c r="G139" s="1026"/>
      <c r="H139" s="1015"/>
    </row>
    <row r="140" spans="1:8" ht="13">
      <c r="A140" s="1008">
        <f t="shared" si="8"/>
        <v>119</v>
      </c>
      <c r="B140" s="1030"/>
      <c r="C140" s="1025"/>
      <c r="D140" s="1026"/>
      <c r="E140" s="1030"/>
      <c r="F140" s="1025"/>
      <c r="G140" s="1026"/>
      <c r="H140" s="1015"/>
    </row>
    <row r="141" spans="1:8">
      <c r="A141" s="1008">
        <f t="shared" si="8"/>
        <v>120</v>
      </c>
      <c r="B141" s="1025"/>
      <c r="C141" s="1025"/>
      <c r="D141" s="1026"/>
      <c r="E141" s="1025"/>
      <c r="F141" s="1025"/>
      <c r="G141" s="1026"/>
      <c r="H141" s="1015"/>
    </row>
    <row r="142" spans="1:8">
      <c r="A142" s="1008">
        <f t="shared" si="8"/>
        <v>121</v>
      </c>
      <c r="B142" s="1025"/>
      <c r="C142" s="1025"/>
      <c r="D142" s="1026"/>
      <c r="E142" s="1025"/>
      <c r="F142" s="1025"/>
      <c r="G142" s="1026"/>
      <c r="H142" s="1015"/>
    </row>
    <row r="143" spans="1:8">
      <c r="A143" s="1008">
        <f t="shared" si="8"/>
        <v>122</v>
      </c>
      <c r="B143" s="1025"/>
      <c r="C143" s="1025"/>
      <c r="D143" s="1026"/>
      <c r="E143" s="1025"/>
      <c r="F143" s="1025"/>
      <c r="G143" s="1026"/>
      <c r="H143" s="1015"/>
    </row>
    <row r="144" spans="1:8">
      <c r="A144" s="1008">
        <f t="shared" si="8"/>
        <v>123</v>
      </c>
      <c r="B144" s="1025"/>
      <c r="C144" s="1025"/>
      <c r="D144" s="1026"/>
      <c r="E144" s="1025"/>
      <c r="F144" s="1025"/>
      <c r="G144" s="1026"/>
      <c r="H144" s="1015"/>
    </row>
    <row r="145" spans="1:8" ht="13" thickBot="1">
      <c r="A145" s="1008">
        <f>A144+1</f>
        <v>124</v>
      </c>
      <c r="B145" s="1026"/>
      <c r="C145" s="1101">
        <f>SUM(C130:C144)</f>
        <v>0</v>
      </c>
      <c r="D145" s="1092"/>
      <c r="E145" s="1092"/>
      <c r="F145" s="1101">
        <f>SUM(F130:F144)</f>
        <v>0</v>
      </c>
      <c r="G145" s="1092"/>
      <c r="H145" s="1097">
        <f>AVERAGE(C145,F145)</f>
        <v>0</v>
      </c>
    </row>
    <row r="146" spans="1:8" ht="13" thickTop="1">
      <c r="A146" s="1008"/>
      <c r="B146" s="1026"/>
      <c r="C146" s="1092"/>
      <c r="D146" s="1092"/>
      <c r="E146" s="1092"/>
      <c r="F146" s="1092"/>
      <c r="G146" s="1092"/>
      <c r="H146" s="1092"/>
    </row>
    <row r="147" spans="1:8">
      <c r="A147" s="1008">
        <f>A145+1</f>
        <v>125</v>
      </c>
      <c r="B147" s="1027" t="s">
        <v>896</v>
      </c>
      <c r="C147" s="1102">
        <f>C145*0.343521539</f>
        <v>0</v>
      </c>
      <c r="D147" s="1092"/>
      <c r="E147" s="1103" t="s">
        <v>896</v>
      </c>
      <c r="F147" s="1102">
        <f>F145*0.343521539</f>
        <v>0</v>
      </c>
      <c r="G147" s="1092"/>
      <c r="H147" s="1098">
        <f>AVERAGE(C147,F147)</f>
        <v>0</v>
      </c>
    </row>
    <row r="148" spans="1:8">
      <c r="A148" s="1008"/>
      <c r="B148" s="1026"/>
      <c r="C148" s="1092"/>
      <c r="D148" s="1092"/>
      <c r="E148" s="1092"/>
      <c r="F148" s="1092"/>
      <c r="G148" s="1092"/>
      <c r="H148" s="1092"/>
    </row>
    <row r="149" spans="1:8" ht="13" thickBot="1">
      <c r="A149" s="1008">
        <f>A147+1</f>
        <v>126</v>
      </c>
      <c r="B149" s="1027" t="s">
        <v>897</v>
      </c>
      <c r="C149" s="1097">
        <f>C145+C147</f>
        <v>0</v>
      </c>
      <c r="D149" s="1092"/>
      <c r="E149" s="1103" t="s">
        <v>898</v>
      </c>
      <c r="F149" s="1097">
        <f>F145+F147</f>
        <v>0</v>
      </c>
      <c r="G149" s="1092"/>
      <c r="H149" s="1097">
        <f>AVERAGE(C149,F149)</f>
        <v>0</v>
      </c>
    </row>
    <row r="150" spans="1:8" ht="13" thickTop="1">
      <c r="A150" s="1008"/>
      <c r="B150" s="1026"/>
      <c r="C150" s="1115"/>
      <c r="D150" s="1026"/>
      <c r="E150" s="1026"/>
      <c r="F150" s="1026">
        <v>0</v>
      </c>
      <c r="G150" s="1026"/>
      <c r="H150" s="1026"/>
    </row>
    <row r="151" spans="1:8">
      <c r="A151" s="1008"/>
      <c r="B151" s="1026"/>
      <c r="C151" s="1026"/>
      <c r="D151" s="1026"/>
      <c r="E151" s="1026"/>
      <c r="F151" s="1026"/>
      <c r="G151" s="1026"/>
      <c r="H151" s="1026"/>
    </row>
    <row r="152" spans="1:8">
      <c r="A152" s="1008"/>
      <c r="B152" s="1026"/>
      <c r="C152" s="1026"/>
      <c r="D152" s="1026"/>
      <c r="E152" s="1026"/>
      <c r="F152" s="1026"/>
      <c r="G152" s="1026"/>
      <c r="H152" s="1026"/>
    </row>
    <row r="153" spans="1:8">
      <c r="A153" s="1008"/>
      <c r="B153" s="1026"/>
      <c r="C153" s="1031"/>
      <c r="D153" s="1026"/>
      <c r="E153" s="1026"/>
      <c r="F153" s="1031"/>
      <c r="G153" s="1026"/>
      <c r="H153" s="1026"/>
    </row>
    <row r="154" spans="1:8">
      <c r="B154" s="879" t="s">
        <v>899</v>
      </c>
    </row>
  </sheetData>
  <mergeCells count="9">
    <mergeCell ref="B105:C105"/>
    <mergeCell ref="E105:F105"/>
    <mergeCell ref="A1:H1"/>
    <mergeCell ref="A2:H2"/>
    <mergeCell ref="A3:H3"/>
    <mergeCell ref="B6:C6"/>
    <mergeCell ref="E6:F6"/>
    <mergeCell ref="B7:C7"/>
    <mergeCell ref="E7:F7"/>
  </mergeCells>
  <pageMargins left="0.17" right="0.2" top="0.38" bottom="0.28999999999999998" header="0.3" footer="0.21"/>
  <pageSetup scale="60" fitToHeight="2" orientation="landscape" cellComments="asDisplayed" r:id="rId1"/>
  <rowBreaks count="1" manualBreakCount="1">
    <brk id="10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9"/>
  <sheetViews>
    <sheetView view="pageBreakPreview" zoomScale="80" zoomScaleNormal="80" zoomScaleSheetLayoutView="80" workbookViewId="0">
      <selection activeCell="D92" sqref="D92"/>
    </sheetView>
  </sheetViews>
  <sheetFormatPr defaultColWidth="7.4609375" defaultRowHeight="12.75" customHeight="1"/>
  <cols>
    <col min="1" max="1" width="5" style="913" customWidth="1"/>
    <col min="2" max="2" width="24.07421875" style="913" customWidth="1"/>
    <col min="3" max="3" width="9.84375" style="913" customWidth="1"/>
    <col min="4" max="4" width="10.53515625" style="913" customWidth="1"/>
    <col min="5" max="5" width="10.07421875" style="913" customWidth="1"/>
    <col min="6" max="6" width="7.4609375" style="913" customWidth="1"/>
    <col min="7" max="7" width="1.84375" style="913" customWidth="1"/>
    <col min="8" max="8" width="17.4609375" style="913" customWidth="1"/>
    <col min="9" max="9" width="10.84375" style="913" customWidth="1"/>
    <col min="10" max="10" width="13.84375" style="913" customWidth="1"/>
    <col min="11" max="11" width="8.69140625" style="913" customWidth="1"/>
    <col min="12" max="12" width="12.07421875" style="913" bestFit="1" customWidth="1"/>
    <col min="13" max="16384" width="7.4609375" style="913"/>
  </cols>
  <sheetData>
    <row r="1" spans="1:11" ht="20">
      <c r="A1" s="1274" t="s">
        <v>943</v>
      </c>
      <c r="B1" s="1274"/>
      <c r="C1" s="1274"/>
      <c r="D1" s="1274"/>
      <c r="E1" s="1274"/>
      <c r="F1" s="1274"/>
      <c r="G1" s="1274"/>
      <c r="H1" s="1274"/>
      <c r="I1" s="1274"/>
      <c r="J1" s="1274"/>
      <c r="K1" s="1274"/>
    </row>
    <row r="2" spans="1:11" ht="20">
      <c r="A2" s="1274" t="str">
        <f>'Attachment H-29A'!D5</f>
        <v>Transource Pennsylvania, LLC</v>
      </c>
      <c r="B2" s="1274"/>
      <c r="C2" s="1274"/>
      <c r="D2" s="1274"/>
      <c r="E2" s="1274"/>
      <c r="F2" s="1274"/>
      <c r="G2" s="1274"/>
      <c r="H2" s="1274"/>
      <c r="I2" s="1274"/>
      <c r="J2" s="1274"/>
      <c r="K2" s="1274"/>
    </row>
    <row r="3" spans="1:11" ht="20">
      <c r="A3" s="1274" t="str">
        <f>'Attachment H-29A'!J3</f>
        <v>For  the 12 months ended 12/31/2024</v>
      </c>
      <c r="B3" s="1274"/>
      <c r="C3" s="1274"/>
      <c r="D3" s="1274"/>
      <c r="E3" s="1274"/>
      <c r="F3" s="1274"/>
      <c r="G3" s="1274"/>
      <c r="H3" s="1274"/>
      <c r="I3" s="1274"/>
      <c r="J3" s="1274"/>
      <c r="K3" s="1274"/>
    </row>
    <row r="4" spans="1:11" ht="20">
      <c r="A4" s="909"/>
      <c r="B4" s="840"/>
      <c r="C4" s="1009"/>
      <c r="J4" s="914" t="s">
        <v>599</v>
      </c>
    </row>
    <row r="5" spans="1:11" s="915" customFormat="1" ht="15.5">
      <c r="B5" s="1033" t="s">
        <v>900</v>
      </c>
      <c r="C5" s="1034"/>
      <c r="D5" s="1034"/>
    </row>
    <row r="7" spans="1:11" ht="12.5">
      <c r="A7" s="916" t="s">
        <v>8</v>
      </c>
    </row>
    <row r="8" spans="1:11" ht="13">
      <c r="A8" s="1008" t="s">
        <v>10</v>
      </c>
      <c r="E8" s="1026"/>
      <c r="F8" s="1026"/>
      <c r="G8" s="1026"/>
      <c r="H8" s="1035"/>
      <c r="I8" s="1035"/>
      <c r="J8" s="1035"/>
      <c r="K8" s="1026"/>
    </row>
    <row r="9" spans="1:11" ht="13">
      <c r="A9" s="1008">
        <v>1</v>
      </c>
      <c r="B9" s="1278" t="s">
        <v>901</v>
      </c>
      <c r="C9" s="1279"/>
      <c r="D9" s="1279"/>
      <c r="E9" s="1279"/>
      <c r="F9" s="1280"/>
      <c r="G9" s="1036"/>
      <c r="H9" s="1281" t="s">
        <v>902</v>
      </c>
      <c r="I9" s="1282"/>
      <c r="J9" s="1283"/>
      <c r="K9" s="1026"/>
    </row>
    <row r="10" spans="1:11" ht="13">
      <c r="A10" s="1008">
        <f>A9+1</f>
        <v>2</v>
      </c>
      <c r="B10" s="1037" t="s">
        <v>62</v>
      </c>
      <c r="C10" s="1037" t="s">
        <v>63</v>
      </c>
      <c r="D10" s="1037" t="s">
        <v>64</v>
      </c>
      <c r="E10" s="1037" t="s">
        <v>65</v>
      </c>
      <c r="F10" s="1037" t="s">
        <v>66</v>
      </c>
      <c r="G10" s="1036"/>
      <c r="H10" s="1037" t="s">
        <v>67</v>
      </c>
      <c r="I10" s="1037" t="s">
        <v>68</v>
      </c>
      <c r="J10" s="1037" t="s">
        <v>69</v>
      </c>
      <c r="K10" s="1026"/>
    </row>
    <row r="11" spans="1:11" ht="116.5" customHeight="1">
      <c r="A11" s="1008">
        <f>A10+1</f>
        <v>3</v>
      </c>
      <c r="B11" s="1038" t="s">
        <v>160</v>
      </c>
      <c r="C11" s="1038" t="s">
        <v>903</v>
      </c>
      <c r="D11" s="1038" t="s">
        <v>904</v>
      </c>
      <c r="E11" s="1038" t="s">
        <v>905</v>
      </c>
      <c r="F11" s="1038" t="s">
        <v>906</v>
      </c>
      <c r="G11" s="1039"/>
      <c r="H11" s="1038" t="s">
        <v>907</v>
      </c>
      <c r="I11" s="1038" t="s">
        <v>908</v>
      </c>
      <c r="J11" s="1038" t="s">
        <v>909</v>
      </c>
      <c r="K11" s="1026"/>
    </row>
    <row r="12" spans="1:11" ht="12.5">
      <c r="A12" s="1008">
        <f>A11+1</f>
        <v>4</v>
      </c>
      <c r="B12" s="1026"/>
      <c r="C12" s="1039"/>
      <c r="D12" s="1039"/>
      <c r="E12" s="1039"/>
      <c r="F12" s="1039"/>
      <c r="G12" s="1039"/>
      <c r="H12" s="917"/>
      <c r="I12" s="1039"/>
      <c r="J12" s="1039"/>
      <c r="K12" s="1026"/>
    </row>
    <row r="13" spans="1:11" ht="13">
      <c r="A13" s="1008">
        <f>A12+1</f>
        <v>5</v>
      </c>
      <c r="B13" s="1040" t="s">
        <v>910</v>
      </c>
      <c r="C13" s="1041"/>
      <c r="D13" s="918"/>
      <c r="E13" s="918"/>
      <c r="F13" s="918"/>
      <c r="G13" s="918"/>
      <c r="H13" s="917"/>
      <c r="I13" s="917"/>
      <c r="J13" s="919">
        <v>0</v>
      </c>
      <c r="K13" s="920"/>
    </row>
    <row r="14" spans="1:11" ht="12.5">
      <c r="A14" s="1008">
        <f t="shared" ref="A14:A26" si="0">A13+1</f>
        <v>6</v>
      </c>
      <c r="B14" s="1041" t="s">
        <v>85</v>
      </c>
      <c r="C14" s="917">
        <v>31</v>
      </c>
      <c r="D14" s="921">
        <f>E14-C14+1</f>
        <v>335</v>
      </c>
      <c r="E14" s="921">
        <f>$C$26</f>
        <v>365</v>
      </c>
      <c r="F14" s="922">
        <f>D14/E14</f>
        <v>0.9178082191780822</v>
      </c>
      <c r="G14" s="918"/>
      <c r="H14" s="919">
        <v>0</v>
      </c>
      <c r="I14" s="917">
        <f>H14*F14</f>
        <v>0</v>
      </c>
      <c r="J14" s="917">
        <f>$J13+$I14</f>
        <v>0</v>
      </c>
      <c r="K14" s="1026"/>
    </row>
    <row r="15" spans="1:11" ht="12.5">
      <c r="A15" s="1008">
        <f t="shared" si="0"/>
        <v>7</v>
      </c>
      <c r="B15" s="1041" t="s">
        <v>84</v>
      </c>
      <c r="C15" s="919">
        <v>28</v>
      </c>
      <c r="D15" s="921">
        <f>D14-C15</f>
        <v>307</v>
      </c>
      <c r="E15" s="921">
        <f t="shared" ref="E15:E25" si="1">$C$26</f>
        <v>365</v>
      </c>
      <c r="F15" s="922">
        <f t="shared" ref="F15:F25" si="2">D15/E15</f>
        <v>0.84109589041095889</v>
      </c>
      <c r="G15" s="918"/>
      <c r="H15" s="919">
        <f>$H$14</f>
        <v>0</v>
      </c>
      <c r="I15" s="917">
        <f t="shared" ref="I15:I25" si="3">H15*F15</f>
        <v>0</v>
      </c>
      <c r="J15" s="917">
        <f t="shared" ref="J15:J25" si="4">$J14+$I15</f>
        <v>0</v>
      </c>
      <c r="K15" s="1026"/>
    </row>
    <row r="16" spans="1:11" ht="12.5">
      <c r="A16" s="1008">
        <f t="shared" si="0"/>
        <v>8</v>
      </c>
      <c r="B16" s="1041" t="s">
        <v>83</v>
      </c>
      <c r="C16" s="917">
        <v>31</v>
      </c>
      <c r="D16" s="921">
        <f t="shared" ref="D16:D25" si="5">D15-C16</f>
        <v>276</v>
      </c>
      <c r="E16" s="921">
        <f t="shared" si="1"/>
        <v>365</v>
      </c>
      <c r="F16" s="922">
        <f t="shared" si="2"/>
        <v>0.75616438356164384</v>
      </c>
      <c r="G16" s="918"/>
      <c r="H16" s="919">
        <f t="shared" ref="H16:H25" si="6">$H$14</f>
        <v>0</v>
      </c>
      <c r="I16" s="917">
        <f t="shared" si="3"/>
        <v>0</v>
      </c>
      <c r="J16" s="917">
        <f t="shared" si="4"/>
        <v>0</v>
      </c>
      <c r="K16" s="1026"/>
    </row>
    <row r="17" spans="1:11" ht="12.5">
      <c r="A17" s="1008">
        <f t="shared" si="0"/>
        <v>9</v>
      </c>
      <c r="B17" s="1041" t="s">
        <v>76</v>
      </c>
      <c r="C17" s="917">
        <v>30</v>
      </c>
      <c r="D17" s="921">
        <f t="shared" si="5"/>
        <v>246</v>
      </c>
      <c r="E17" s="921">
        <f t="shared" si="1"/>
        <v>365</v>
      </c>
      <c r="F17" s="922">
        <f t="shared" si="2"/>
        <v>0.67397260273972603</v>
      </c>
      <c r="G17" s="918"/>
      <c r="H17" s="919">
        <f t="shared" si="6"/>
        <v>0</v>
      </c>
      <c r="I17" s="917">
        <f t="shared" si="3"/>
        <v>0</v>
      </c>
      <c r="J17" s="917">
        <f t="shared" si="4"/>
        <v>0</v>
      </c>
      <c r="K17" s="1026"/>
    </row>
    <row r="18" spans="1:11" ht="12.5">
      <c r="A18" s="1008">
        <f t="shared" si="0"/>
        <v>10</v>
      </c>
      <c r="B18" s="1041" t="s">
        <v>75</v>
      </c>
      <c r="C18" s="917">
        <v>31</v>
      </c>
      <c r="D18" s="921">
        <f t="shared" si="5"/>
        <v>215</v>
      </c>
      <c r="E18" s="921">
        <f t="shared" si="1"/>
        <v>365</v>
      </c>
      <c r="F18" s="922">
        <f t="shared" si="2"/>
        <v>0.58904109589041098</v>
      </c>
      <c r="G18" s="918"/>
      <c r="H18" s="919">
        <f t="shared" si="6"/>
        <v>0</v>
      </c>
      <c r="I18" s="917">
        <f t="shared" si="3"/>
        <v>0</v>
      </c>
      <c r="J18" s="917">
        <f t="shared" si="4"/>
        <v>0</v>
      </c>
      <c r="K18" s="1026"/>
    </row>
    <row r="19" spans="1:11" ht="12.5">
      <c r="A19" s="1008">
        <f t="shared" si="0"/>
        <v>11</v>
      </c>
      <c r="B19" s="1041" t="s">
        <v>92</v>
      </c>
      <c r="C19" s="917">
        <v>30</v>
      </c>
      <c r="D19" s="921">
        <f t="shared" si="5"/>
        <v>185</v>
      </c>
      <c r="E19" s="921">
        <f t="shared" si="1"/>
        <v>365</v>
      </c>
      <c r="F19" s="922">
        <f t="shared" si="2"/>
        <v>0.50684931506849318</v>
      </c>
      <c r="G19" s="918"/>
      <c r="H19" s="919">
        <f t="shared" si="6"/>
        <v>0</v>
      </c>
      <c r="I19" s="917">
        <f t="shared" si="3"/>
        <v>0</v>
      </c>
      <c r="J19" s="917">
        <f t="shared" si="4"/>
        <v>0</v>
      </c>
      <c r="K19" s="1026"/>
    </row>
    <row r="20" spans="1:11" ht="12.5">
      <c r="A20" s="1008">
        <f t="shared" si="0"/>
        <v>12</v>
      </c>
      <c r="B20" s="1041" t="s">
        <v>82</v>
      </c>
      <c r="C20" s="917">
        <v>31</v>
      </c>
      <c r="D20" s="921">
        <f t="shared" si="5"/>
        <v>154</v>
      </c>
      <c r="E20" s="921">
        <f t="shared" si="1"/>
        <v>365</v>
      </c>
      <c r="F20" s="922">
        <f t="shared" si="2"/>
        <v>0.42191780821917807</v>
      </c>
      <c r="G20" s="918"/>
      <c r="H20" s="919">
        <f t="shared" si="6"/>
        <v>0</v>
      </c>
      <c r="I20" s="917">
        <f t="shared" si="3"/>
        <v>0</v>
      </c>
      <c r="J20" s="917">
        <f t="shared" si="4"/>
        <v>0</v>
      </c>
      <c r="K20" s="1026"/>
    </row>
    <row r="21" spans="1:11" ht="12.5">
      <c r="A21" s="1008">
        <f t="shared" si="0"/>
        <v>13</v>
      </c>
      <c r="B21" s="1041" t="s">
        <v>81</v>
      </c>
      <c r="C21" s="917">
        <v>31</v>
      </c>
      <c r="D21" s="921">
        <f t="shared" si="5"/>
        <v>123</v>
      </c>
      <c r="E21" s="921">
        <f t="shared" si="1"/>
        <v>365</v>
      </c>
      <c r="F21" s="922">
        <f t="shared" si="2"/>
        <v>0.33698630136986302</v>
      </c>
      <c r="G21" s="918"/>
      <c r="H21" s="919">
        <f t="shared" si="6"/>
        <v>0</v>
      </c>
      <c r="I21" s="917">
        <f t="shared" si="3"/>
        <v>0</v>
      </c>
      <c r="J21" s="917">
        <f t="shared" si="4"/>
        <v>0</v>
      </c>
      <c r="K21" s="1026"/>
    </row>
    <row r="22" spans="1:11" ht="12.5">
      <c r="A22" s="1008">
        <f t="shared" si="0"/>
        <v>14</v>
      </c>
      <c r="B22" s="1041" t="s">
        <v>80</v>
      </c>
      <c r="C22" s="917">
        <v>30</v>
      </c>
      <c r="D22" s="921">
        <f t="shared" si="5"/>
        <v>93</v>
      </c>
      <c r="E22" s="921">
        <f t="shared" si="1"/>
        <v>365</v>
      </c>
      <c r="F22" s="922">
        <f t="shared" si="2"/>
        <v>0.25479452054794521</v>
      </c>
      <c r="G22" s="918"/>
      <c r="H22" s="919">
        <f t="shared" si="6"/>
        <v>0</v>
      </c>
      <c r="I22" s="917">
        <f t="shared" si="3"/>
        <v>0</v>
      </c>
      <c r="J22" s="917">
        <f t="shared" si="4"/>
        <v>0</v>
      </c>
      <c r="K22" s="1026"/>
    </row>
    <row r="23" spans="1:11" ht="12.5">
      <c r="A23" s="1008">
        <f t="shared" si="0"/>
        <v>15</v>
      </c>
      <c r="B23" s="1041" t="s">
        <v>86</v>
      </c>
      <c r="C23" s="917">
        <v>31</v>
      </c>
      <c r="D23" s="921">
        <f t="shared" si="5"/>
        <v>62</v>
      </c>
      <c r="E23" s="921">
        <f t="shared" si="1"/>
        <v>365</v>
      </c>
      <c r="F23" s="922">
        <f t="shared" si="2"/>
        <v>0.16986301369863013</v>
      </c>
      <c r="G23" s="918"/>
      <c r="H23" s="919">
        <f t="shared" si="6"/>
        <v>0</v>
      </c>
      <c r="I23" s="917">
        <f t="shared" si="3"/>
        <v>0</v>
      </c>
      <c r="J23" s="917">
        <f t="shared" si="4"/>
        <v>0</v>
      </c>
      <c r="K23" s="1026"/>
    </row>
    <row r="24" spans="1:11" ht="12.5">
      <c r="A24" s="1008">
        <f t="shared" si="0"/>
        <v>16</v>
      </c>
      <c r="B24" s="1041" t="s">
        <v>79</v>
      </c>
      <c r="C24" s="917">
        <v>30</v>
      </c>
      <c r="D24" s="921">
        <f t="shared" si="5"/>
        <v>32</v>
      </c>
      <c r="E24" s="921">
        <f t="shared" si="1"/>
        <v>365</v>
      </c>
      <c r="F24" s="922">
        <f t="shared" si="2"/>
        <v>8.7671232876712329E-2</v>
      </c>
      <c r="G24" s="918"/>
      <c r="H24" s="919">
        <f t="shared" si="6"/>
        <v>0</v>
      </c>
      <c r="I24" s="917">
        <f t="shared" si="3"/>
        <v>0</v>
      </c>
      <c r="J24" s="917">
        <f t="shared" si="4"/>
        <v>0</v>
      </c>
      <c r="K24" s="1026"/>
    </row>
    <row r="25" spans="1:11" ht="12.5">
      <c r="A25" s="1008">
        <f t="shared" si="0"/>
        <v>17</v>
      </c>
      <c r="B25" s="1041" t="s">
        <v>78</v>
      </c>
      <c r="C25" s="917">
        <v>31</v>
      </c>
      <c r="D25" s="921">
        <f t="shared" si="5"/>
        <v>1</v>
      </c>
      <c r="E25" s="921">
        <f t="shared" si="1"/>
        <v>365</v>
      </c>
      <c r="F25" s="922">
        <f t="shared" si="2"/>
        <v>2.7397260273972603E-3</v>
      </c>
      <c r="G25" s="918"/>
      <c r="H25" s="919">
        <f t="shared" si="6"/>
        <v>0</v>
      </c>
      <c r="I25" s="917">
        <f t="shared" si="3"/>
        <v>0</v>
      </c>
      <c r="J25" s="917">
        <f t="shared" si="4"/>
        <v>0</v>
      </c>
      <c r="K25" s="1026"/>
    </row>
    <row r="26" spans="1:11" ht="12.5">
      <c r="A26" s="1008">
        <f t="shared" si="0"/>
        <v>18</v>
      </c>
      <c r="B26" s="1042" t="s">
        <v>13</v>
      </c>
      <c r="C26" s="1043">
        <f>SUM(C14:C25)</f>
        <v>365</v>
      </c>
      <c r="D26" s="1043">
        <f>SUM(D14:D25)</f>
        <v>2029</v>
      </c>
      <c r="E26" s="1043">
        <f>SUM(E14:E25)</f>
        <v>4380</v>
      </c>
      <c r="F26" s="1044"/>
      <c r="G26" s="918"/>
      <c r="H26" s="923">
        <f>SUM(H14:H25)</f>
        <v>0</v>
      </c>
      <c r="I26" s="923">
        <f>SUM(I14:I25)</f>
        <v>0</v>
      </c>
      <c r="J26" s="1044"/>
      <c r="K26" s="1026"/>
    </row>
    <row r="27" spans="1:11" ht="12.5">
      <c r="A27" s="1008"/>
      <c r="B27" s="1045"/>
      <c r="C27" s="1046"/>
      <c r="D27" s="1047"/>
      <c r="E27" s="1047"/>
      <c r="F27" s="1048"/>
      <c r="G27" s="918"/>
      <c r="H27" s="917"/>
      <c r="I27" s="917"/>
      <c r="J27" s="1048"/>
      <c r="K27" s="1026"/>
    </row>
    <row r="28" spans="1:11" ht="12.5">
      <c r="A28" s="1008"/>
      <c r="B28" s="1049"/>
      <c r="C28" s="1045"/>
      <c r="D28" s="1047"/>
      <c r="E28" s="924"/>
      <c r="F28" s="1048"/>
      <c r="G28" s="918"/>
      <c r="H28" s="917"/>
      <c r="I28" s="917"/>
      <c r="J28" s="1048"/>
      <c r="K28" s="1026"/>
    </row>
    <row r="29" spans="1:11" ht="12.5">
      <c r="A29" s="1008"/>
      <c r="B29" s="1045"/>
      <c r="C29" s="1045"/>
      <c r="D29" s="1047"/>
      <c r="E29" s="925"/>
      <c r="F29" s="1048"/>
      <c r="G29" s="918"/>
      <c r="H29" s="917"/>
      <c r="I29" s="917"/>
      <c r="J29" s="1048"/>
      <c r="K29" s="1026"/>
    </row>
    <row r="30" spans="1:11" ht="12.5">
      <c r="A30" s="1008"/>
      <c r="B30" s="1045"/>
      <c r="C30" s="1045"/>
      <c r="D30" s="1045"/>
      <c r="E30" s="1045"/>
      <c r="F30" s="1048"/>
      <c r="G30" s="1048"/>
      <c r="H30" s="1009"/>
      <c r="I30" s="1050"/>
      <c r="J30" s="1048"/>
      <c r="K30" s="1026"/>
    </row>
    <row r="31" spans="1:11" ht="12.5">
      <c r="A31" s="1008">
        <f>A26+1</f>
        <v>19</v>
      </c>
      <c r="B31" s="1026" t="s">
        <v>911</v>
      </c>
      <c r="C31" s="1026"/>
      <c r="D31" s="1026"/>
      <c r="E31" s="1026"/>
      <c r="F31" s="1051" t="str">
        <f>"(Line "&amp;A25&amp;", &amp; Col H)"</f>
        <v>(Line 17, &amp; Col H)</v>
      </c>
      <c r="G31" s="1048"/>
      <c r="H31" s="1026"/>
      <c r="I31" s="1048"/>
      <c r="J31" s="926">
        <f>J25</f>
        <v>0</v>
      </c>
      <c r="K31" s="1026"/>
    </row>
    <row r="32" spans="1:11" ht="13.75" customHeight="1">
      <c r="A32" s="1008">
        <f>A31+1</f>
        <v>20</v>
      </c>
      <c r="B32" s="1026" t="s">
        <v>912</v>
      </c>
      <c r="C32" s="1026"/>
      <c r="D32" s="1026"/>
      <c r="E32" s="1026"/>
      <c r="F32" s="1026"/>
      <c r="G32" s="1026"/>
      <c r="H32" s="1026"/>
      <c r="I32" s="1026"/>
      <c r="J32" s="1052">
        <f>J13</f>
        <v>0</v>
      </c>
      <c r="K32" s="1026"/>
    </row>
    <row r="33" spans="1:11" ht="13.75" customHeight="1" thickBot="1">
      <c r="A33" s="1008">
        <f>A32+1</f>
        <v>21</v>
      </c>
      <c r="B33" s="1026" t="s">
        <v>913</v>
      </c>
      <c r="C33" s="1026"/>
      <c r="D33" s="1026"/>
      <c r="E33" s="1026"/>
      <c r="F33" s="1051" t="str">
        <f>"(Line "&amp;A31&amp;" minus Line "&amp;A32&amp;")"</f>
        <v>(Line 19 minus Line 20)</v>
      </c>
      <c r="G33" s="1051"/>
      <c r="H33" s="1051"/>
      <c r="I33" s="1026"/>
      <c r="J33" s="1053">
        <f>J31-J32</f>
        <v>0</v>
      </c>
      <c r="K33" s="1026"/>
    </row>
    <row r="34" spans="1:11" ht="13.75" customHeight="1" thickTop="1">
      <c r="A34" s="1008"/>
      <c r="B34" s="1026"/>
      <c r="C34" s="1026"/>
      <c r="D34" s="1026"/>
      <c r="E34" s="1026"/>
      <c r="F34" s="1051"/>
      <c r="G34" s="1051"/>
      <c r="H34" s="1051"/>
      <c r="I34" s="1026"/>
      <c r="J34" s="1054"/>
      <c r="K34" s="1026"/>
    </row>
    <row r="35" spans="1:11" ht="12.5">
      <c r="A35" s="1008"/>
    </row>
    <row r="36" spans="1:11" s="915" customFormat="1" ht="15.5">
      <c r="A36" s="1055"/>
      <c r="B36" s="1056" t="s">
        <v>914</v>
      </c>
      <c r="C36" s="1034"/>
      <c r="D36" s="1034"/>
      <c r="E36" s="1034"/>
    </row>
    <row r="37" spans="1:11" ht="13">
      <c r="A37" s="1008"/>
      <c r="B37" s="1057"/>
      <c r="C37" s="1026"/>
      <c r="D37" s="1026"/>
      <c r="E37" s="1026"/>
    </row>
    <row r="38" spans="1:11" ht="13">
      <c r="A38" s="916" t="s">
        <v>8</v>
      </c>
      <c r="F38" s="1026"/>
      <c r="G38" s="1026"/>
      <c r="H38" s="1035"/>
      <c r="I38" s="1035"/>
      <c r="J38" s="1035"/>
      <c r="K38" s="1026"/>
    </row>
    <row r="39" spans="1:11" ht="13">
      <c r="A39" s="1008" t="s">
        <v>10</v>
      </c>
      <c r="B39" s="1057"/>
      <c r="C39" s="1026"/>
      <c r="D39" s="1026"/>
      <c r="E39" s="1026"/>
      <c r="F39" s="1026"/>
      <c r="G39" s="1026"/>
      <c r="H39" s="1035"/>
      <c r="I39" s="1035"/>
      <c r="J39" s="1035"/>
      <c r="K39" s="1026"/>
    </row>
    <row r="40" spans="1:11" ht="13">
      <c r="A40" s="1008">
        <f>A33+1</f>
        <v>22</v>
      </c>
      <c r="B40" s="1278" t="s">
        <v>901</v>
      </c>
      <c r="C40" s="1279"/>
      <c r="D40" s="1279"/>
      <c r="E40" s="1279"/>
      <c r="F40" s="1280"/>
      <c r="G40" s="1036"/>
      <c r="H40" s="1281" t="s">
        <v>902</v>
      </c>
      <c r="I40" s="1282"/>
      <c r="J40" s="1283"/>
      <c r="K40" s="1026"/>
    </row>
    <row r="41" spans="1:11" ht="13">
      <c r="A41" s="1008">
        <f>A40+1</f>
        <v>23</v>
      </c>
      <c r="B41" s="1037" t="s">
        <v>62</v>
      </c>
      <c r="C41" s="1037" t="s">
        <v>63</v>
      </c>
      <c r="D41" s="1037" t="s">
        <v>64</v>
      </c>
      <c r="E41" s="1037" t="s">
        <v>65</v>
      </c>
      <c r="F41" s="1037" t="s">
        <v>66</v>
      </c>
      <c r="G41" s="1036"/>
      <c r="H41" s="1037" t="s">
        <v>67</v>
      </c>
      <c r="I41" s="1037" t="s">
        <v>68</v>
      </c>
      <c r="J41" s="1037" t="s">
        <v>69</v>
      </c>
      <c r="K41" s="1026"/>
    </row>
    <row r="42" spans="1:11" ht="116.5" customHeight="1">
      <c r="A42" s="1008">
        <f t="shared" ref="A42:A57" si="7">A41+1</f>
        <v>24</v>
      </c>
      <c r="B42" s="1038" t="s">
        <v>160</v>
      </c>
      <c r="C42" s="1038" t="s">
        <v>903</v>
      </c>
      <c r="D42" s="1038" t="s">
        <v>904</v>
      </c>
      <c r="E42" s="1038" t="s">
        <v>905</v>
      </c>
      <c r="F42" s="1038" t="s">
        <v>906</v>
      </c>
      <c r="G42" s="1039"/>
      <c r="H42" s="1038" t="s">
        <v>907</v>
      </c>
      <c r="I42" s="1038" t="s">
        <v>908</v>
      </c>
      <c r="J42" s="1038" t="s">
        <v>909</v>
      </c>
      <c r="K42" s="1026"/>
    </row>
    <row r="43" spans="1:11" ht="12.5">
      <c r="A43" s="1008">
        <f t="shared" si="7"/>
        <v>25</v>
      </c>
      <c r="B43" s="1026"/>
      <c r="C43" s="1039"/>
      <c r="D43" s="1039"/>
      <c r="E43" s="1039"/>
      <c r="F43" s="1039"/>
      <c r="G43" s="1039"/>
      <c r="H43" s="1039"/>
      <c r="I43" s="1039"/>
      <c r="J43" s="1039"/>
      <c r="K43" s="1026"/>
    </row>
    <row r="44" spans="1:11" ht="13">
      <c r="A44" s="1008">
        <f t="shared" si="7"/>
        <v>26</v>
      </c>
      <c r="B44" s="1040" t="s">
        <v>915</v>
      </c>
      <c r="C44" s="1041"/>
      <c r="D44" s="918"/>
      <c r="E44" s="918"/>
      <c r="F44" s="918"/>
      <c r="G44" s="918"/>
      <c r="H44" s="917"/>
      <c r="I44" s="917"/>
      <c r="J44" s="919"/>
      <c r="K44" s="920"/>
    </row>
    <row r="45" spans="1:11" ht="12.5">
      <c r="A45" s="1008">
        <f t="shared" si="7"/>
        <v>27</v>
      </c>
      <c r="B45" s="1041" t="s">
        <v>85</v>
      </c>
      <c r="C45" s="917">
        <v>31</v>
      </c>
      <c r="D45" s="921">
        <f>E45-C45+1</f>
        <v>335</v>
      </c>
      <c r="E45" s="921">
        <f>$C$26</f>
        <v>365</v>
      </c>
      <c r="F45" s="922">
        <f>D45/E45</f>
        <v>0.9178082191780822</v>
      </c>
      <c r="G45" s="918"/>
      <c r="H45" s="919"/>
      <c r="I45" s="917">
        <f>H45*F45</f>
        <v>0</v>
      </c>
      <c r="J45" s="917">
        <f>$J44+$I45</f>
        <v>0</v>
      </c>
      <c r="K45" s="1026"/>
    </row>
    <row r="46" spans="1:11" ht="12.5">
      <c r="A46" s="1008">
        <f t="shared" si="7"/>
        <v>28</v>
      </c>
      <c r="B46" s="1041" t="s">
        <v>84</v>
      </c>
      <c r="C46" s="919">
        <v>28</v>
      </c>
      <c r="D46" s="921">
        <f>D45-C46</f>
        <v>307</v>
      </c>
      <c r="E46" s="921">
        <f t="shared" ref="E46:E56" si="8">$C$26</f>
        <v>365</v>
      </c>
      <c r="F46" s="922">
        <f t="shared" ref="F46:F56" si="9">D46/E46</f>
        <v>0.84109589041095889</v>
      </c>
      <c r="G46" s="918"/>
      <c r="H46" s="919"/>
      <c r="I46" s="917">
        <f t="shared" ref="I46:I56" si="10">H46*F46</f>
        <v>0</v>
      </c>
      <c r="J46" s="917">
        <f t="shared" ref="J46:J56" si="11">$J45+$I46</f>
        <v>0</v>
      </c>
      <c r="K46" s="1026"/>
    </row>
    <row r="47" spans="1:11" ht="12.5">
      <c r="A47" s="1008">
        <f t="shared" si="7"/>
        <v>29</v>
      </c>
      <c r="B47" s="1041" t="s">
        <v>83</v>
      </c>
      <c r="C47" s="917">
        <v>31</v>
      </c>
      <c r="D47" s="921">
        <f t="shared" ref="D47:D56" si="12">D46-C47</f>
        <v>276</v>
      </c>
      <c r="E47" s="921">
        <f t="shared" si="8"/>
        <v>365</v>
      </c>
      <c r="F47" s="922">
        <f t="shared" si="9"/>
        <v>0.75616438356164384</v>
      </c>
      <c r="G47" s="918"/>
      <c r="H47" s="919"/>
      <c r="I47" s="917">
        <f t="shared" si="10"/>
        <v>0</v>
      </c>
      <c r="J47" s="917">
        <f t="shared" si="11"/>
        <v>0</v>
      </c>
      <c r="K47" s="1026"/>
    </row>
    <row r="48" spans="1:11" ht="12.5">
      <c r="A48" s="1008">
        <f t="shared" si="7"/>
        <v>30</v>
      </c>
      <c r="B48" s="1041" t="s">
        <v>76</v>
      </c>
      <c r="C48" s="917">
        <v>30</v>
      </c>
      <c r="D48" s="921">
        <f t="shared" si="12"/>
        <v>246</v>
      </c>
      <c r="E48" s="921">
        <f t="shared" si="8"/>
        <v>365</v>
      </c>
      <c r="F48" s="922">
        <f t="shared" si="9"/>
        <v>0.67397260273972603</v>
      </c>
      <c r="G48" s="918"/>
      <c r="H48" s="919"/>
      <c r="I48" s="917">
        <f t="shared" si="10"/>
        <v>0</v>
      </c>
      <c r="J48" s="917">
        <f t="shared" si="11"/>
        <v>0</v>
      </c>
      <c r="K48" s="1026"/>
    </row>
    <row r="49" spans="1:11" ht="12.5">
      <c r="A49" s="1008">
        <f t="shared" si="7"/>
        <v>31</v>
      </c>
      <c r="B49" s="1041" t="s">
        <v>75</v>
      </c>
      <c r="C49" s="917">
        <v>31</v>
      </c>
      <c r="D49" s="921">
        <f t="shared" si="12"/>
        <v>215</v>
      </c>
      <c r="E49" s="921">
        <f t="shared" si="8"/>
        <v>365</v>
      </c>
      <c r="F49" s="922">
        <f t="shared" si="9"/>
        <v>0.58904109589041098</v>
      </c>
      <c r="G49" s="918"/>
      <c r="H49" s="919"/>
      <c r="I49" s="917">
        <f t="shared" si="10"/>
        <v>0</v>
      </c>
      <c r="J49" s="917">
        <f t="shared" si="11"/>
        <v>0</v>
      </c>
      <c r="K49" s="1026"/>
    </row>
    <row r="50" spans="1:11" ht="12.5">
      <c r="A50" s="1008">
        <f t="shared" si="7"/>
        <v>32</v>
      </c>
      <c r="B50" s="1041" t="s">
        <v>92</v>
      </c>
      <c r="C50" s="917">
        <v>30</v>
      </c>
      <c r="D50" s="921">
        <f t="shared" si="12"/>
        <v>185</v>
      </c>
      <c r="E50" s="921">
        <f t="shared" si="8"/>
        <v>365</v>
      </c>
      <c r="F50" s="922">
        <f t="shared" si="9"/>
        <v>0.50684931506849318</v>
      </c>
      <c r="G50" s="918"/>
      <c r="H50" s="919"/>
      <c r="I50" s="917">
        <f t="shared" si="10"/>
        <v>0</v>
      </c>
      <c r="J50" s="917">
        <f t="shared" si="11"/>
        <v>0</v>
      </c>
      <c r="K50" s="1026"/>
    </row>
    <row r="51" spans="1:11" ht="12.5">
      <c r="A51" s="1008">
        <f t="shared" si="7"/>
        <v>33</v>
      </c>
      <c r="B51" s="1041" t="s">
        <v>82</v>
      </c>
      <c r="C51" s="917">
        <v>31</v>
      </c>
      <c r="D51" s="921">
        <f t="shared" si="12"/>
        <v>154</v>
      </c>
      <c r="E51" s="921">
        <f t="shared" si="8"/>
        <v>365</v>
      </c>
      <c r="F51" s="922">
        <f t="shared" si="9"/>
        <v>0.42191780821917807</v>
      </c>
      <c r="G51" s="918"/>
      <c r="H51" s="919"/>
      <c r="I51" s="917">
        <f t="shared" si="10"/>
        <v>0</v>
      </c>
      <c r="J51" s="917">
        <f t="shared" si="11"/>
        <v>0</v>
      </c>
      <c r="K51" s="1026"/>
    </row>
    <row r="52" spans="1:11" ht="12.5">
      <c r="A52" s="1008">
        <f t="shared" si="7"/>
        <v>34</v>
      </c>
      <c r="B52" s="1041" t="s">
        <v>81</v>
      </c>
      <c r="C52" s="917">
        <v>31</v>
      </c>
      <c r="D52" s="921">
        <f t="shared" si="12"/>
        <v>123</v>
      </c>
      <c r="E52" s="921">
        <f t="shared" si="8"/>
        <v>365</v>
      </c>
      <c r="F52" s="922">
        <f t="shared" si="9"/>
        <v>0.33698630136986302</v>
      </c>
      <c r="G52" s="918"/>
      <c r="H52" s="919"/>
      <c r="I52" s="917">
        <f t="shared" si="10"/>
        <v>0</v>
      </c>
      <c r="J52" s="917">
        <f t="shared" si="11"/>
        <v>0</v>
      </c>
      <c r="K52" s="1026"/>
    </row>
    <row r="53" spans="1:11" ht="12.5">
      <c r="A53" s="1008">
        <f t="shared" si="7"/>
        <v>35</v>
      </c>
      <c r="B53" s="1041" t="s">
        <v>80</v>
      </c>
      <c r="C53" s="917">
        <v>30</v>
      </c>
      <c r="D53" s="921">
        <f t="shared" si="12"/>
        <v>93</v>
      </c>
      <c r="E53" s="921">
        <f t="shared" si="8"/>
        <v>365</v>
      </c>
      <c r="F53" s="922">
        <f t="shared" si="9"/>
        <v>0.25479452054794521</v>
      </c>
      <c r="G53" s="918"/>
      <c r="H53" s="919"/>
      <c r="I53" s="917">
        <f t="shared" si="10"/>
        <v>0</v>
      </c>
      <c r="J53" s="917">
        <f t="shared" si="11"/>
        <v>0</v>
      </c>
      <c r="K53" s="1026"/>
    </row>
    <row r="54" spans="1:11" ht="12.5">
      <c r="A54" s="1008">
        <f t="shared" si="7"/>
        <v>36</v>
      </c>
      <c r="B54" s="1041" t="s">
        <v>86</v>
      </c>
      <c r="C54" s="917">
        <v>31</v>
      </c>
      <c r="D54" s="921">
        <f t="shared" si="12"/>
        <v>62</v>
      </c>
      <c r="E54" s="921">
        <f t="shared" si="8"/>
        <v>365</v>
      </c>
      <c r="F54" s="922">
        <f t="shared" si="9"/>
        <v>0.16986301369863013</v>
      </c>
      <c r="G54" s="918"/>
      <c r="H54" s="919"/>
      <c r="I54" s="917">
        <f t="shared" si="10"/>
        <v>0</v>
      </c>
      <c r="J54" s="917">
        <f t="shared" si="11"/>
        <v>0</v>
      </c>
      <c r="K54" s="1026"/>
    </row>
    <row r="55" spans="1:11" ht="12.5">
      <c r="A55" s="1008">
        <f t="shared" si="7"/>
        <v>37</v>
      </c>
      <c r="B55" s="1041" t="s">
        <v>79</v>
      </c>
      <c r="C55" s="917">
        <v>30</v>
      </c>
      <c r="D55" s="921">
        <f t="shared" si="12"/>
        <v>32</v>
      </c>
      <c r="E55" s="921">
        <f t="shared" si="8"/>
        <v>365</v>
      </c>
      <c r="F55" s="922">
        <f t="shared" si="9"/>
        <v>8.7671232876712329E-2</v>
      </c>
      <c r="G55" s="918"/>
      <c r="H55" s="919"/>
      <c r="I55" s="917">
        <f t="shared" si="10"/>
        <v>0</v>
      </c>
      <c r="J55" s="917">
        <f t="shared" si="11"/>
        <v>0</v>
      </c>
      <c r="K55" s="1026"/>
    </row>
    <row r="56" spans="1:11" ht="12.5">
      <c r="A56" s="1008">
        <f t="shared" si="7"/>
        <v>38</v>
      </c>
      <c r="B56" s="1041" t="s">
        <v>78</v>
      </c>
      <c r="C56" s="927">
        <v>31</v>
      </c>
      <c r="D56" s="921">
        <f t="shared" si="12"/>
        <v>1</v>
      </c>
      <c r="E56" s="921">
        <f t="shared" si="8"/>
        <v>365</v>
      </c>
      <c r="F56" s="922">
        <f t="shared" si="9"/>
        <v>2.7397260273972603E-3</v>
      </c>
      <c r="G56" s="918"/>
      <c r="H56" s="919"/>
      <c r="I56" s="917">
        <f t="shared" si="10"/>
        <v>0</v>
      </c>
      <c r="J56" s="917">
        <f t="shared" si="11"/>
        <v>0</v>
      </c>
      <c r="K56" s="1026"/>
    </row>
    <row r="57" spans="1:11" ht="12.5">
      <c r="A57" s="1008">
        <f t="shared" si="7"/>
        <v>39</v>
      </c>
      <c r="B57" s="1042" t="s">
        <v>13</v>
      </c>
      <c r="C57" s="1046">
        <f>SUM(C45:C56)</f>
        <v>365</v>
      </c>
      <c r="D57" s="1043">
        <f>SUM(D45:D56)</f>
        <v>2029</v>
      </c>
      <c r="E57" s="1043">
        <f>SUM(E45:E56)</f>
        <v>4380</v>
      </c>
      <c r="F57" s="1044"/>
      <c r="G57" s="918"/>
      <c r="H57" s="923">
        <f>SUM(H45:H56)</f>
        <v>0</v>
      </c>
      <c r="I57" s="923">
        <f>SUM(I45:I56)</f>
        <v>0</v>
      </c>
      <c r="J57" s="1044"/>
      <c r="K57" s="1026"/>
    </row>
    <row r="58" spans="1:11" ht="12.5">
      <c r="A58" s="1008"/>
      <c r="B58" s="1045"/>
      <c r="D58" s="1047"/>
      <c r="E58" s="1047"/>
      <c r="F58" s="1048"/>
      <c r="G58" s="918"/>
      <c r="H58" s="917"/>
      <c r="I58" s="917"/>
      <c r="J58" s="1048"/>
      <c r="K58" s="1026"/>
    </row>
    <row r="59" spans="1:11" ht="12.5">
      <c r="A59" s="1008"/>
      <c r="B59" s="1049"/>
      <c r="C59" s="1045"/>
      <c r="D59" s="1047"/>
      <c r="E59" s="924"/>
      <c r="F59" s="1048"/>
      <c r="G59" s="918"/>
      <c r="H59" s="917"/>
      <c r="I59" s="917"/>
      <c r="J59" s="1048"/>
      <c r="K59" s="1026"/>
    </row>
    <row r="60" spans="1:11" ht="12.5">
      <c r="A60" s="1008"/>
      <c r="B60" s="1045"/>
      <c r="C60" s="1045"/>
      <c r="D60" s="1047"/>
      <c r="E60" s="925"/>
      <c r="F60" s="1048"/>
      <c r="G60" s="918"/>
      <c r="H60" s="917"/>
      <c r="I60" s="917"/>
      <c r="J60" s="1048"/>
      <c r="K60" s="1026"/>
    </row>
    <row r="61" spans="1:11" ht="12.5">
      <c r="A61" s="1008"/>
      <c r="B61" s="1045"/>
      <c r="C61" s="1045"/>
      <c r="D61" s="1045"/>
      <c r="E61" s="1045"/>
      <c r="F61" s="1048"/>
      <c r="G61" s="1048"/>
      <c r="H61" s="1009"/>
      <c r="I61" s="1050"/>
      <c r="J61" s="1048"/>
      <c r="K61" s="1026"/>
    </row>
    <row r="62" spans="1:11" ht="12.5">
      <c r="A62" s="1008">
        <f>A57+1</f>
        <v>40</v>
      </c>
      <c r="B62" s="1026" t="s">
        <v>911</v>
      </c>
      <c r="C62" s="1026"/>
      <c r="D62" s="1026"/>
      <c r="E62" s="1026"/>
      <c r="F62" s="1051" t="str">
        <f>"(Line "&amp;A56&amp;", &amp; Col H)"</f>
        <v>(Line 38, &amp; Col H)</v>
      </c>
      <c r="G62" s="1058"/>
      <c r="H62" s="1051"/>
      <c r="I62" s="1058"/>
      <c r="J62" s="926">
        <f>J56</f>
        <v>0</v>
      </c>
      <c r="K62" s="1051"/>
    </row>
    <row r="63" spans="1:11" ht="12.5">
      <c r="A63" s="1008">
        <f>A62+1</f>
        <v>41</v>
      </c>
      <c r="B63" s="1026" t="s">
        <v>912</v>
      </c>
      <c r="C63" s="1026"/>
      <c r="D63" s="1026"/>
      <c r="E63" s="1026"/>
      <c r="F63" s="1026"/>
      <c r="G63" s="1026"/>
      <c r="H63" s="1026"/>
      <c r="I63" s="1051"/>
      <c r="J63" s="1052"/>
      <c r="K63" s="1051"/>
    </row>
    <row r="64" spans="1:11" ht="12.5">
      <c r="A64" s="1008">
        <f>A63+1</f>
        <v>42</v>
      </c>
      <c r="B64" s="1026" t="s">
        <v>913</v>
      </c>
      <c r="F64" s="1051" t="str">
        <f>"(Line "&amp;A62&amp;" minus Line "&amp;A63&amp;")"</f>
        <v>(Line 40 minus Line 41)</v>
      </c>
      <c r="G64" s="1051"/>
      <c r="H64" s="1051"/>
      <c r="I64" s="1051"/>
      <c r="J64" s="1054">
        <f>J62-J63</f>
        <v>0</v>
      </c>
      <c r="K64" s="928"/>
    </row>
    <row r="65" spans="1:11" ht="12.5">
      <c r="A65" s="1008"/>
      <c r="B65" s="1026"/>
      <c r="F65" s="1051"/>
      <c r="G65" s="1051"/>
      <c r="H65" s="1051"/>
      <c r="I65" s="1051"/>
      <c r="J65" s="1054"/>
      <c r="K65" s="928"/>
    </row>
    <row r="66" spans="1:11" ht="12.5">
      <c r="A66" s="1008"/>
      <c r="B66" s="1026"/>
      <c r="F66" s="1051"/>
      <c r="G66" s="928"/>
      <c r="H66" s="928"/>
      <c r="I66" s="928"/>
      <c r="J66" s="928"/>
      <c r="K66" s="928"/>
    </row>
    <row r="67" spans="1:11" ht="20">
      <c r="A67" s="909"/>
      <c r="B67" s="840"/>
      <c r="C67" s="1009"/>
      <c r="J67" s="914" t="s">
        <v>147</v>
      </c>
      <c r="K67" s="928"/>
    </row>
    <row r="68" spans="1:11" s="915" customFormat="1" ht="15.5">
      <c r="A68" s="1055"/>
      <c r="B68" s="1056" t="s">
        <v>916</v>
      </c>
      <c r="C68" s="1034"/>
      <c r="D68" s="1034"/>
      <c r="F68" s="1059"/>
      <c r="G68" s="929"/>
      <c r="H68" s="929"/>
      <c r="I68" s="929"/>
    </row>
    <row r="69" spans="1:11" ht="12.5">
      <c r="A69" s="1008"/>
      <c r="B69" s="1026"/>
      <c r="F69" s="1051"/>
      <c r="G69" s="928"/>
      <c r="H69" s="928"/>
      <c r="I69" s="928"/>
      <c r="J69" s="928"/>
      <c r="K69" s="928"/>
    </row>
    <row r="70" spans="1:11" ht="12.5">
      <c r="A70" s="916" t="s">
        <v>8</v>
      </c>
    </row>
    <row r="71" spans="1:11" ht="13">
      <c r="A71" s="1008" t="s">
        <v>10</v>
      </c>
      <c r="E71" s="1026"/>
      <c r="F71" s="1026"/>
      <c r="G71" s="1026"/>
      <c r="H71" s="1035"/>
      <c r="I71" s="1035"/>
      <c r="J71" s="1035"/>
      <c r="K71" s="1026"/>
    </row>
    <row r="72" spans="1:11" ht="13">
      <c r="A72" s="1008">
        <f>A64+1</f>
        <v>43</v>
      </c>
      <c r="B72" s="1278" t="s">
        <v>901</v>
      </c>
      <c r="C72" s="1279"/>
      <c r="D72" s="1279"/>
      <c r="E72" s="1279"/>
      <c r="F72" s="1280"/>
      <c r="G72" s="1036"/>
      <c r="H72" s="1281" t="s">
        <v>902</v>
      </c>
      <c r="I72" s="1282"/>
      <c r="J72" s="1283"/>
      <c r="K72" s="1026"/>
    </row>
    <row r="73" spans="1:11" ht="13">
      <c r="A73" s="1008">
        <f t="shared" ref="A73:A89" si="13">A72+1</f>
        <v>44</v>
      </c>
      <c r="B73" s="1037" t="s">
        <v>62</v>
      </c>
      <c r="C73" s="1037" t="s">
        <v>63</v>
      </c>
      <c r="D73" s="1037" t="s">
        <v>64</v>
      </c>
      <c r="E73" s="1037" t="s">
        <v>65</v>
      </c>
      <c r="F73" s="1037" t="s">
        <v>66</v>
      </c>
      <c r="G73" s="1036"/>
      <c r="H73" s="1037" t="s">
        <v>67</v>
      </c>
      <c r="I73" s="1037" t="s">
        <v>68</v>
      </c>
      <c r="J73" s="1037" t="s">
        <v>69</v>
      </c>
      <c r="K73" s="1026"/>
    </row>
    <row r="74" spans="1:11" ht="116.5" customHeight="1">
      <c r="A74" s="1008">
        <f t="shared" si="13"/>
        <v>45</v>
      </c>
      <c r="B74" s="1038" t="s">
        <v>160</v>
      </c>
      <c r="C74" s="1038" t="s">
        <v>903</v>
      </c>
      <c r="D74" s="1038" t="s">
        <v>904</v>
      </c>
      <c r="E74" s="1038" t="s">
        <v>905</v>
      </c>
      <c r="F74" s="1038" t="s">
        <v>906</v>
      </c>
      <c r="G74" s="1039"/>
      <c r="H74" s="1038" t="s">
        <v>907</v>
      </c>
      <c r="I74" s="1038" t="s">
        <v>908</v>
      </c>
      <c r="J74" s="1038" t="s">
        <v>909</v>
      </c>
      <c r="K74" s="1026"/>
    </row>
    <row r="75" spans="1:11" ht="12.5">
      <c r="A75" s="1008">
        <f t="shared" si="13"/>
        <v>46</v>
      </c>
      <c r="B75" s="1026"/>
      <c r="C75" s="1039"/>
      <c r="D75" s="1039"/>
      <c r="E75" s="1039"/>
      <c r="F75" s="1039"/>
      <c r="G75" s="1039"/>
      <c r="H75" s="1039"/>
      <c r="I75" s="1039"/>
      <c r="J75" s="1039"/>
      <c r="K75" s="1026"/>
    </row>
    <row r="76" spans="1:11" ht="13">
      <c r="A76" s="1008">
        <f t="shared" si="13"/>
        <v>47</v>
      </c>
      <c r="B76" s="1040" t="s">
        <v>915</v>
      </c>
      <c r="C76" s="1041"/>
      <c r="D76" s="918"/>
      <c r="E76" s="918"/>
      <c r="F76" s="918"/>
      <c r="G76" s="918"/>
      <c r="H76" s="917"/>
      <c r="I76" s="917"/>
      <c r="J76" s="919"/>
      <c r="K76" s="920"/>
    </row>
    <row r="77" spans="1:11" ht="12.5">
      <c r="A77" s="1008">
        <f t="shared" si="13"/>
        <v>48</v>
      </c>
      <c r="B77" s="1041" t="s">
        <v>85</v>
      </c>
      <c r="C77" s="917">
        <v>31</v>
      </c>
      <c r="D77" s="921">
        <f>E77-C77+1</f>
        <v>335</v>
      </c>
      <c r="E77" s="921">
        <f>$C$26</f>
        <v>365</v>
      </c>
      <c r="F77" s="922">
        <f>D77/E77</f>
        <v>0.9178082191780822</v>
      </c>
      <c r="G77" s="918"/>
      <c r="H77" s="919"/>
      <c r="I77" s="917">
        <f>H77*F77</f>
        <v>0</v>
      </c>
      <c r="J77" s="917">
        <f>$J76+$I77</f>
        <v>0</v>
      </c>
      <c r="K77" s="1026"/>
    </row>
    <row r="78" spans="1:11" ht="12.5">
      <c r="A78" s="1008">
        <f t="shared" si="13"/>
        <v>49</v>
      </c>
      <c r="B78" s="1041" t="s">
        <v>84</v>
      </c>
      <c r="C78" s="919">
        <v>28</v>
      </c>
      <c r="D78" s="921">
        <f>D77-C78</f>
        <v>307</v>
      </c>
      <c r="E78" s="921">
        <f t="shared" ref="E78:E88" si="14">$C$26</f>
        <v>365</v>
      </c>
      <c r="F78" s="922">
        <f t="shared" ref="F78:F88" si="15">D78/E78</f>
        <v>0.84109589041095889</v>
      </c>
      <c r="G78" s="918"/>
      <c r="H78" s="919"/>
      <c r="I78" s="917">
        <f t="shared" ref="I78:I88" si="16">H78*F78</f>
        <v>0</v>
      </c>
      <c r="J78" s="917">
        <f t="shared" ref="J78:J88" si="17">$J77+$I78</f>
        <v>0</v>
      </c>
      <c r="K78" s="1026"/>
    </row>
    <row r="79" spans="1:11" ht="12.5">
      <c r="A79" s="1008">
        <f t="shared" si="13"/>
        <v>50</v>
      </c>
      <c r="B79" s="1041" t="s">
        <v>83</v>
      </c>
      <c r="C79" s="917">
        <v>31</v>
      </c>
      <c r="D79" s="921">
        <f t="shared" ref="D79:D88" si="18">D78-C79</f>
        <v>276</v>
      </c>
      <c r="E79" s="921">
        <f t="shared" si="14"/>
        <v>365</v>
      </c>
      <c r="F79" s="922">
        <f t="shared" si="15"/>
        <v>0.75616438356164384</v>
      </c>
      <c r="G79" s="918"/>
      <c r="H79" s="919"/>
      <c r="I79" s="917">
        <f t="shared" si="16"/>
        <v>0</v>
      </c>
      <c r="J79" s="917">
        <f t="shared" si="17"/>
        <v>0</v>
      </c>
      <c r="K79" s="1026"/>
    </row>
    <row r="80" spans="1:11" ht="12.5">
      <c r="A80" s="1008">
        <f t="shared" si="13"/>
        <v>51</v>
      </c>
      <c r="B80" s="1041" t="s">
        <v>76</v>
      </c>
      <c r="C80" s="917">
        <v>30</v>
      </c>
      <c r="D80" s="921">
        <f t="shared" si="18"/>
        <v>246</v>
      </c>
      <c r="E80" s="921">
        <f t="shared" si="14"/>
        <v>365</v>
      </c>
      <c r="F80" s="922">
        <f t="shared" si="15"/>
        <v>0.67397260273972603</v>
      </c>
      <c r="G80" s="918"/>
      <c r="H80" s="919"/>
      <c r="I80" s="917">
        <f t="shared" si="16"/>
        <v>0</v>
      </c>
      <c r="J80" s="917">
        <f t="shared" si="17"/>
        <v>0</v>
      </c>
      <c r="K80" s="1026"/>
    </row>
    <row r="81" spans="1:12" ht="12.5">
      <c r="A81" s="1008">
        <f t="shared" si="13"/>
        <v>52</v>
      </c>
      <c r="B81" s="1041" t="s">
        <v>75</v>
      </c>
      <c r="C81" s="917">
        <v>31</v>
      </c>
      <c r="D81" s="921">
        <f t="shared" si="18"/>
        <v>215</v>
      </c>
      <c r="E81" s="921">
        <f t="shared" si="14"/>
        <v>365</v>
      </c>
      <c r="F81" s="922">
        <f t="shared" si="15"/>
        <v>0.58904109589041098</v>
      </c>
      <c r="G81" s="918"/>
      <c r="H81" s="919"/>
      <c r="I81" s="917">
        <f t="shared" si="16"/>
        <v>0</v>
      </c>
      <c r="J81" s="917">
        <f t="shared" si="17"/>
        <v>0</v>
      </c>
      <c r="K81" s="1026"/>
    </row>
    <row r="82" spans="1:12" ht="12.5">
      <c r="A82" s="1008">
        <f t="shared" si="13"/>
        <v>53</v>
      </c>
      <c r="B82" s="1041" t="s">
        <v>92</v>
      </c>
      <c r="C82" s="917">
        <v>30</v>
      </c>
      <c r="D82" s="921">
        <f t="shared" si="18"/>
        <v>185</v>
      </c>
      <c r="E82" s="921">
        <f t="shared" si="14"/>
        <v>365</v>
      </c>
      <c r="F82" s="922">
        <f t="shared" si="15"/>
        <v>0.50684931506849318</v>
      </c>
      <c r="G82" s="918"/>
      <c r="H82" s="919"/>
      <c r="I82" s="917">
        <f t="shared" si="16"/>
        <v>0</v>
      </c>
      <c r="J82" s="917">
        <f t="shared" si="17"/>
        <v>0</v>
      </c>
      <c r="K82" s="1026"/>
    </row>
    <row r="83" spans="1:12" ht="12.5">
      <c r="A83" s="1008">
        <f t="shared" si="13"/>
        <v>54</v>
      </c>
      <c r="B83" s="1041" t="s">
        <v>82</v>
      </c>
      <c r="C83" s="917">
        <v>31</v>
      </c>
      <c r="D83" s="921">
        <f t="shared" si="18"/>
        <v>154</v>
      </c>
      <c r="E83" s="921">
        <f t="shared" si="14"/>
        <v>365</v>
      </c>
      <c r="F83" s="922">
        <f t="shared" si="15"/>
        <v>0.42191780821917807</v>
      </c>
      <c r="G83" s="918"/>
      <c r="H83" s="919"/>
      <c r="I83" s="917">
        <f t="shared" si="16"/>
        <v>0</v>
      </c>
      <c r="J83" s="917">
        <f t="shared" si="17"/>
        <v>0</v>
      </c>
      <c r="K83" s="1026"/>
    </row>
    <row r="84" spans="1:12" ht="12.5">
      <c r="A84" s="1008">
        <f t="shared" si="13"/>
        <v>55</v>
      </c>
      <c r="B84" s="1041" t="s">
        <v>81</v>
      </c>
      <c r="C84" s="917">
        <v>31</v>
      </c>
      <c r="D84" s="921">
        <f t="shared" si="18"/>
        <v>123</v>
      </c>
      <c r="E84" s="921">
        <f t="shared" si="14"/>
        <v>365</v>
      </c>
      <c r="F84" s="922">
        <f t="shared" si="15"/>
        <v>0.33698630136986302</v>
      </c>
      <c r="G84" s="918"/>
      <c r="H84" s="919"/>
      <c r="I84" s="917">
        <f t="shared" si="16"/>
        <v>0</v>
      </c>
      <c r="J84" s="917">
        <f t="shared" si="17"/>
        <v>0</v>
      </c>
      <c r="K84" s="1026"/>
    </row>
    <row r="85" spans="1:12" ht="12.5">
      <c r="A85" s="1008">
        <f t="shared" si="13"/>
        <v>56</v>
      </c>
      <c r="B85" s="1041" t="s">
        <v>80</v>
      </c>
      <c r="C85" s="917">
        <v>30</v>
      </c>
      <c r="D85" s="921">
        <f t="shared" si="18"/>
        <v>93</v>
      </c>
      <c r="E85" s="921">
        <f t="shared" si="14"/>
        <v>365</v>
      </c>
      <c r="F85" s="922">
        <f t="shared" si="15"/>
        <v>0.25479452054794521</v>
      </c>
      <c r="G85" s="918"/>
      <c r="H85" s="919"/>
      <c r="I85" s="917">
        <f t="shared" si="16"/>
        <v>0</v>
      </c>
      <c r="J85" s="917">
        <f t="shared" si="17"/>
        <v>0</v>
      </c>
      <c r="K85" s="1026"/>
    </row>
    <row r="86" spans="1:12" ht="12.5">
      <c r="A86" s="1008">
        <f t="shared" si="13"/>
        <v>57</v>
      </c>
      <c r="B86" s="1041" t="s">
        <v>86</v>
      </c>
      <c r="C86" s="917">
        <v>31</v>
      </c>
      <c r="D86" s="921">
        <f t="shared" si="18"/>
        <v>62</v>
      </c>
      <c r="E86" s="921">
        <f t="shared" si="14"/>
        <v>365</v>
      </c>
      <c r="F86" s="922">
        <f t="shared" si="15"/>
        <v>0.16986301369863013</v>
      </c>
      <c r="G86" s="918"/>
      <c r="H86" s="919"/>
      <c r="I86" s="917">
        <f t="shared" si="16"/>
        <v>0</v>
      </c>
      <c r="J86" s="917">
        <f t="shared" si="17"/>
        <v>0</v>
      </c>
      <c r="K86" s="1026"/>
    </row>
    <row r="87" spans="1:12" ht="12.5">
      <c r="A87" s="1008">
        <f t="shared" si="13"/>
        <v>58</v>
      </c>
      <c r="B87" s="1041" t="s">
        <v>79</v>
      </c>
      <c r="C87" s="917">
        <v>30</v>
      </c>
      <c r="D87" s="921">
        <f t="shared" si="18"/>
        <v>32</v>
      </c>
      <c r="E87" s="921">
        <f t="shared" si="14"/>
        <v>365</v>
      </c>
      <c r="F87" s="922">
        <f t="shared" si="15"/>
        <v>8.7671232876712329E-2</v>
      </c>
      <c r="G87" s="918"/>
      <c r="H87" s="919"/>
      <c r="I87" s="917">
        <f t="shared" si="16"/>
        <v>0</v>
      </c>
      <c r="J87" s="917">
        <f t="shared" si="17"/>
        <v>0</v>
      </c>
      <c r="K87" s="1026"/>
    </row>
    <row r="88" spans="1:12" ht="12.5">
      <c r="A88" s="1008">
        <f t="shared" si="13"/>
        <v>59</v>
      </c>
      <c r="B88" s="1041" t="s">
        <v>78</v>
      </c>
      <c r="C88" s="927">
        <v>31</v>
      </c>
      <c r="D88" s="921">
        <f t="shared" si="18"/>
        <v>1</v>
      </c>
      <c r="E88" s="921">
        <f t="shared" si="14"/>
        <v>365</v>
      </c>
      <c r="F88" s="922">
        <f t="shared" si="15"/>
        <v>2.7397260273972603E-3</v>
      </c>
      <c r="G88" s="918"/>
      <c r="H88" s="919"/>
      <c r="I88" s="917">
        <f t="shared" si="16"/>
        <v>0</v>
      </c>
      <c r="J88" s="917">
        <f t="shared" si="17"/>
        <v>0</v>
      </c>
      <c r="K88" s="1026"/>
    </row>
    <row r="89" spans="1:12" ht="12.5">
      <c r="A89" s="1008">
        <f t="shared" si="13"/>
        <v>60</v>
      </c>
      <c r="B89" s="1042" t="s">
        <v>13</v>
      </c>
      <c r="C89" s="1046">
        <f>SUM(C77:C88)</f>
        <v>365</v>
      </c>
      <c r="D89" s="1043">
        <f>SUM(D77:D88)</f>
        <v>2029</v>
      </c>
      <c r="E89" s="1043">
        <f>SUM(E77:E88)</f>
        <v>4380</v>
      </c>
      <c r="F89" s="1044"/>
      <c r="G89" s="918"/>
      <c r="H89" s="923">
        <f>SUM(H77:H88)</f>
        <v>0</v>
      </c>
      <c r="I89" s="923">
        <f>SUM(I77:I88)</f>
        <v>0</v>
      </c>
      <c r="J89" s="1044"/>
      <c r="K89" s="1026"/>
    </row>
    <row r="90" spans="1:12" ht="12.5">
      <c r="A90" s="1008"/>
      <c r="B90" s="1045"/>
      <c r="D90" s="1047"/>
      <c r="E90" s="1047"/>
      <c r="F90" s="1048"/>
      <c r="G90" s="918"/>
      <c r="H90" s="917"/>
      <c r="I90" s="917"/>
      <c r="J90" s="1048"/>
      <c r="K90" s="1026"/>
    </row>
    <row r="91" spans="1:12" ht="12.5">
      <c r="A91" s="1008"/>
      <c r="B91" s="1049"/>
      <c r="C91" s="1045"/>
      <c r="D91" s="1047"/>
      <c r="E91" s="924"/>
      <c r="F91" s="1048"/>
      <c r="G91" s="918"/>
      <c r="H91" s="917"/>
      <c r="I91" s="917"/>
      <c r="J91" s="1048"/>
      <c r="K91" s="1026"/>
    </row>
    <row r="92" spans="1:12" ht="12.5">
      <c r="A92" s="1008"/>
      <c r="B92" s="1045"/>
      <c r="C92" s="1045"/>
      <c r="D92" s="1047"/>
      <c r="E92" s="925"/>
      <c r="F92" s="1048"/>
      <c r="G92" s="918"/>
      <c r="H92" s="917"/>
      <c r="I92" s="917"/>
      <c r="J92" s="1048"/>
      <c r="K92" s="1026"/>
    </row>
    <row r="93" spans="1:12" ht="12.5">
      <c r="A93" s="1008"/>
      <c r="B93" s="1045"/>
      <c r="C93" s="1045"/>
      <c r="D93" s="1045"/>
      <c r="E93" s="1045"/>
      <c r="F93" s="1058"/>
      <c r="G93" s="1058"/>
      <c r="H93" s="1016"/>
      <c r="I93" s="1060"/>
      <c r="J93" s="1058"/>
      <c r="K93" s="1051"/>
      <c r="L93" s="928"/>
    </row>
    <row r="94" spans="1:12" ht="12.5">
      <c r="A94" s="1008">
        <f>A89+1</f>
        <v>61</v>
      </c>
      <c r="B94" s="1026" t="s">
        <v>911</v>
      </c>
      <c r="C94" s="1026"/>
      <c r="D94" s="1026"/>
      <c r="E94" s="1026"/>
      <c r="F94" s="1051" t="str">
        <f>"(Line "&amp;A88&amp;", &amp; Col H)"</f>
        <v>(Line 59, &amp; Col H)</v>
      </c>
      <c r="G94" s="1058"/>
      <c r="H94" s="1051"/>
      <c r="I94" s="1058"/>
      <c r="J94" s="926">
        <f>J88</f>
        <v>0</v>
      </c>
      <c r="K94" s="1051"/>
      <c r="L94" s="928"/>
    </row>
    <row r="95" spans="1:12" ht="12.5">
      <c r="A95" s="1008">
        <f>A94+1</f>
        <v>62</v>
      </c>
      <c r="B95" s="1026" t="s">
        <v>912</v>
      </c>
      <c r="C95" s="1026"/>
      <c r="D95" s="1026"/>
      <c r="E95" s="1026"/>
      <c r="F95" s="1026"/>
      <c r="G95" s="1026"/>
      <c r="H95" s="1026"/>
      <c r="I95" s="1051"/>
      <c r="J95" s="1052"/>
      <c r="K95" s="1051"/>
      <c r="L95" s="928"/>
    </row>
    <row r="96" spans="1:12" ht="12.5">
      <c r="A96" s="1008">
        <f>A95+1</f>
        <v>63</v>
      </c>
      <c r="B96" s="1026" t="s">
        <v>913</v>
      </c>
      <c r="C96" s="1026"/>
      <c r="D96" s="1026"/>
      <c r="E96" s="1026"/>
      <c r="F96" s="1051" t="str">
        <f>"(Line "&amp;A94&amp;" minus Line "&amp;A95&amp;")"</f>
        <v>(Line 61 minus Line 62)</v>
      </c>
      <c r="G96" s="1051"/>
      <c r="H96" s="1051"/>
      <c r="I96" s="1051"/>
      <c r="J96" s="1054">
        <f>J94-J95</f>
        <v>0</v>
      </c>
      <c r="K96" s="1051"/>
      <c r="L96" s="928"/>
    </row>
    <row r="97" spans="1:12" ht="12.5">
      <c r="A97" s="1008"/>
      <c r="F97" s="928"/>
      <c r="G97" s="928"/>
      <c r="H97" s="928"/>
      <c r="I97" s="928"/>
      <c r="J97" s="928"/>
      <c r="K97" s="928"/>
      <c r="L97" s="928"/>
    </row>
    <row r="98" spans="1:12" ht="12.5">
      <c r="A98" s="1008"/>
      <c r="F98" s="928"/>
      <c r="G98" s="928"/>
      <c r="H98" s="928"/>
      <c r="I98" s="928"/>
      <c r="J98" s="928"/>
      <c r="K98" s="928"/>
      <c r="L98" s="928"/>
    </row>
    <row r="99" spans="1:12" ht="15.5">
      <c r="A99" s="1055"/>
      <c r="B99" s="1056" t="s">
        <v>917</v>
      </c>
      <c r="C99" s="1034"/>
      <c r="D99" s="1034"/>
      <c r="E99" s="930"/>
      <c r="F99" s="931"/>
      <c r="G99" s="932"/>
      <c r="H99" s="933"/>
      <c r="I99" s="1059"/>
      <c r="J99" s="928"/>
    </row>
    <row r="100" spans="1:12" ht="13">
      <c r="A100" s="916"/>
      <c r="E100" s="1026"/>
      <c r="F100" s="1026"/>
      <c r="G100" s="1026"/>
      <c r="H100" s="1035"/>
      <c r="I100" s="1035"/>
      <c r="J100" s="1035"/>
      <c r="K100" s="1026"/>
      <c r="L100" s="928"/>
    </row>
    <row r="101" spans="1:12" ht="13">
      <c r="A101" s="916" t="s">
        <v>8</v>
      </c>
      <c r="E101" s="1026"/>
      <c r="F101" s="1026"/>
      <c r="G101" s="1026"/>
      <c r="H101" s="1035"/>
      <c r="I101" s="1035"/>
      <c r="J101" s="1035"/>
      <c r="K101" s="1026"/>
      <c r="L101" s="928"/>
    </row>
    <row r="102" spans="1:12" ht="13">
      <c r="A102" s="1008" t="s">
        <v>10</v>
      </c>
      <c r="E102" s="1026"/>
      <c r="F102" s="1026"/>
      <c r="G102" s="1026"/>
      <c r="H102" s="1035"/>
      <c r="I102" s="1035"/>
      <c r="J102" s="1035"/>
      <c r="K102" s="1026"/>
      <c r="L102" s="928"/>
    </row>
    <row r="103" spans="1:12" ht="13">
      <c r="A103" s="1008">
        <f>A96+1</f>
        <v>64</v>
      </c>
      <c r="B103" s="1278" t="s">
        <v>901</v>
      </c>
      <c r="C103" s="1279"/>
      <c r="D103" s="1279"/>
      <c r="E103" s="1279"/>
      <c r="F103" s="1280"/>
      <c r="G103" s="1036"/>
      <c r="H103" s="1281" t="s">
        <v>902</v>
      </c>
      <c r="I103" s="1282"/>
      <c r="J103" s="1283"/>
      <c r="K103" s="1026"/>
      <c r="L103" s="928"/>
    </row>
    <row r="104" spans="1:12" ht="13">
      <c r="A104" s="1008">
        <f t="shared" ref="A104:A120" si="19">A103+1</f>
        <v>65</v>
      </c>
      <c r="B104" s="1037" t="s">
        <v>62</v>
      </c>
      <c r="C104" s="1037" t="s">
        <v>63</v>
      </c>
      <c r="D104" s="1037" t="s">
        <v>64</v>
      </c>
      <c r="E104" s="1037" t="s">
        <v>65</v>
      </c>
      <c r="F104" s="1037" t="s">
        <v>66</v>
      </c>
      <c r="G104" s="1036"/>
      <c r="H104" s="1037" t="s">
        <v>67</v>
      </c>
      <c r="I104" s="1037" t="s">
        <v>68</v>
      </c>
      <c r="J104" s="1037" t="s">
        <v>69</v>
      </c>
      <c r="K104" s="1026"/>
      <c r="L104" s="928"/>
    </row>
    <row r="105" spans="1:12" ht="116.5" customHeight="1">
      <c r="A105" s="1008">
        <f t="shared" si="19"/>
        <v>66</v>
      </c>
      <c r="B105" s="1038" t="s">
        <v>160</v>
      </c>
      <c r="C105" s="1038" t="s">
        <v>903</v>
      </c>
      <c r="D105" s="1038" t="s">
        <v>904</v>
      </c>
      <c r="E105" s="1038" t="s">
        <v>905</v>
      </c>
      <c r="F105" s="1038" t="s">
        <v>906</v>
      </c>
      <c r="G105" s="1039"/>
      <c r="H105" s="1038" t="s">
        <v>907</v>
      </c>
      <c r="I105" s="1038" t="s">
        <v>908</v>
      </c>
      <c r="J105" s="1038" t="s">
        <v>909</v>
      </c>
      <c r="K105" s="1026"/>
      <c r="L105" s="928"/>
    </row>
    <row r="106" spans="1:12" ht="12.5">
      <c r="A106" s="1008">
        <f t="shared" si="19"/>
        <v>67</v>
      </c>
      <c r="B106" s="1026"/>
      <c r="C106" s="1039"/>
      <c r="D106" s="1039"/>
      <c r="E106" s="1039"/>
      <c r="F106" s="1039"/>
      <c r="G106" s="1039"/>
      <c r="H106" s="1039"/>
      <c r="I106" s="1039"/>
      <c r="J106" s="1039"/>
      <c r="K106" s="1026"/>
      <c r="L106" s="928"/>
    </row>
    <row r="107" spans="1:12" ht="13">
      <c r="A107" s="1008">
        <f t="shared" si="19"/>
        <v>68</v>
      </c>
      <c r="B107" s="1040" t="s">
        <v>915</v>
      </c>
      <c r="C107" s="1041"/>
      <c r="D107" s="918"/>
      <c r="E107" s="918"/>
      <c r="F107" s="918"/>
      <c r="G107" s="918"/>
      <c r="H107" s="1214"/>
      <c r="I107" s="1214"/>
      <c r="J107" s="1215"/>
      <c r="K107" s="920"/>
      <c r="L107" s="928"/>
    </row>
    <row r="108" spans="1:12" ht="12.5">
      <c r="A108" s="1008">
        <f t="shared" si="19"/>
        <v>69</v>
      </c>
      <c r="B108" s="1041" t="s">
        <v>85</v>
      </c>
      <c r="C108" s="917">
        <v>31</v>
      </c>
      <c r="D108" s="921">
        <f>E108-C108+1</f>
        <v>335</v>
      </c>
      <c r="E108" s="921">
        <f>$C$26</f>
        <v>365</v>
      </c>
      <c r="F108" s="922">
        <f>D108/E108</f>
        <v>0.9178082191780822</v>
      </c>
      <c r="G108" s="918"/>
      <c r="H108" s="1215"/>
      <c r="I108" s="1214">
        <f>H108*F108</f>
        <v>0</v>
      </c>
      <c r="J108" s="1214">
        <f t="shared" ref="J108:J119" si="20">$J107+$I108</f>
        <v>0</v>
      </c>
      <c r="K108" s="1026"/>
      <c r="L108" s="928"/>
    </row>
    <row r="109" spans="1:12" ht="12.5">
      <c r="A109" s="1008">
        <f t="shared" si="19"/>
        <v>70</v>
      </c>
      <c r="B109" s="1041" t="s">
        <v>84</v>
      </c>
      <c r="C109" s="919">
        <v>28</v>
      </c>
      <c r="D109" s="921">
        <f>D108-C109</f>
        <v>307</v>
      </c>
      <c r="E109" s="921">
        <f t="shared" ref="E109:E119" si="21">$C$26</f>
        <v>365</v>
      </c>
      <c r="F109" s="922">
        <f t="shared" ref="F109:F119" si="22">D109/E109</f>
        <v>0.84109589041095889</v>
      </c>
      <c r="G109" s="918"/>
      <c r="H109" s="1215"/>
      <c r="I109" s="1214">
        <f t="shared" ref="I109:I119" si="23">H109*F109</f>
        <v>0</v>
      </c>
      <c r="J109" s="1214">
        <f t="shared" si="20"/>
        <v>0</v>
      </c>
      <c r="K109" s="1026"/>
      <c r="L109" s="928"/>
    </row>
    <row r="110" spans="1:12" ht="12.5">
      <c r="A110" s="1008">
        <f t="shared" si="19"/>
        <v>71</v>
      </c>
      <c r="B110" s="1041" t="s">
        <v>83</v>
      </c>
      <c r="C110" s="917">
        <v>31</v>
      </c>
      <c r="D110" s="921">
        <f t="shared" ref="D110:D119" si="24">D109-C110</f>
        <v>276</v>
      </c>
      <c r="E110" s="921">
        <f t="shared" si="21"/>
        <v>365</v>
      </c>
      <c r="F110" s="922">
        <f t="shared" si="22"/>
        <v>0.75616438356164384</v>
      </c>
      <c r="G110" s="918"/>
      <c r="H110" s="1215"/>
      <c r="I110" s="1214">
        <f t="shared" si="23"/>
        <v>0</v>
      </c>
      <c r="J110" s="1214">
        <f t="shared" si="20"/>
        <v>0</v>
      </c>
      <c r="K110" s="1026"/>
      <c r="L110" s="928"/>
    </row>
    <row r="111" spans="1:12" ht="12.5">
      <c r="A111" s="1008">
        <f t="shared" si="19"/>
        <v>72</v>
      </c>
      <c r="B111" s="1041" t="s">
        <v>76</v>
      </c>
      <c r="C111" s="917">
        <v>30</v>
      </c>
      <c r="D111" s="921">
        <f t="shared" si="24"/>
        <v>246</v>
      </c>
      <c r="E111" s="921">
        <f t="shared" si="21"/>
        <v>365</v>
      </c>
      <c r="F111" s="922">
        <f t="shared" si="22"/>
        <v>0.67397260273972603</v>
      </c>
      <c r="G111" s="918"/>
      <c r="H111" s="1215"/>
      <c r="I111" s="1214">
        <f t="shared" si="23"/>
        <v>0</v>
      </c>
      <c r="J111" s="1214">
        <f t="shared" si="20"/>
        <v>0</v>
      </c>
      <c r="K111" s="1026"/>
      <c r="L111" s="928"/>
    </row>
    <row r="112" spans="1:12" ht="12.5">
      <c r="A112" s="1008">
        <f t="shared" si="19"/>
        <v>73</v>
      </c>
      <c r="B112" s="1041" t="s">
        <v>75</v>
      </c>
      <c r="C112" s="917">
        <v>31</v>
      </c>
      <c r="D112" s="921">
        <f t="shared" si="24"/>
        <v>215</v>
      </c>
      <c r="E112" s="921">
        <f t="shared" si="21"/>
        <v>365</v>
      </c>
      <c r="F112" s="922">
        <f t="shared" si="22"/>
        <v>0.58904109589041098</v>
      </c>
      <c r="G112" s="918"/>
      <c r="H112" s="1215"/>
      <c r="I112" s="1214">
        <f t="shared" si="23"/>
        <v>0</v>
      </c>
      <c r="J112" s="1214">
        <f t="shared" si="20"/>
        <v>0</v>
      </c>
      <c r="K112" s="1026"/>
      <c r="L112" s="928"/>
    </row>
    <row r="113" spans="1:12" ht="12.5">
      <c r="A113" s="1008">
        <f t="shared" si="19"/>
        <v>74</v>
      </c>
      <c r="B113" s="1041" t="s">
        <v>92</v>
      </c>
      <c r="C113" s="917">
        <v>30</v>
      </c>
      <c r="D113" s="921">
        <f t="shared" si="24"/>
        <v>185</v>
      </c>
      <c r="E113" s="921">
        <f t="shared" si="21"/>
        <v>365</v>
      </c>
      <c r="F113" s="922">
        <f t="shared" si="22"/>
        <v>0.50684931506849318</v>
      </c>
      <c r="G113" s="918"/>
      <c r="H113" s="1215"/>
      <c r="I113" s="1214">
        <f t="shared" si="23"/>
        <v>0</v>
      </c>
      <c r="J113" s="1214">
        <f t="shared" si="20"/>
        <v>0</v>
      </c>
      <c r="K113" s="1026"/>
      <c r="L113" s="928"/>
    </row>
    <row r="114" spans="1:12" ht="12.5">
      <c r="A114" s="1008">
        <f t="shared" si="19"/>
        <v>75</v>
      </c>
      <c r="B114" s="1041" t="s">
        <v>82</v>
      </c>
      <c r="C114" s="917">
        <v>31</v>
      </c>
      <c r="D114" s="921">
        <f t="shared" si="24"/>
        <v>154</v>
      </c>
      <c r="E114" s="921">
        <f t="shared" si="21"/>
        <v>365</v>
      </c>
      <c r="F114" s="922">
        <f t="shared" si="22"/>
        <v>0.42191780821917807</v>
      </c>
      <c r="G114" s="918"/>
      <c r="H114" s="1215"/>
      <c r="I114" s="1214">
        <f t="shared" si="23"/>
        <v>0</v>
      </c>
      <c r="J114" s="1214">
        <f t="shared" si="20"/>
        <v>0</v>
      </c>
      <c r="K114" s="1026"/>
      <c r="L114" s="928"/>
    </row>
    <row r="115" spans="1:12" ht="12.5">
      <c r="A115" s="1008">
        <f t="shared" si="19"/>
        <v>76</v>
      </c>
      <c r="B115" s="1041" t="s">
        <v>81</v>
      </c>
      <c r="C115" s="917">
        <v>31</v>
      </c>
      <c r="D115" s="921">
        <f t="shared" si="24"/>
        <v>123</v>
      </c>
      <c r="E115" s="921">
        <f t="shared" si="21"/>
        <v>365</v>
      </c>
      <c r="F115" s="922">
        <f t="shared" si="22"/>
        <v>0.33698630136986302</v>
      </c>
      <c r="G115" s="918"/>
      <c r="H115" s="1215"/>
      <c r="I115" s="1214">
        <f t="shared" si="23"/>
        <v>0</v>
      </c>
      <c r="J115" s="1214">
        <f t="shared" si="20"/>
        <v>0</v>
      </c>
      <c r="K115" s="1026"/>
      <c r="L115" s="928"/>
    </row>
    <row r="116" spans="1:12" ht="12.5">
      <c r="A116" s="1008">
        <f t="shared" si="19"/>
        <v>77</v>
      </c>
      <c r="B116" s="1041" t="s">
        <v>80</v>
      </c>
      <c r="C116" s="917">
        <v>30</v>
      </c>
      <c r="D116" s="921">
        <f t="shared" si="24"/>
        <v>93</v>
      </c>
      <c r="E116" s="921">
        <f t="shared" si="21"/>
        <v>365</v>
      </c>
      <c r="F116" s="922">
        <f t="shared" si="22"/>
        <v>0.25479452054794521</v>
      </c>
      <c r="G116" s="918"/>
      <c r="H116" s="1215"/>
      <c r="I116" s="1214">
        <f t="shared" si="23"/>
        <v>0</v>
      </c>
      <c r="J116" s="1214">
        <f t="shared" si="20"/>
        <v>0</v>
      </c>
      <c r="K116" s="1026"/>
      <c r="L116" s="928"/>
    </row>
    <row r="117" spans="1:12" ht="12.5">
      <c r="A117" s="1008">
        <f t="shared" si="19"/>
        <v>78</v>
      </c>
      <c r="B117" s="1041" t="s">
        <v>86</v>
      </c>
      <c r="C117" s="917">
        <v>31</v>
      </c>
      <c r="D117" s="921">
        <f t="shared" si="24"/>
        <v>62</v>
      </c>
      <c r="E117" s="921">
        <f t="shared" si="21"/>
        <v>365</v>
      </c>
      <c r="F117" s="922">
        <f t="shared" si="22"/>
        <v>0.16986301369863013</v>
      </c>
      <c r="G117" s="918"/>
      <c r="H117" s="1215"/>
      <c r="I117" s="1214">
        <f t="shared" si="23"/>
        <v>0</v>
      </c>
      <c r="J117" s="1214">
        <f t="shared" si="20"/>
        <v>0</v>
      </c>
      <c r="K117" s="1026"/>
      <c r="L117" s="928"/>
    </row>
    <row r="118" spans="1:12" ht="12.5">
      <c r="A118" s="1008">
        <f t="shared" si="19"/>
        <v>79</v>
      </c>
      <c r="B118" s="1041" t="s">
        <v>79</v>
      </c>
      <c r="C118" s="917">
        <v>30</v>
      </c>
      <c r="D118" s="921">
        <f t="shared" si="24"/>
        <v>32</v>
      </c>
      <c r="E118" s="921">
        <f t="shared" si="21"/>
        <v>365</v>
      </c>
      <c r="F118" s="922">
        <f t="shared" si="22"/>
        <v>8.7671232876712329E-2</v>
      </c>
      <c r="G118" s="918"/>
      <c r="H118" s="1215"/>
      <c r="I118" s="1214">
        <f t="shared" si="23"/>
        <v>0</v>
      </c>
      <c r="J118" s="1214">
        <f t="shared" si="20"/>
        <v>0</v>
      </c>
      <c r="K118" s="1026"/>
      <c r="L118" s="928"/>
    </row>
    <row r="119" spans="1:12" ht="12.5">
      <c r="A119" s="1008">
        <f t="shared" si="19"/>
        <v>80</v>
      </c>
      <c r="B119" s="1041" t="s">
        <v>78</v>
      </c>
      <c r="C119" s="927">
        <v>31</v>
      </c>
      <c r="D119" s="921">
        <f t="shared" si="24"/>
        <v>1</v>
      </c>
      <c r="E119" s="921">
        <f t="shared" si="21"/>
        <v>365</v>
      </c>
      <c r="F119" s="922">
        <f t="shared" si="22"/>
        <v>2.7397260273972603E-3</v>
      </c>
      <c r="G119" s="918"/>
      <c r="H119" s="1215"/>
      <c r="I119" s="1214">
        <f t="shared" si="23"/>
        <v>0</v>
      </c>
      <c r="J119" s="1216">
        <f t="shared" si="20"/>
        <v>0</v>
      </c>
      <c r="K119" s="1026"/>
      <c r="L119" s="928"/>
    </row>
    <row r="120" spans="1:12" ht="12.5">
      <c r="A120" s="1008">
        <f t="shared" si="19"/>
        <v>81</v>
      </c>
      <c r="B120" s="1042" t="s">
        <v>13</v>
      </c>
      <c r="C120" s="1046">
        <f>SUM(C108:C119)</f>
        <v>365</v>
      </c>
      <c r="D120" s="1043">
        <f>SUM(D108:D119)</f>
        <v>2029</v>
      </c>
      <c r="E120" s="1043">
        <f>SUM(E108:E119)</f>
        <v>4380</v>
      </c>
      <c r="F120" s="1044"/>
      <c r="G120" s="918"/>
      <c r="H120" s="1217">
        <f>SUM(H108:H119)</f>
        <v>0</v>
      </c>
      <c r="I120" s="1217">
        <f>SUM(I108:I119)</f>
        <v>0</v>
      </c>
      <c r="J120" s="1218"/>
      <c r="K120" s="1026"/>
      <c r="L120" s="928"/>
    </row>
    <row r="121" spans="1:12" ht="12.5">
      <c r="A121" s="1008"/>
      <c r="B121" s="1045"/>
      <c r="D121" s="1046"/>
      <c r="E121" s="1046"/>
      <c r="F121" s="1058"/>
      <c r="G121" s="921"/>
      <c r="H121" s="1216"/>
      <c r="I121" s="1216"/>
      <c r="J121" s="1219"/>
      <c r="K121" s="1051"/>
      <c r="L121" s="928"/>
    </row>
    <row r="122" spans="1:12" ht="12.5">
      <c r="A122" s="1008"/>
      <c r="B122" s="1049"/>
      <c r="C122" s="1061"/>
      <c r="D122" s="1046"/>
      <c r="E122" s="934"/>
      <c r="F122" s="1058"/>
      <c r="G122" s="921"/>
      <c r="H122" s="1216"/>
      <c r="I122" s="1216"/>
      <c r="J122" s="1219"/>
      <c r="K122" s="1051"/>
      <c r="L122" s="928"/>
    </row>
    <row r="123" spans="1:12" ht="12.5">
      <c r="A123" s="1008"/>
      <c r="B123" s="1045"/>
      <c r="C123" s="1061"/>
      <c r="D123" s="1046"/>
      <c r="E123" s="935"/>
      <c r="F123" s="1058"/>
      <c r="G123" s="921"/>
      <c r="H123" s="1216"/>
      <c r="I123" s="1216"/>
      <c r="J123" s="1219"/>
      <c r="K123" s="1051"/>
      <c r="L123" s="928"/>
    </row>
    <row r="124" spans="1:12" ht="12.5">
      <c r="A124" s="1008"/>
      <c r="B124" s="1045"/>
      <c r="C124" s="1061"/>
      <c r="D124" s="1061"/>
      <c r="E124" s="1061"/>
      <c r="F124" s="1058"/>
      <c r="G124" s="1058"/>
      <c r="H124" s="1220"/>
      <c r="I124" s="1221"/>
      <c r="J124" s="1219"/>
      <c r="K124" s="1051"/>
      <c r="L124" s="928"/>
    </row>
    <row r="125" spans="1:12" ht="12.5">
      <c r="A125" s="1008">
        <f>A120+1</f>
        <v>82</v>
      </c>
      <c r="B125" s="1026" t="s">
        <v>911</v>
      </c>
      <c r="C125" s="1051"/>
      <c r="D125" s="1051"/>
      <c r="E125" s="1051"/>
      <c r="F125" s="1051" t="str">
        <f>"(Line "&amp;A119&amp;", &amp; Col H)"</f>
        <v>(Line 80, &amp; Col H)</v>
      </c>
      <c r="G125" s="1058"/>
      <c r="H125" s="1198"/>
      <c r="I125" s="1219"/>
      <c r="J125" s="1216">
        <f>J119</f>
        <v>0</v>
      </c>
      <c r="K125" s="1051"/>
      <c r="L125" s="928"/>
    </row>
    <row r="126" spans="1:12" ht="12.5">
      <c r="A126" s="1008">
        <f>A125+1</f>
        <v>83</v>
      </c>
      <c r="B126" s="1026" t="s">
        <v>912</v>
      </c>
      <c r="C126" s="1051"/>
      <c r="D126" s="1051"/>
      <c r="E126" s="1051"/>
      <c r="F126" s="1026"/>
      <c r="G126" s="1026"/>
      <c r="H126" s="1092"/>
      <c r="I126" s="1198"/>
      <c r="J126" s="1222"/>
      <c r="K126" s="1051"/>
      <c r="L126" s="928"/>
    </row>
    <row r="127" spans="1:12" ht="12.5">
      <c r="A127" s="1008">
        <f>A126+1</f>
        <v>84</v>
      </c>
      <c r="B127" s="1026" t="s">
        <v>913</v>
      </c>
      <c r="C127" s="1051"/>
      <c r="D127" s="1051"/>
      <c r="E127" s="1051"/>
      <c r="F127" s="1051" t="str">
        <f>"(Line "&amp;A125&amp;" minus Line "&amp;A126&amp;")"</f>
        <v>(Line 82 minus Line 83)</v>
      </c>
      <c r="G127" s="1051"/>
      <c r="H127" s="1198"/>
      <c r="I127" s="1198"/>
      <c r="J127" s="1198">
        <f>J125-J126</f>
        <v>0</v>
      </c>
      <c r="K127" s="1051"/>
      <c r="L127" s="928"/>
    </row>
    <row r="128" spans="1:12" ht="12.5">
      <c r="A128" s="1008"/>
      <c r="B128" s="1026"/>
      <c r="C128" s="1026"/>
      <c r="D128" s="1026"/>
      <c r="E128" s="1026"/>
      <c r="F128" s="1026"/>
      <c r="G128" s="1026"/>
      <c r="H128" s="1026"/>
      <c r="I128" s="1026"/>
      <c r="J128" s="1062"/>
      <c r="K128" s="1026"/>
      <c r="L128" s="928"/>
    </row>
    <row r="129" spans="12:12" ht="12.5">
      <c r="L129" s="928"/>
    </row>
  </sheetData>
  <mergeCells count="11">
    <mergeCell ref="B72:F72"/>
    <mergeCell ref="H72:J72"/>
    <mergeCell ref="B103:F103"/>
    <mergeCell ref="H103:J103"/>
    <mergeCell ref="A1:K1"/>
    <mergeCell ref="A2:K2"/>
    <mergeCell ref="A3:K3"/>
    <mergeCell ref="B9:F9"/>
    <mergeCell ref="H9:J9"/>
    <mergeCell ref="B40:F40"/>
    <mergeCell ref="H40:J40"/>
  </mergeCells>
  <pageMargins left="0.7" right="0.7" top="0.75" bottom="0.75" header="0.3" footer="0.3"/>
  <pageSetup scale="57" fitToHeight="12" orientation="portrait" r:id="rId1"/>
  <rowBreaks count="1" manualBreakCount="1">
    <brk id="6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1"/>
  <sheetViews>
    <sheetView view="pageBreakPreview" zoomScale="70" zoomScaleNormal="80" zoomScaleSheetLayoutView="70" workbookViewId="0">
      <selection activeCell="K26" sqref="K26"/>
    </sheetView>
  </sheetViews>
  <sheetFormatPr defaultColWidth="7.4609375" defaultRowHeight="13"/>
  <cols>
    <col min="1" max="1" width="4.69140625" style="841" customWidth="1"/>
    <col min="2" max="2" width="49.07421875" style="840" customWidth="1"/>
    <col min="3" max="3" width="15.84375" style="840" customWidth="1"/>
    <col min="4" max="4" width="17.07421875" style="840" customWidth="1"/>
    <col min="5" max="5" width="16.3046875" style="840" customWidth="1"/>
    <col min="6" max="6" width="15.84375" style="840" customWidth="1"/>
    <col min="7" max="7" width="13" style="840" customWidth="1"/>
    <col min="8" max="8" width="12.84375" style="840" customWidth="1"/>
    <col min="9" max="9" width="19.53515625" style="840" customWidth="1"/>
    <col min="10" max="10" width="16.23046875" style="840" customWidth="1"/>
    <col min="11" max="11" width="13.84375" style="840" customWidth="1"/>
    <col min="12" max="12" width="14.07421875" style="840" customWidth="1"/>
    <col min="13" max="16384" width="7.4609375" style="840"/>
  </cols>
  <sheetData>
    <row r="1" spans="1:12" ht="20">
      <c r="A1" s="1274" t="s">
        <v>944</v>
      </c>
      <c r="B1" s="1274"/>
      <c r="C1" s="1274"/>
      <c r="D1" s="1274"/>
      <c r="E1" s="1274"/>
      <c r="F1" s="1274"/>
      <c r="G1" s="1274"/>
      <c r="H1" s="1274"/>
      <c r="I1" s="1274"/>
      <c r="J1" s="1274"/>
      <c r="K1" s="1274"/>
    </row>
    <row r="2" spans="1:12" ht="20">
      <c r="A2" s="1274" t="str">
        <f>'Attachment H-29A'!D5</f>
        <v>Transource Pennsylvania, LLC</v>
      </c>
      <c r="B2" s="1274"/>
      <c r="C2" s="1274"/>
      <c r="D2" s="1274"/>
      <c r="E2" s="1274"/>
      <c r="F2" s="1274"/>
      <c r="G2" s="1274"/>
      <c r="H2" s="1274"/>
      <c r="I2" s="1274"/>
      <c r="J2" s="1274"/>
      <c r="K2" s="1274"/>
    </row>
    <row r="3" spans="1:12" ht="20">
      <c r="A3" s="1274" t="str">
        <f>'Attachment H-29A'!J3</f>
        <v>For  the 12 months ended 12/31/2024</v>
      </c>
      <c r="B3" s="1274"/>
      <c r="C3" s="1274"/>
      <c r="D3" s="1274"/>
      <c r="E3" s="1274"/>
      <c r="F3" s="1274"/>
      <c r="G3" s="1274"/>
      <c r="H3" s="1274"/>
      <c r="I3" s="1274"/>
      <c r="J3" s="1274"/>
      <c r="K3" s="1274"/>
    </row>
    <row r="4" spans="1:12" ht="20">
      <c r="A4" s="909"/>
      <c r="D4" s="1009"/>
      <c r="E4" s="913"/>
      <c r="F4" s="913"/>
      <c r="G4" s="913"/>
      <c r="H4" s="936"/>
      <c r="I4" s="937"/>
      <c r="J4" s="937"/>
      <c r="K4" s="938" t="s">
        <v>599</v>
      </c>
    </row>
    <row r="5" spans="1:12">
      <c r="A5" s="845"/>
      <c r="B5" s="939"/>
      <c r="C5" s="847"/>
      <c r="D5" s="847"/>
      <c r="E5" s="847"/>
      <c r="F5" s="847"/>
      <c r="G5" s="847"/>
      <c r="H5" s="849"/>
      <c r="I5" s="849"/>
      <c r="J5" s="849"/>
      <c r="K5" s="847"/>
    </row>
    <row r="6" spans="1:12" s="842" customFormat="1" ht="15.75" customHeight="1">
      <c r="A6" s="845"/>
      <c r="B6" s="940" t="s">
        <v>918</v>
      </c>
      <c r="C6" s="941"/>
      <c r="E6" s="941"/>
      <c r="F6" s="941"/>
      <c r="G6" s="941"/>
      <c r="H6" s="941"/>
    </row>
    <row r="7" spans="1:12">
      <c r="A7" s="845"/>
      <c r="B7" s="1000"/>
      <c r="C7" s="847"/>
      <c r="D7" s="847"/>
      <c r="E7" s="847"/>
      <c r="F7" s="847"/>
      <c r="G7" s="847"/>
      <c r="H7" s="849"/>
      <c r="I7" s="849"/>
      <c r="J7" s="849"/>
      <c r="K7" s="847"/>
    </row>
    <row r="8" spans="1:12">
      <c r="A8" s="845"/>
      <c r="B8" s="850" t="s">
        <v>190</v>
      </c>
      <c r="C8" s="850" t="s">
        <v>191</v>
      </c>
      <c r="D8" s="850" t="s">
        <v>192</v>
      </c>
      <c r="E8" s="850" t="s">
        <v>193</v>
      </c>
      <c r="F8" s="850" t="s">
        <v>195</v>
      </c>
      <c r="G8" s="850" t="s">
        <v>194</v>
      </c>
      <c r="H8" s="850" t="s">
        <v>196</v>
      </c>
      <c r="I8" s="850" t="s">
        <v>197</v>
      </c>
      <c r="J8" s="850" t="s">
        <v>198</v>
      </c>
      <c r="K8" s="850" t="s">
        <v>955</v>
      </c>
    </row>
    <row r="9" spans="1:12">
      <c r="A9" s="845"/>
      <c r="B9" s="850"/>
      <c r="C9" s="850"/>
      <c r="D9" s="853">
        <v>1</v>
      </c>
      <c r="E9" s="853">
        <v>1</v>
      </c>
      <c r="F9" s="852" t="s">
        <v>854</v>
      </c>
      <c r="G9" s="850"/>
      <c r="H9" s="850"/>
      <c r="I9" s="850" t="s">
        <v>855</v>
      </c>
      <c r="J9" s="850" t="s">
        <v>956</v>
      </c>
      <c r="K9" s="850" t="s">
        <v>919</v>
      </c>
    </row>
    <row r="10" spans="1:12">
      <c r="A10" s="845" t="s">
        <v>8</v>
      </c>
      <c r="B10" s="850"/>
      <c r="C10" s="850"/>
      <c r="D10" s="850" t="s">
        <v>857</v>
      </c>
      <c r="E10" s="850" t="s">
        <v>858</v>
      </c>
      <c r="F10" s="850" t="s">
        <v>16</v>
      </c>
      <c r="G10" s="850" t="s">
        <v>801</v>
      </c>
      <c r="H10" s="850" t="s">
        <v>802</v>
      </c>
      <c r="I10" s="850" t="s">
        <v>920</v>
      </c>
      <c r="J10" s="850" t="s">
        <v>957</v>
      </c>
      <c r="K10" s="850" t="s">
        <v>609</v>
      </c>
    </row>
    <row r="11" spans="1:12">
      <c r="A11" s="845" t="s">
        <v>10</v>
      </c>
      <c r="B11" s="856" t="s">
        <v>860</v>
      </c>
      <c r="C11" s="856" t="s">
        <v>921</v>
      </c>
      <c r="D11" s="856" t="s">
        <v>803</v>
      </c>
      <c r="E11" s="856" t="s">
        <v>861</v>
      </c>
      <c r="F11" s="856" t="s">
        <v>803</v>
      </c>
      <c r="G11" s="856" t="s">
        <v>803</v>
      </c>
      <c r="H11" s="856" t="s">
        <v>803</v>
      </c>
      <c r="I11" s="856" t="s">
        <v>922</v>
      </c>
      <c r="J11" s="856" t="s">
        <v>687</v>
      </c>
      <c r="K11" s="856" t="s">
        <v>923</v>
      </c>
    </row>
    <row r="12" spans="1:12">
      <c r="B12" s="847"/>
      <c r="C12" s="847"/>
      <c r="D12" s="847"/>
      <c r="E12" s="847"/>
      <c r="F12" s="847"/>
      <c r="G12" s="883"/>
      <c r="H12" s="883"/>
      <c r="I12" s="847"/>
      <c r="J12" s="847"/>
      <c r="K12" s="847"/>
    </row>
    <row r="13" spans="1:12">
      <c r="A13" s="845">
        <v>1</v>
      </c>
      <c r="B13" s="1104" t="s">
        <v>1067</v>
      </c>
      <c r="C13" s="966">
        <v>0</v>
      </c>
      <c r="D13" s="966">
        <v>0</v>
      </c>
      <c r="E13" s="966">
        <v>0</v>
      </c>
      <c r="F13" s="966">
        <v>0</v>
      </c>
      <c r="G13" s="966">
        <v>0</v>
      </c>
      <c r="H13" s="944">
        <v>0</v>
      </c>
      <c r="I13" s="944">
        <v>0</v>
      </c>
      <c r="J13" s="1105" t="s">
        <v>1068</v>
      </c>
      <c r="K13" s="945" t="s">
        <v>924</v>
      </c>
      <c r="L13" s="975"/>
    </row>
    <row r="14" spans="1:12">
      <c r="A14" s="845">
        <f>A13+1</f>
        <v>2</v>
      </c>
      <c r="B14" s="1104" t="s">
        <v>1069</v>
      </c>
      <c r="C14" s="863"/>
      <c r="D14" s="863"/>
      <c r="E14" s="863"/>
      <c r="F14" s="863"/>
      <c r="G14" s="863"/>
      <c r="H14" s="943"/>
      <c r="I14" s="1192">
        <f t="shared" ref="I14:I17" si="0">F14+G14+H14</f>
        <v>0</v>
      </c>
      <c r="J14" s="944"/>
      <c r="K14" s="945" t="s">
        <v>924</v>
      </c>
    </row>
    <row r="15" spans="1:12">
      <c r="A15" s="845">
        <f>A14+1</f>
        <v>3</v>
      </c>
      <c r="B15" s="942"/>
      <c r="C15" s="863"/>
      <c r="D15" s="863"/>
      <c r="E15" s="863"/>
      <c r="F15" s="863"/>
      <c r="G15" s="863"/>
      <c r="H15" s="943"/>
      <c r="I15" s="1192">
        <f t="shared" si="0"/>
        <v>0</v>
      </c>
      <c r="J15" s="944"/>
      <c r="K15" s="945" t="s">
        <v>924</v>
      </c>
    </row>
    <row r="16" spans="1:12">
      <c r="A16" s="845">
        <f t="shared" ref="A16:A26" si="1">A15+1</f>
        <v>4</v>
      </c>
      <c r="B16" s="946"/>
      <c r="C16" s="863"/>
      <c r="D16" s="863"/>
      <c r="E16" s="863"/>
      <c r="F16" s="863"/>
      <c r="G16" s="863"/>
      <c r="H16" s="863"/>
      <c r="I16" s="1192">
        <f t="shared" si="0"/>
        <v>0</v>
      </c>
      <c r="J16" s="944"/>
      <c r="K16" s="945" t="s">
        <v>924</v>
      </c>
    </row>
    <row r="17" spans="1:11">
      <c r="A17" s="845">
        <f t="shared" si="1"/>
        <v>5</v>
      </c>
      <c r="B17" s="862"/>
      <c r="C17" s="863"/>
      <c r="D17" s="863"/>
      <c r="E17" s="863"/>
      <c r="F17" s="863"/>
      <c r="G17" s="863"/>
      <c r="H17" s="943"/>
      <c r="I17" s="1192">
        <f t="shared" si="0"/>
        <v>0</v>
      </c>
      <c r="J17" s="944"/>
      <c r="K17" s="947" t="s">
        <v>924</v>
      </c>
    </row>
    <row r="18" spans="1:11">
      <c r="A18" s="845">
        <f t="shared" si="1"/>
        <v>6</v>
      </c>
      <c r="B18" s="862"/>
      <c r="C18" s="863"/>
      <c r="D18" s="863"/>
      <c r="E18" s="863"/>
      <c r="F18" s="863"/>
      <c r="G18" s="863"/>
      <c r="H18" s="943"/>
      <c r="I18" s="944"/>
      <c r="J18" s="944"/>
      <c r="K18" s="944"/>
    </row>
    <row r="19" spans="1:11">
      <c r="A19" s="845">
        <f t="shared" si="1"/>
        <v>7</v>
      </c>
      <c r="B19" s="862"/>
      <c r="C19" s="863"/>
      <c r="D19" s="863"/>
      <c r="E19" s="863"/>
      <c r="F19" s="863"/>
      <c r="G19" s="863"/>
      <c r="H19" s="943"/>
      <c r="I19" s="944"/>
      <c r="J19" s="944"/>
      <c r="K19" s="944"/>
    </row>
    <row r="20" spans="1:11">
      <c r="A20" s="845">
        <f t="shared" si="1"/>
        <v>8</v>
      </c>
      <c r="B20" s="862"/>
      <c r="C20" s="863"/>
      <c r="D20" s="863"/>
      <c r="E20" s="863"/>
      <c r="F20" s="863"/>
      <c r="G20" s="863"/>
      <c r="H20" s="943"/>
      <c r="I20" s="944"/>
      <c r="J20" s="944"/>
      <c r="K20" s="944"/>
    </row>
    <row r="21" spans="1:11">
      <c r="A21" s="845">
        <f t="shared" si="1"/>
        <v>9</v>
      </c>
      <c r="B21" s="862"/>
      <c r="C21" s="863"/>
      <c r="D21" s="863"/>
      <c r="E21" s="863"/>
      <c r="F21" s="863"/>
      <c r="G21" s="863"/>
      <c r="H21" s="943"/>
      <c r="I21" s="944"/>
      <c r="J21" s="944"/>
      <c r="K21" s="944"/>
    </row>
    <row r="22" spans="1:11">
      <c r="A22" s="845">
        <f t="shared" si="1"/>
        <v>10</v>
      </c>
      <c r="B22" s="862"/>
      <c r="C22" s="863"/>
      <c r="D22" s="863"/>
      <c r="E22" s="863"/>
      <c r="F22" s="863"/>
      <c r="G22" s="863"/>
      <c r="H22" s="943"/>
      <c r="I22" s="944"/>
      <c r="J22" s="944"/>
      <c r="K22" s="944"/>
    </row>
    <row r="23" spans="1:11">
      <c r="A23" s="845">
        <f t="shared" si="1"/>
        <v>11</v>
      </c>
      <c r="B23" s="948"/>
      <c r="C23" s="949"/>
      <c r="D23" s="949"/>
      <c r="E23" s="949"/>
      <c r="F23" s="949"/>
      <c r="G23" s="949" t="s">
        <v>2</v>
      </c>
      <c r="H23" s="950"/>
      <c r="I23" s="951"/>
      <c r="J23" s="961"/>
      <c r="K23" s="961"/>
    </row>
    <row r="24" spans="1:11">
      <c r="A24" s="845">
        <f t="shared" si="1"/>
        <v>12</v>
      </c>
      <c r="B24" s="952" t="s">
        <v>925</v>
      </c>
      <c r="C24" s="953">
        <f>SUM(C13:C22)</f>
        <v>0</v>
      </c>
      <c r="D24" s="953">
        <f>SUM(D13:D22)</f>
        <v>0</v>
      </c>
      <c r="E24" s="953">
        <f>SUM(E13:E22)</f>
        <v>0</v>
      </c>
      <c r="F24" s="953"/>
      <c r="G24" s="953">
        <f>SUM(G13:G22)</f>
        <v>0</v>
      </c>
      <c r="H24" s="953">
        <f>SUM(H13:H22)</f>
        <v>0</v>
      </c>
      <c r="I24" s="951"/>
      <c r="J24" s="961"/>
      <c r="K24" s="961"/>
    </row>
    <row r="25" spans="1:11" ht="12.75" customHeight="1" thickBot="1">
      <c r="A25" s="845">
        <f t="shared" si="1"/>
        <v>13</v>
      </c>
      <c r="B25" s="952" t="s">
        <v>926</v>
      </c>
      <c r="C25" s="954"/>
      <c r="D25" s="955">
        <v>0</v>
      </c>
      <c r="E25" s="955">
        <v>0</v>
      </c>
      <c r="F25" s="955">
        <v>1</v>
      </c>
      <c r="G25" s="955">
        <v>1</v>
      </c>
      <c r="H25" s="955">
        <v>1</v>
      </c>
      <c r="I25" s="956"/>
      <c r="J25" s="961"/>
      <c r="K25" s="961"/>
    </row>
    <row r="26" spans="1:11" ht="13.5" thickBot="1">
      <c r="A26" s="845">
        <f t="shared" si="1"/>
        <v>14</v>
      </c>
      <c r="B26" s="952" t="str">
        <f>"Total   (ln "&amp;A24&amp;" * ln "&amp;A25&amp;")"</f>
        <v>Total   (ln 12 * ln 13)</v>
      </c>
      <c r="C26" s="948"/>
      <c r="D26" s="954">
        <f>D24*D25</f>
        <v>0</v>
      </c>
      <c r="E26" s="954">
        <f>E24*E25</f>
        <v>0</v>
      </c>
      <c r="F26" s="954"/>
      <c r="G26" s="954">
        <f>G24*G25</f>
        <v>0</v>
      </c>
      <c r="H26" s="957">
        <f>H24*H25</f>
        <v>0</v>
      </c>
      <c r="I26" s="958">
        <f>SUM(E26:H26)</f>
        <v>0</v>
      </c>
      <c r="J26" s="961"/>
      <c r="K26" s="961"/>
    </row>
    <row r="27" spans="1:11">
      <c r="A27" s="845"/>
      <c r="B27" s="959"/>
      <c r="C27" s="960"/>
      <c r="D27" s="961"/>
      <c r="E27" s="961"/>
      <c r="F27" s="961"/>
      <c r="G27" s="961"/>
      <c r="H27" s="961"/>
      <c r="I27" s="961"/>
      <c r="J27" s="961"/>
      <c r="K27" s="847"/>
    </row>
    <row r="28" spans="1:11">
      <c r="A28" s="845"/>
      <c r="B28" s="959"/>
      <c r="C28" s="960"/>
      <c r="D28" s="961"/>
      <c r="E28" s="961"/>
      <c r="F28" s="961"/>
      <c r="G28" s="961"/>
      <c r="H28" s="961"/>
      <c r="I28" s="961"/>
      <c r="J28" s="961"/>
      <c r="K28" s="847"/>
    </row>
    <row r="29" spans="1:11" ht="12.75" customHeight="1">
      <c r="A29" s="845"/>
      <c r="B29" s="962"/>
      <c r="C29" s="962"/>
      <c r="D29" s="962"/>
      <c r="E29" s="962"/>
      <c r="F29" s="962"/>
      <c r="G29" s="962"/>
      <c r="H29" s="962"/>
      <c r="I29" s="962"/>
      <c r="J29" s="962"/>
      <c r="K29" s="962"/>
    </row>
    <row r="30" spans="1:11" s="963" customFormat="1" ht="15.5">
      <c r="A30" s="849"/>
      <c r="B30" s="940" t="s">
        <v>927</v>
      </c>
      <c r="C30" s="941"/>
      <c r="E30" s="964"/>
      <c r="F30" s="964"/>
      <c r="G30" s="964"/>
      <c r="H30" s="964"/>
    </row>
    <row r="31" spans="1:11" ht="12.75" customHeight="1">
      <c r="A31" s="845"/>
      <c r="B31" s="962"/>
      <c r="C31" s="962"/>
      <c r="D31" s="962"/>
      <c r="E31" s="962"/>
      <c r="F31" s="962"/>
      <c r="G31" s="962"/>
      <c r="H31" s="962"/>
      <c r="I31" s="962"/>
      <c r="J31" s="962"/>
      <c r="K31" s="962"/>
    </row>
    <row r="32" spans="1:11">
      <c r="A32" s="845"/>
      <c r="B32" s="850" t="s">
        <v>190</v>
      </c>
      <c r="C32" s="850" t="s">
        <v>191</v>
      </c>
      <c r="D32" s="850" t="s">
        <v>192</v>
      </c>
      <c r="E32" s="850" t="s">
        <v>193</v>
      </c>
      <c r="F32" s="850" t="s">
        <v>195</v>
      </c>
      <c r="G32" s="850" t="s">
        <v>194</v>
      </c>
      <c r="H32" s="850" t="s">
        <v>196</v>
      </c>
      <c r="I32" s="850" t="s">
        <v>197</v>
      </c>
      <c r="J32" s="850" t="s">
        <v>198</v>
      </c>
      <c r="K32" s="850" t="s">
        <v>955</v>
      </c>
    </row>
    <row r="33" spans="1:11">
      <c r="A33" s="845"/>
      <c r="B33" s="850"/>
      <c r="C33" s="850"/>
      <c r="D33" s="853">
        <v>1</v>
      </c>
      <c r="E33" s="853">
        <v>1</v>
      </c>
      <c r="F33" s="852" t="s">
        <v>854</v>
      </c>
      <c r="G33" s="850"/>
      <c r="H33" s="850"/>
      <c r="I33" s="850" t="s">
        <v>855</v>
      </c>
      <c r="J33" s="850" t="s">
        <v>956</v>
      </c>
      <c r="K33" s="850" t="s">
        <v>919</v>
      </c>
    </row>
    <row r="34" spans="1:11">
      <c r="A34" s="845" t="s">
        <v>8</v>
      </c>
      <c r="B34" s="850"/>
      <c r="C34" s="850"/>
      <c r="D34" s="850" t="s">
        <v>857</v>
      </c>
      <c r="E34" s="850" t="s">
        <v>858</v>
      </c>
      <c r="F34" s="850" t="s">
        <v>16</v>
      </c>
      <c r="G34" s="850" t="s">
        <v>801</v>
      </c>
      <c r="H34" s="850" t="s">
        <v>802</v>
      </c>
      <c r="I34" s="850" t="s">
        <v>920</v>
      </c>
      <c r="J34" s="850" t="s">
        <v>957</v>
      </c>
      <c r="K34" s="850" t="s">
        <v>609</v>
      </c>
    </row>
    <row r="35" spans="1:11">
      <c r="A35" s="845" t="s">
        <v>10</v>
      </c>
      <c r="B35" s="856" t="s">
        <v>860</v>
      </c>
      <c r="C35" s="856" t="s">
        <v>921</v>
      </c>
      <c r="D35" s="856" t="s">
        <v>803</v>
      </c>
      <c r="E35" s="856" t="s">
        <v>861</v>
      </c>
      <c r="F35" s="856" t="s">
        <v>803</v>
      </c>
      <c r="G35" s="856" t="s">
        <v>803</v>
      </c>
      <c r="H35" s="856" t="s">
        <v>803</v>
      </c>
      <c r="I35" s="856" t="s">
        <v>922</v>
      </c>
      <c r="J35" s="856" t="s">
        <v>687</v>
      </c>
      <c r="K35" s="856" t="s">
        <v>928</v>
      </c>
    </row>
    <row r="36" spans="1:11" ht="12.75" customHeight="1">
      <c r="B36" s="847"/>
      <c r="C36" s="965"/>
      <c r="D36" s="847"/>
      <c r="E36" s="847"/>
      <c r="F36" s="847"/>
      <c r="G36" s="965"/>
      <c r="H36" s="965"/>
      <c r="I36" s="965"/>
      <c r="J36" s="965"/>
      <c r="K36" s="847"/>
    </row>
    <row r="37" spans="1:11">
      <c r="A37" s="845">
        <f>A26+1</f>
        <v>15</v>
      </c>
      <c r="B37" s="1104" t="s">
        <v>1070</v>
      </c>
      <c r="C37" s="966">
        <v>0</v>
      </c>
      <c r="D37" s="966">
        <v>0</v>
      </c>
      <c r="E37" s="966">
        <v>0</v>
      </c>
      <c r="F37" s="966">
        <v>0</v>
      </c>
      <c r="G37" s="966">
        <v>0</v>
      </c>
      <c r="H37" s="944">
        <v>0</v>
      </c>
      <c r="I37" s="966">
        <v>0</v>
      </c>
      <c r="J37" s="966" t="s">
        <v>1022</v>
      </c>
      <c r="K37" s="967" t="s">
        <v>1023</v>
      </c>
    </row>
    <row r="38" spans="1:11">
      <c r="A38" s="845">
        <f t="shared" ref="A38:A68" si="2">A37+1</f>
        <v>16</v>
      </c>
      <c r="B38" s="1104" t="s">
        <v>1069</v>
      </c>
      <c r="C38" s="966">
        <v>0</v>
      </c>
      <c r="D38" s="966">
        <v>0</v>
      </c>
      <c r="E38" s="966">
        <v>0</v>
      </c>
      <c r="F38" s="966">
        <v>0</v>
      </c>
      <c r="G38" s="966">
        <v>0</v>
      </c>
      <c r="H38" s="944">
        <v>0</v>
      </c>
      <c r="I38" s="966">
        <v>0</v>
      </c>
      <c r="J38" s="966">
        <v>0</v>
      </c>
      <c r="K38" s="967">
        <v>0</v>
      </c>
    </row>
    <row r="39" spans="1:11">
      <c r="A39" s="845">
        <f t="shared" si="2"/>
        <v>17</v>
      </c>
      <c r="B39" s="1104" t="s">
        <v>1071</v>
      </c>
      <c r="C39" s="1106">
        <v>0</v>
      </c>
      <c r="D39" s="966">
        <v>0</v>
      </c>
      <c r="E39" s="966">
        <v>0</v>
      </c>
      <c r="F39" s="1106">
        <v>0</v>
      </c>
      <c r="G39" s="966">
        <v>0</v>
      </c>
      <c r="H39" s="944">
        <v>0</v>
      </c>
      <c r="I39" s="1106">
        <v>0</v>
      </c>
      <c r="J39" s="966" t="s">
        <v>1024</v>
      </c>
      <c r="K39" s="967" t="s">
        <v>1023</v>
      </c>
    </row>
    <row r="40" spans="1:11">
      <c r="A40" s="845">
        <f t="shared" si="2"/>
        <v>18</v>
      </c>
      <c r="B40" s="1104" t="s">
        <v>1069</v>
      </c>
      <c r="C40" s="863">
        <v>0</v>
      </c>
      <c r="D40" s="863">
        <v>0</v>
      </c>
      <c r="E40" s="863">
        <v>0</v>
      </c>
      <c r="F40" s="863">
        <v>0</v>
      </c>
      <c r="G40" s="863">
        <v>0</v>
      </c>
      <c r="H40" s="943">
        <v>0</v>
      </c>
      <c r="I40" s="1106">
        <v>0</v>
      </c>
      <c r="J40" s="966"/>
      <c r="K40" s="967"/>
    </row>
    <row r="41" spans="1:11">
      <c r="A41" s="845">
        <f t="shared" si="2"/>
        <v>19</v>
      </c>
      <c r="B41" s="942"/>
      <c r="C41" s="863"/>
      <c r="D41" s="863"/>
      <c r="E41" s="863"/>
      <c r="F41" s="863"/>
      <c r="G41" s="863"/>
      <c r="H41" s="943"/>
      <c r="I41" s="1106"/>
      <c r="J41" s="966"/>
      <c r="K41" s="967"/>
    </row>
    <row r="42" spans="1:11">
      <c r="A42" s="845">
        <f t="shared" si="2"/>
        <v>20</v>
      </c>
      <c r="B42" s="969"/>
      <c r="C42" s="863"/>
      <c r="D42" s="863"/>
      <c r="E42" s="863"/>
      <c r="F42" s="863"/>
      <c r="G42" s="863"/>
      <c r="H42" s="943"/>
      <c r="I42" s="1106"/>
      <c r="J42" s="966"/>
      <c r="K42" s="967"/>
    </row>
    <row r="43" spans="1:11">
      <c r="A43" s="845">
        <f t="shared" si="2"/>
        <v>21</v>
      </c>
      <c r="B43" s="942"/>
      <c r="C43" s="863"/>
      <c r="D43" s="863"/>
      <c r="E43" s="863"/>
      <c r="F43" s="863"/>
      <c r="G43" s="863"/>
      <c r="H43" s="943"/>
      <c r="I43" s="1106"/>
      <c r="J43" s="966"/>
      <c r="K43" s="967"/>
    </row>
    <row r="44" spans="1:11">
      <c r="A44" s="845">
        <f t="shared" si="2"/>
        <v>22</v>
      </c>
      <c r="B44" s="968"/>
      <c r="C44" s="863"/>
      <c r="D44" s="863"/>
      <c r="E44" s="863"/>
      <c r="F44" s="863"/>
      <c r="G44" s="863"/>
      <c r="H44" s="943"/>
      <c r="I44" s="1106"/>
      <c r="J44" s="966"/>
      <c r="K44" s="967"/>
    </row>
    <row r="45" spans="1:11">
      <c r="A45" s="845">
        <f t="shared" si="2"/>
        <v>23</v>
      </c>
      <c r="B45" s="968"/>
      <c r="C45" s="863"/>
      <c r="D45" s="966"/>
      <c r="E45" s="966"/>
      <c r="F45" s="966"/>
      <c r="G45" s="966"/>
      <c r="H45" s="944"/>
      <c r="I45" s="1106"/>
      <c r="J45" s="966"/>
      <c r="K45" s="967"/>
    </row>
    <row r="46" spans="1:11" s="913" customFormat="1" ht="12.5">
      <c r="A46" s="845">
        <f t="shared" si="2"/>
        <v>24</v>
      </c>
      <c r="B46" s="968"/>
      <c r="C46" s="863"/>
      <c r="D46" s="863"/>
      <c r="E46" s="863"/>
      <c r="F46" s="863"/>
      <c r="G46" s="863"/>
      <c r="H46" s="943"/>
      <c r="I46" s="947"/>
      <c r="J46" s="947"/>
      <c r="K46" s="967"/>
    </row>
    <row r="47" spans="1:11">
      <c r="A47" s="845">
        <f t="shared" si="2"/>
        <v>25</v>
      </c>
      <c r="B47" s="968"/>
      <c r="C47" s="863"/>
      <c r="D47" s="863"/>
      <c r="E47" s="863"/>
      <c r="F47" s="863"/>
      <c r="G47" s="863"/>
      <c r="H47" s="943"/>
      <c r="I47" s="947"/>
      <c r="J47" s="947"/>
      <c r="K47" s="967"/>
    </row>
    <row r="48" spans="1:11">
      <c r="A48" s="845">
        <f t="shared" si="2"/>
        <v>26</v>
      </c>
      <c r="B48" s="970"/>
      <c r="C48" s="863"/>
      <c r="D48" s="863"/>
      <c r="E48" s="863"/>
      <c r="F48" s="863"/>
      <c r="G48" s="863"/>
      <c r="H48" s="943"/>
      <c r="I48" s="947"/>
      <c r="J48" s="947"/>
      <c r="K48" s="967"/>
    </row>
    <row r="49" spans="1:11">
      <c r="A49" s="845">
        <f t="shared" si="2"/>
        <v>27</v>
      </c>
      <c r="B49" s="968"/>
      <c r="C49" s="863"/>
      <c r="D49" s="863"/>
      <c r="E49" s="863"/>
      <c r="F49" s="863"/>
      <c r="G49" s="863"/>
      <c r="H49" s="943"/>
      <c r="I49" s="947"/>
      <c r="J49" s="947"/>
      <c r="K49" s="967"/>
    </row>
    <row r="50" spans="1:11">
      <c r="A50" s="845">
        <f t="shared" si="2"/>
        <v>28</v>
      </c>
      <c r="B50" s="968"/>
      <c r="C50" s="863"/>
      <c r="D50" s="863"/>
      <c r="E50" s="863"/>
      <c r="F50" s="863"/>
      <c r="G50" s="863"/>
      <c r="H50" s="943"/>
      <c r="I50" s="947"/>
      <c r="J50" s="947"/>
      <c r="K50" s="967"/>
    </row>
    <row r="51" spans="1:11">
      <c r="A51" s="845">
        <f t="shared" si="2"/>
        <v>29</v>
      </c>
      <c r="B51" s="968"/>
      <c r="C51" s="863"/>
      <c r="D51" s="863"/>
      <c r="E51" s="863"/>
      <c r="F51" s="863"/>
      <c r="G51" s="863"/>
      <c r="H51" s="943"/>
      <c r="I51" s="947"/>
      <c r="J51" s="947"/>
      <c r="K51" s="967"/>
    </row>
    <row r="52" spans="1:11">
      <c r="A52" s="845">
        <f t="shared" si="2"/>
        <v>30</v>
      </c>
      <c r="B52" s="968"/>
      <c r="C52" s="863"/>
      <c r="D52" s="863"/>
      <c r="E52" s="863"/>
      <c r="F52" s="863"/>
      <c r="G52" s="863"/>
      <c r="H52" s="943"/>
      <c r="I52" s="947"/>
      <c r="J52" s="947"/>
      <c r="K52" s="945"/>
    </row>
    <row r="53" spans="1:11">
      <c r="A53" s="845">
        <f t="shared" si="2"/>
        <v>31</v>
      </c>
      <c r="B53" s="968"/>
      <c r="C53" s="863"/>
      <c r="D53" s="863"/>
      <c r="E53" s="863"/>
      <c r="F53" s="863"/>
      <c r="G53" s="863"/>
      <c r="H53" s="943"/>
      <c r="I53" s="947"/>
      <c r="J53" s="947"/>
      <c r="K53" s="945"/>
    </row>
    <row r="54" spans="1:11">
      <c r="A54" s="845">
        <f t="shared" si="2"/>
        <v>32</v>
      </c>
      <c r="B54" s="968"/>
      <c r="C54" s="863"/>
      <c r="D54" s="863"/>
      <c r="E54" s="863"/>
      <c r="F54" s="863"/>
      <c r="G54" s="863"/>
      <c r="H54" s="943"/>
      <c r="I54" s="947"/>
      <c r="J54" s="947"/>
      <c r="K54" s="945"/>
    </row>
    <row r="55" spans="1:11">
      <c r="A55" s="845">
        <f t="shared" si="2"/>
        <v>33</v>
      </c>
      <c r="B55" s="968"/>
      <c r="C55" s="863"/>
      <c r="D55" s="863"/>
      <c r="E55" s="863"/>
      <c r="F55" s="863"/>
      <c r="G55" s="863"/>
      <c r="H55" s="943"/>
      <c r="I55" s="947"/>
      <c r="J55" s="947"/>
      <c r="K55" s="945"/>
    </row>
    <row r="56" spans="1:11">
      <c r="A56" s="845">
        <f t="shared" si="2"/>
        <v>34</v>
      </c>
      <c r="B56" s="968"/>
      <c r="C56" s="863"/>
      <c r="D56" s="863"/>
      <c r="E56" s="863"/>
      <c r="F56" s="863"/>
      <c r="G56" s="863"/>
      <c r="H56" s="943"/>
      <c r="I56" s="947"/>
      <c r="J56" s="947"/>
      <c r="K56" s="945"/>
    </row>
    <row r="57" spans="1:11">
      <c r="A57" s="845">
        <f t="shared" si="2"/>
        <v>35</v>
      </c>
      <c r="B57" s="968"/>
      <c r="C57" s="863"/>
      <c r="D57" s="863"/>
      <c r="E57" s="863"/>
      <c r="F57" s="863"/>
      <c r="G57" s="863"/>
      <c r="H57" s="943"/>
      <c r="I57" s="947"/>
      <c r="J57" s="947"/>
      <c r="K57" s="945"/>
    </row>
    <row r="58" spans="1:11">
      <c r="A58" s="845">
        <f t="shared" si="2"/>
        <v>36</v>
      </c>
      <c r="B58" s="968"/>
      <c r="C58" s="863"/>
      <c r="D58" s="863"/>
      <c r="E58" s="863"/>
      <c r="F58" s="863"/>
      <c r="G58" s="863"/>
      <c r="H58" s="943"/>
      <c r="I58" s="947"/>
      <c r="J58" s="947"/>
      <c r="K58" s="945"/>
    </row>
    <row r="59" spans="1:11">
      <c r="A59" s="845">
        <f t="shared" si="2"/>
        <v>37</v>
      </c>
      <c r="B59" s="968"/>
      <c r="C59" s="863"/>
      <c r="D59" s="863"/>
      <c r="E59" s="863"/>
      <c r="F59" s="863"/>
      <c r="G59" s="863"/>
      <c r="H59" s="943"/>
      <c r="I59" s="947"/>
      <c r="J59" s="947"/>
      <c r="K59" s="945"/>
    </row>
    <row r="60" spans="1:11">
      <c r="A60" s="845">
        <f t="shared" si="2"/>
        <v>38</v>
      </c>
      <c r="B60" s="968"/>
      <c r="C60" s="863"/>
      <c r="D60" s="863"/>
      <c r="E60" s="863"/>
      <c r="F60" s="863"/>
      <c r="G60" s="863"/>
      <c r="H60" s="943"/>
      <c r="I60" s="947"/>
      <c r="J60" s="947"/>
      <c r="K60" s="945"/>
    </row>
    <row r="61" spans="1:11">
      <c r="A61" s="845">
        <f t="shared" si="2"/>
        <v>39</v>
      </c>
      <c r="B61" s="968"/>
      <c r="C61" s="863"/>
      <c r="D61" s="863"/>
      <c r="E61" s="863"/>
      <c r="F61" s="863"/>
      <c r="G61" s="863"/>
      <c r="H61" s="943"/>
      <c r="I61" s="947"/>
      <c r="J61" s="947"/>
      <c r="K61" s="945"/>
    </row>
    <row r="62" spans="1:11">
      <c r="A62" s="845">
        <f t="shared" si="2"/>
        <v>40</v>
      </c>
      <c r="B62" s="968"/>
      <c r="C62" s="863"/>
      <c r="D62" s="863"/>
      <c r="E62" s="863"/>
      <c r="F62" s="863"/>
      <c r="G62" s="863"/>
      <c r="H62" s="943"/>
      <c r="I62" s="947"/>
      <c r="J62" s="947"/>
      <c r="K62" s="945"/>
    </row>
    <row r="63" spans="1:11">
      <c r="A63" s="845">
        <f t="shared" si="2"/>
        <v>41</v>
      </c>
      <c r="B63" s="968"/>
      <c r="C63" s="863"/>
      <c r="D63" s="863"/>
      <c r="E63" s="863"/>
      <c r="F63" s="863"/>
      <c r="G63" s="863"/>
      <c r="H63" s="943"/>
      <c r="I63" s="947"/>
      <c r="J63" s="947"/>
      <c r="K63" s="945"/>
    </row>
    <row r="64" spans="1:11">
      <c r="A64" s="845">
        <f t="shared" si="2"/>
        <v>42</v>
      </c>
      <c r="B64" s="968"/>
      <c r="C64" s="863"/>
      <c r="D64" s="863"/>
      <c r="E64" s="863"/>
      <c r="F64" s="863"/>
      <c r="G64" s="863"/>
      <c r="H64" s="943"/>
      <c r="I64" s="947"/>
      <c r="J64" s="947"/>
      <c r="K64" s="945"/>
    </row>
    <row r="65" spans="1:14" ht="12.75" customHeight="1">
      <c r="A65" s="845">
        <f t="shared" si="2"/>
        <v>43</v>
      </c>
      <c r="B65" s="948"/>
      <c r="C65" s="953"/>
      <c r="D65" s="953"/>
      <c r="E65" s="953"/>
      <c r="F65" s="953"/>
      <c r="G65" s="953"/>
      <c r="H65" s="971"/>
      <c r="I65" s="953"/>
      <c r="J65" s="961"/>
      <c r="K65" s="961"/>
    </row>
    <row r="66" spans="1:14" ht="12.75" customHeight="1">
      <c r="A66" s="845">
        <f t="shared" si="2"/>
        <v>44</v>
      </c>
      <c r="B66" s="952" t="s">
        <v>925</v>
      </c>
      <c r="C66" s="953">
        <f>SUM(C37:C64)</f>
        <v>0</v>
      </c>
      <c r="D66" s="972">
        <f>SUM(D37:D64)</f>
        <v>0</v>
      </c>
      <c r="E66" s="972">
        <f>SUM(E37:E64)</f>
        <v>0</v>
      </c>
      <c r="F66" s="972"/>
      <c r="G66" s="1223">
        <f>SUM(G37:G64)</f>
        <v>0</v>
      </c>
      <c r="H66" s="1223">
        <f>SUM(H37:H64)</f>
        <v>0</v>
      </c>
      <c r="I66" s="953"/>
      <c r="J66" s="961"/>
      <c r="K66" s="961"/>
    </row>
    <row r="67" spans="1:14" ht="12.75" customHeight="1" thickBot="1">
      <c r="A67" s="845">
        <f t="shared" si="2"/>
        <v>45</v>
      </c>
      <c r="B67" s="952" t="s">
        <v>926</v>
      </c>
      <c r="C67" s="972"/>
      <c r="D67" s="955">
        <v>0</v>
      </c>
      <c r="E67" s="955">
        <v>0</v>
      </c>
      <c r="F67" s="955">
        <v>1</v>
      </c>
      <c r="G67" s="955">
        <v>1</v>
      </c>
      <c r="H67" s="955">
        <v>1</v>
      </c>
      <c r="I67" s="956"/>
      <c r="J67" s="961"/>
      <c r="K67" s="961"/>
    </row>
    <row r="68" spans="1:14" ht="12.75" customHeight="1" thickBot="1">
      <c r="A68" s="845">
        <f t="shared" si="2"/>
        <v>46</v>
      </c>
      <c r="B68" s="952" t="str">
        <f>"Total   (ln "&amp;A66&amp;" * ln "&amp;A67&amp;")"</f>
        <v>Total   (ln 44 * ln 45)</v>
      </c>
      <c r="C68" s="948"/>
      <c r="D68" s="954">
        <f>D66*D67</f>
        <v>0</v>
      </c>
      <c r="E68" s="954">
        <f>E66*E67</f>
        <v>0</v>
      </c>
      <c r="F68" s="954"/>
      <c r="G68" s="954">
        <f>G66*G67</f>
        <v>0</v>
      </c>
      <c r="H68" s="957">
        <f>H66*H67</f>
        <v>0</v>
      </c>
      <c r="I68" s="958">
        <f>SUM(E68:H68)</f>
        <v>0</v>
      </c>
      <c r="J68" s="961"/>
      <c r="K68" s="961"/>
    </row>
    <row r="69" spans="1:14" ht="12.75" customHeight="1">
      <c r="A69" s="845"/>
      <c r="B69" s="959"/>
      <c r="C69" s="960"/>
      <c r="D69" s="961"/>
      <c r="E69" s="961"/>
      <c r="F69" s="961"/>
      <c r="G69" s="961"/>
      <c r="H69" s="961"/>
      <c r="I69" s="961"/>
      <c r="J69" s="961"/>
      <c r="K69" s="847"/>
    </row>
    <row r="70" spans="1:14" ht="12.75" customHeight="1">
      <c r="A70" s="845"/>
      <c r="B70" s="878"/>
      <c r="C70" s="847"/>
      <c r="D70" s="883"/>
      <c r="E70" s="883"/>
      <c r="F70" s="883"/>
      <c r="G70" s="883"/>
      <c r="H70" s="883"/>
      <c r="I70" s="883"/>
      <c r="J70" s="883"/>
      <c r="K70" s="847"/>
    </row>
    <row r="71" spans="1:14" ht="20.25" customHeight="1">
      <c r="A71" s="849"/>
      <c r="B71" s="878"/>
      <c r="C71" s="882"/>
      <c r="D71" s="883"/>
      <c r="E71" s="883"/>
      <c r="F71" s="883"/>
      <c r="G71" s="961"/>
      <c r="H71" s="961"/>
      <c r="I71" s="973"/>
      <c r="J71" s="973"/>
      <c r="K71" s="938" t="s">
        <v>147</v>
      </c>
    </row>
    <row r="72" spans="1:14" ht="18">
      <c r="A72" s="974" t="s">
        <v>958</v>
      </c>
      <c r="B72" s="975"/>
      <c r="C72" s="882"/>
      <c r="D72" s="883"/>
      <c r="E72" s="883"/>
      <c r="F72" s="883"/>
      <c r="G72" s="961"/>
      <c r="H72" s="961"/>
      <c r="I72" s="973"/>
      <c r="J72" s="973"/>
    </row>
    <row r="73" spans="1:14" ht="15.5">
      <c r="A73" s="849"/>
      <c r="B73" s="940"/>
      <c r="C73" s="882" t="s">
        <v>990</v>
      </c>
      <c r="D73" s="883"/>
      <c r="E73" s="883"/>
      <c r="F73" s="883" t="s">
        <v>991</v>
      </c>
      <c r="G73" s="961"/>
      <c r="H73" s="961" t="s">
        <v>989</v>
      </c>
      <c r="I73" s="973"/>
      <c r="J73" s="973"/>
    </row>
    <row r="74" spans="1:14">
      <c r="A74" s="850"/>
      <c r="B74" s="850" t="s">
        <v>190</v>
      </c>
      <c r="C74" s="850" t="s">
        <v>191</v>
      </c>
      <c r="D74" s="850" t="s">
        <v>192</v>
      </c>
      <c r="E74" s="850" t="s">
        <v>193</v>
      </c>
      <c r="F74" s="850" t="s">
        <v>195</v>
      </c>
      <c r="G74" s="850" t="s">
        <v>194</v>
      </c>
      <c r="H74" s="1290" t="s">
        <v>196</v>
      </c>
      <c r="I74" s="1290"/>
      <c r="J74" s="1290"/>
      <c r="K74" s="1290"/>
      <c r="L74" s="1290"/>
      <c r="M74" s="976"/>
      <c r="N74" s="976"/>
    </row>
    <row r="75" spans="1:14">
      <c r="A75" s="850"/>
      <c r="B75" s="850"/>
      <c r="C75" s="850"/>
      <c r="D75" s="850"/>
      <c r="E75" s="850"/>
      <c r="F75" s="850"/>
      <c r="G75" s="850"/>
      <c r="H75" s="976"/>
      <c r="I75" s="976"/>
      <c r="J75" s="976"/>
      <c r="K75" s="977"/>
    </row>
    <row r="76" spans="1:14">
      <c r="A76" s="850"/>
      <c r="B76" s="850"/>
      <c r="C76" s="850" t="s">
        <v>930</v>
      </c>
      <c r="D76" s="850"/>
      <c r="E76" s="850"/>
      <c r="F76" s="850"/>
      <c r="G76" s="850"/>
      <c r="H76" s="976"/>
      <c r="I76" s="976"/>
      <c r="J76" s="976"/>
      <c r="K76" s="977"/>
    </row>
    <row r="77" spans="1:14">
      <c r="A77" s="845" t="s">
        <v>8</v>
      </c>
      <c r="B77" s="978" t="s">
        <v>929</v>
      </c>
      <c r="C77" s="1063" t="s">
        <v>934</v>
      </c>
      <c r="D77" s="850" t="s">
        <v>931</v>
      </c>
      <c r="E77" s="850" t="s">
        <v>404</v>
      </c>
      <c r="F77" s="979" t="s">
        <v>932</v>
      </c>
      <c r="G77" s="979" t="s">
        <v>933</v>
      </c>
      <c r="H77" s="976"/>
      <c r="I77" s="976"/>
      <c r="J77" s="976"/>
      <c r="K77" s="977"/>
    </row>
    <row r="78" spans="1:14" ht="16">
      <c r="A78" s="845" t="s">
        <v>10</v>
      </c>
      <c r="B78" s="856" t="s">
        <v>959</v>
      </c>
      <c r="C78" s="981" t="s">
        <v>946</v>
      </c>
      <c r="D78" s="981" t="s">
        <v>477</v>
      </c>
      <c r="E78" s="981" t="s">
        <v>935</v>
      </c>
      <c r="F78" s="982" t="s">
        <v>936</v>
      </c>
      <c r="G78" s="980" t="s">
        <v>937</v>
      </c>
      <c r="H78" s="1289" t="s">
        <v>523</v>
      </c>
      <c r="I78" s="1289"/>
      <c r="J78" s="1289"/>
      <c r="K78" s="1289"/>
      <c r="L78" s="1289"/>
      <c r="N78" s="1086"/>
    </row>
    <row r="79" spans="1:14">
      <c r="A79" s="849">
        <f>A68+1</f>
        <v>47</v>
      </c>
      <c r="B79" s="870" t="s">
        <v>1072</v>
      </c>
      <c r="C79" s="868">
        <v>0</v>
      </c>
      <c r="D79" s="868">
        <v>0</v>
      </c>
      <c r="E79" s="868">
        <v>0</v>
      </c>
      <c r="F79" s="868">
        <v>0</v>
      </c>
      <c r="G79" s="868">
        <v>0</v>
      </c>
      <c r="H79" s="1287" t="s">
        <v>1073</v>
      </c>
      <c r="I79" s="1288">
        <v>0</v>
      </c>
      <c r="J79" s="1288">
        <v>0</v>
      </c>
      <c r="K79" s="1288">
        <v>0</v>
      </c>
      <c r="L79" s="1288">
        <v>0</v>
      </c>
    </row>
    <row r="80" spans="1:14">
      <c r="A80" s="849">
        <f>A79+1</f>
        <v>48</v>
      </c>
      <c r="B80" s="870" t="s">
        <v>1074</v>
      </c>
      <c r="C80" s="984">
        <v>0</v>
      </c>
      <c r="D80" s="868">
        <v>0</v>
      </c>
      <c r="E80" s="868">
        <v>0</v>
      </c>
      <c r="F80" s="868">
        <v>0</v>
      </c>
      <c r="G80" s="868">
        <v>0</v>
      </c>
      <c r="H80" s="1287" t="s">
        <v>1075</v>
      </c>
      <c r="I80" s="1288">
        <v>0</v>
      </c>
      <c r="J80" s="1288">
        <v>0</v>
      </c>
      <c r="K80" s="1288">
        <v>0</v>
      </c>
      <c r="L80" s="1288">
        <v>0</v>
      </c>
    </row>
    <row r="81" spans="1:14">
      <c r="A81" s="849">
        <f t="shared" ref="A81:A82" si="3">A80+1</f>
        <v>49</v>
      </c>
      <c r="B81" s="983"/>
      <c r="C81" s="984"/>
      <c r="D81" s="984"/>
      <c r="E81" s="868"/>
      <c r="F81" s="984"/>
      <c r="G81" s="868"/>
      <c r="H81" s="1287"/>
      <c r="I81" s="1288"/>
      <c r="J81" s="1288"/>
      <c r="K81" s="1288"/>
      <c r="L81" s="1288"/>
    </row>
    <row r="82" spans="1:14">
      <c r="A82" s="849">
        <f t="shared" si="3"/>
        <v>50</v>
      </c>
      <c r="B82" s="983"/>
      <c r="C82" s="984"/>
      <c r="D82" s="984"/>
      <c r="E82" s="868"/>
      <c r="F82" s="984"/>
      <c r="G82" s="868"/>
      <c r="H82" s="1287"/>
      <c r="I82" s="1288"/>
      <c r="J82" s="1288"/>
      <c r="K82" s="1288"/>
      <c r="L82" s="1288"/>
    </row>
    <row r="83" spans="1:14">
      <c r="A83" s="849"/>
      <c r="B83" s="878"/>
      <c r="C83" s="985"/>
      <c r="D83" s="986"/>
      <c r="E83" s="986"/>
      <c r="F83" s="985"/>
      <c r="G83" s="985"/>
      <c r="H83" s="1289"/>
      <c r="I83" s="1289"/>
      <c r="J83" s="1289"/>
      <c r="K83" s="1289"/>
      <c r="L83" s="1289"/>
      <c r="N83" s="1087"/>
    </row>
    <row r="84" spans="1:14">
      <c r="A84" s="849">
        <f>A82+1</f>
        <v>51</v>
      </c>
      <c r="B84" s="983" t="s">
        <v>1076</v>
      </c>
      <c r="C84" s="868">
        <v>0</v>
      </c>
      <c r="D84" s="984">
        <v>0</v>
      </c>
      <c r="E84" s="984">
        <v>0</v>
      </c>
      <c r="F84" s="868">
        <v>0</v>
      </c>
      <c r="G84" s="868">
        <v>0</v>
      </c>
      <c r="H84" s="1287" t="s">
        <v>1077</v>
      </c>
      <c r="I84" s="1288">
        <v>0</v>
      </c>
      <c r="J84" s="1288">
        <v>0</v>
      </c>
      <c r="K84" s="1288">
        <v>0</v>
      </c>
      <c r="L84" s="1288">
        <v>0</v>
      </c>
      <c r="N84" s="1087"/>
    </row>
    <row r="85" spans="1:14">
      <c r="A85" s="849">
        <f>A84+1</f>
        <v>52</v>
      </c>
      <c r="B85" s="983" t="s">
        <v>1078</v>
      </c>
      <c r="C85" s="984">
        <v>0</v>
      </c>
      <c r="D85" s="984">
        <v>0</v>
      </c>
      <c r="E85" s="868">
        <v>0</v>
      </c>
      <c r="F85" s="984">
        <v>0</v>
      </c>
      <c r="G85" s="868">
        <v>0</v>
      </c>
      <c r="H85" s="1284" t="s">
        <v>1075</v>
      </c>
      <c r="I85" s="1285">
        <v>0</v>
      </c>
      <c r="J85" s="1285">
        <v>0</v>
      </c>
      <c r="K85" s="1285">
        <v>0</v>
      </c>
      <c r="L85" s="1286">
        <v>0</v>
      </c>
      <c r="N85" s="1087"/>
    </row>
    <row r="86" spans="1:14">
      <c r="A86" s="849">
        <f t="shared" ref="A86:A87" si="4">A85+1</f>
        <v>53</v>
      </c>
      <c r="B86" s="983" t="s">
        <v>1079</v>
      </c>
      <c r="C86" s="984">
        <v>0</v>
      </c>
      <c r="D86" s="984">
        <v>0</v>
      </c>
      <c r="E86" s="868">
        <v>0</v>
      </c>
      <c r="F86" s="984">
        <v>0</v>
      </c>
      <c r="G86" s="868">
        <v>0</v>
      </c>
      <c r="H86" s="1287" t="s">
        <v>1080</v>
      </c>
      <c r="I86" s="1288">
        <v>0</v>
      </c>
      <c r="J86" s="1288">
        <v>0</v>
      </c>
      <c r="K86" s="1288">
        <v>0</v>
      </c>
      <c r="L86" s="1288">
        <v>0</v>
      </c>
      <c r="N86" s="1087"/>
    </row>
    <row r="87" spans="1:14">
      <c r="A87" s="849">
        <f t="shared" si="4"/>
        <v>54</v>
      </c>
      <c r="B87" s="983" t="s">
        <v>1081</v>
      </c>
      <c r="C87" s="984">
        <v>0</v>
      </c>
      <c r="D87" s="1230">
        <v>0</v>
      </c>
      <c r="E87" s="868">
        <v>0</v>
      </c>
      <c r="F87" s="868">
        <v>0</v>
      </c>
      <c r="G87" s="868">
        <v>0</v>
      </c>
      <c r="H87" s="1284" t="s">
        <v>1082</v>
      </c>
      <c r="I87" s="1285">
        <v>0</v>
      </c>
      <c r="J87" s="1285">
        <v>0</v>
      </c>
      <c r="K87" s="1285">
        <v>0</v>
      </c>
      <c r="L87" s="1286">
        <v>0</v>
      </c>
      <c r="N87" s="1087"/>
    </row>
    <row r="88" spans="1:14">
      <c r="A88" s="849"/>
      <c r="B88" s="878"/>
      <c r="C88" s="987"/>
      <c r="D88" s="987"/>
      <c r="E88" s="987"/>
      <c r="F88" s="988"/>
      <c r="G88" s="987"/>
      <c r="H88" s="976"/>
      <c r="I88" s="976"/>
      <c r="J88" s="976"/>
      <c r="K88" s="977"/>
      <c r="N88" s="1087"/>
    </row>
    <row r="89" spans="1:14" ht="13.5" thickBot="1">
      <c r="A89" s="849">
        <f>A87+1</f>
        <v>55</v>
      </c>
      <c r="B89" s="959" t="str">
        <f>"Total Regulatory Asset/Liability   (sum lns "&amp;A79&amp;" and "&amp;A87&amp;")"</f>
        <v>Total Regulatory Asset/Liability   (sum lns 47 and 54)</v>
      </c>
      <c r="C89" s="989">
        <f>SUM(C79:C87)</f>
        <v>0</v>
      </c>
      <c r="D89" s="989">
        <f t="shared" ref="D89:G89" si="5">SUM(D79:D87)</f>
        <v>0</v>
      </c>
      <c r="E89" s="989">
        <f t="shared" si="5"/>
        <v>0</v>
      </c>
      <c r="F89" s="989">
        <f t="shared" si="5"/>
        <v>0</v>
      </c>
      <c r="G89" s="989">
        <f t="shared" si="5"/>
        <v>0</v>
      </c>
      <c r="H89" s="990"/>
      <c r="I89" s="976"/>
      <c r="J89" s="976"/>
      <c r="K89" s="977"/>
      <c r="N89" s="1087"/>
    </row>
    <row r="90" spans="1:14" ht="16" thickTop="1">
      <c r="A90" s="850"/>
      <c r="B90" s="991"/>
      <c r="C90" s="992"/>
      <c r="D90" s="992"/>
      <c r="E90" s="992"/>
      <c r="F90" s="993"/>
      <c r="G90" s="992"/>
      <c r="H90" s="976"/>
      <c r="I90" s="976"/>
      <c r="J90" s="976"/>
      <c r="K90" s="977"/>
    </row>
    <row r="91" spans="1:14" ht="15.5">
      <c r="A91" s="850"/>
      <c r="B91" s="991"/>
      <c r="C91" s="987"/>
      <c r="D91" s="987"/>
      <c r="E91" s="987"/>
      <c r="F91" s="987"/>
      <c r="G91" s="987"/>
      <c r="H91" s="976"/>
      <c r="I91" s="976"/>
      <c r="J91" s="976"/>
      <c r="K91" s="977"/>
    </row>
    <row r="92" spans="1:14">
      <c r="A92" s="851"/>
      <c r="B92" s="879" t="s">
        <v>960</v>
      </c>
      <c r="C92" s="879"/>
      <c r="D92" s="879"/>
      <c r="E92" s="847"/>
      <c r="F92" s="847"/>
      <c r="G92" s="847"/>
      <c r="H92" s="847"/>
      <c r="I92" s="847"/>
      <c r="J92" s="847"/>
    </row>
    <row r="93" spans="1:14">
      <c r="A93" s="851"/>
      <c r="B93" s="847" t="s">
        <v>940</v>
      </c>
      <c r="C93" s="847"/>
      <c r="D93" s="847"/>
      <c r="E93" s="847"/>
      <c r="F93" s="847"/>
      <c r="G93" s="847"/>
      <c r="H93" s="847"/>
      <c r="I93" s="847"/>
      <c r="J93" s="847"/>
    </row>
    <row r="94" spans="1:14">
      <c r="A94" s="851"/>
      <c r="B94" s="847" t="s">
        <v>938</v>
      </c>
      <c r="C94" s="847"/>
      <c r="D94" s="847"/>
      <c r="E94" s="847"/>
      <c r="F94" s="847"/>
      <c r="G94" s="847"/>
      <c r="H94" s="847"/>
      <c r="I94" s="847"/>
      <c r="J94" s="847"/>
    </row>
    <row r="95" spans="1:14">
      <c r="A95" s="851"/>
      <c r="B95" s="882" t="s">
        <v>961</v>
      </c>
      <c r="C95" s="975"/>
      <c r="D95" s="975"/>
      <c r="E95" s="975"/>
      <c r="F95" s="975"/>
      <c r="G95" s="975"/>
      <c r="H95" s="975"/>
      <c r="I95" s="975"/>
      <c r="J95" s="975"/>
      <c r="K95" s="975"/>
    </row>
    <row r="96" spans="1:14">
      <c r="A96" s="851"/>
      <c r="B96" s="882" t="s">
        <v>939</v>
      </c>
      <c r="C96" s="975"/>
      <c r="D96" s="975"/>
      <c r="E96" s="975"/>
      <c r="F96" s="975"/>
      <c r="G96" s="975"/>
      <c r="H96" s="975"/>
      <c r="I96" s="975"/>
      <c r="J96" s="975"/>
      <c r="K96" s="975"/>
    </row>
    <row r="97" spans="1:11">
      <c r="A97" s="851"/>
      <c r="B97" s="879" t="s">
        <v>962</v>
      </c>
      <c r="C97" s="975"/>
      <c r="D97" s="975"/>
      <c r="E97" s="975"/>
      <c r="F97" s="975"/>
      <c r="G97" s="975"/>
      <c r="H97" s="975"/>
      <c r="I97" s="975"/>
      <c r="J97" s="975"/>
      <c r="K97" s="975"/>
    </row>
    <row r="98" spans="1:11">
      <c r="A98" s="851"/>
      <c r="B98" s="1064"/>
      <c r="C98" s="1065"/>
      <c r="D98" s="1065"/>
      <c r="E98" s="1065"/>
      <c r="F98" s="1065"/>
      <c r="G98" s="1065"/>
      <c r="H98" s="1065"/>
      <c r="I98" s="1066"/>
    </row>
    <row r="99" spans="1:11">
      <c r="A99" s="994"/>
      <c r="B99" s="1067"/>
      <c r="C99" s="1068"/>
      <c r="D99" s="1068"/>
      <c r="E99" s="1068"/>
      <c r="F99" s="1068"/>
      <c r="G99" s="1068"/>
      <c r="H99" s="1068"/>
      <c r="I99" s="1069"/>
    </row>
    <row r="100" spans="1:11">
      <c r="A100" s="994"/>
      <c r="B100" s="975"/>
      <c r="C100" s="975"/>
      <c r="D100" s="975"/>
      <c r="E100" s="975"/>
      <c r="F100" s="975"/>
      <c r="G100" s="975"/>
      <c r="H100" s="975"/>
    </row>
    <row r="101" spans="1:11">
      <c r="A101" s="994"/>
      <c r="B101" s="995"/>
      <c r="C101" s="995"/>
      <c r="D101" s="995"/>
      <c r="E101" s="995"/>
      <c r="F101" s="995"/>
      <c r="G101" s="995"/>
      <c r="H101" s="995"/>
      <c r="I101" s="995"/>
      <c r="J101" s="995"/>
    </row>
  </sheetData>
  <mergeCells count="14">
    <mergeCell ref="A1:K1"/>
    <mergeCell ref="A2:K2"/>
    <mergeCell ref="A3:K3"/>
    <mergeCell ref="H74:L74"/>
    <mergeCell ref="H78:L78"/>
    <mergeCell ref="H85:L85"/>
    <mergeCell ref="H86:L86"/>
    <mergeCell ref="H87:L87"/>
    <mergeCell ref="H79:L79"/>
    <mergeCell ref="H80:L80"/>
    <mergeCell ref="H81:L81"/>
    <mergeCell ref="H82:L82"/>
    <mergeCell ref="H83:L83"/>
    <mergeCell ref="H84:L84"/>
  </mergeCells>
  <pageMargins left="0.7" right="0.7" top="0.75" bottom="0.75" header="0.3" footer="0.3"/>
  <pageSetup scale="48" fitToHeight="3" orientation="landscape" r:id="rId1"/>
  <rowBreaks count="1" manualBreakCount="1">
    <brk id="7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Tk5OTg5PC9Vc2VyTmFtZT48RGF0ZVRpbWU+MTEvMTYvMjAyMiAzOjE2OjE2IFBNPC9EYXRlVGltZT48TGFiZWxTdHJpbmc+QUVQIEludGVybmFsPC9MYWJlbFN0cmluZz48L2l0ZW0+PC9sYWJlbEhpc3Rvcnk+</Value>
</WrappedLabelHistory>
</file>

<file path=customXml/item4.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5.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DBC8E-E135-4F5E-ADEE-BD14D77AAFE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7179F027-4F2F-4C66-A61D-6EE6FE231643}">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26636077-1546-49AB-8F6B-2E16FF98E5CC}">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Attachment H-29A</vt:lpstr>
      <vt:lpstr>1-Project Rev Req</vt:lpstr>
      <vt:lpstr>2-Incentive ROE</vt:lpstr>
      <vt:lpstr>3-Project True-up</vt:lpstr>
      <vt:lpstr>4- Rate Base</vt:lpstr>
      <vt:lpstr>4a - ADIT Average Balances</vt:lpstr>
      <vt:lpstr>4b - ADIT Beginning Ending</vt:lpstr>
      <vt:lpstr>4c - ADIT Proration</vt:lpstr>
      <vt:lpstr>4d - ADIT Amortization</vt:lpstr>
      <vt:lpstr>4e - Tax Remeasurement</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 - ADIT Average Balances'!Print_Area</vt:lpstr>
      <vt:lpstr>'4b - ADIT Beginning Ending'!Print_Area</vt:lpstr>
      <vt:lpstr>'4c - ADIT Proration'!Print_Area</vt:lpstr>
      <vt:lpstr>'4d - ADIT Amortization'!Print_Area</vt:lpstr>
      <vt:lpstr>'4e - Tax Remeasurement'!Print_Area</vt:lpstr>
      <vt:lpstr>'5-Return'!Print_Area</vt:lpstr>
      <vt:lpstr>'6a - True-up Interest Rate'!Print_Area</vt:lpstr>
      <vt:lpstr>'8-Construction Debt'!Print_Area</vt:lpstr>
      <vt:lpstr>'9- Cost of Debt True-up'!Print_Area</vt:lpstr>
      <vt:lpstr>'Attachment H-29A'!Print_Area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Mark J Koziol</cp:lastModifiedBy>
  <cp:lastPrinted>2017-02-17T19:02:56Z</cp:lastPrinted>
  <dcterms:created xsi:type="dcterms:W3CDTF">1970-01-01T04:00:00Z</dcterms:created>
  <dcterms:modified xsi:type="dcterms:W3CDTF">2025-06-30T00:47:02Z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{2FB3E623-0000-46FD-8D8A-89B5C0FB626F}</vt:lpwstr>
  </property>
  <property fmtid="{D5CDD505-2E9C-101B-9397-08002B2CF9AE}" pid="6" name="docIndexRef">
    <vt:lpwstr>10796394-8fbf-4202-bc31-d318f4fa7457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y fmtid="{D5CDD505-2E9C-101B-9397-08002B2CF9AE}" pid="12" name="MSIP_Label_69f43042-6bda-44b2-91eb-eca3d3d484f4_SiteId">
    <vt:lpwstr>15f3c881-6b03-4ff6-8559-77bf5177818f</vt:lpwstr>
  </property>
  <property fmtid="{D5CDD505-2E9C-101B-9397-08002B2CF9AE}" pid="13" name="MSIP_Label_69f43042-6bda-44b2-91eb-eca3d3d484f4_Name">
    <vt:lpwstr>AEP Internal</vt:lpwstr>
  </property>
  <property fmtid="{D5CDD505-2E9C-101B-9397-08002B2CF9AE}" pid="14" name="MSIP_Label_69f43042-6bda-44b2-91eb-eca3d3d484f4_Enabled">
    <vt:lpwstr>true</vt:lpwstr>
  </property>
  <property fmtid="{D5CDD505-2E9C-101B-9397-08002B2CF9AE}" pid="15" name="bjClsUserRVM">
    <vt:lpwstr>[]</vt:lpwstr>
  </property>
  <property fmtid="{D5CDD505-2E9C-101B-9397-08002B2CF9AE}" pid="16" name="bjLabelHistoryID">
    <vt:lpwstr>{7179F027-4F2F-4C66-A61D-6EE6FE231643}</vt:lpwstr>
  </property>
</Properties>
</file>