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codeName="ThisWorkbook" defaultThemeVersion="124226"/>
  <mc:AlternateContent xmlns:mc="http://schemas.openxmlformats.org/markup-compatibility/2006">
    <mc:Choice Requires="x15">
      <x15ac:absPath xmlns:x15ac="http://schemas.microsoft.com/office/spreadsheetml/2010/11/ac" url="E:\FORMULA TRANSMISSION RATES TRANSOURCE\West Virginia\2024 True Up\Filing Documents\"/>
    </mc:Choice>
  </mc:AlternateContent>
  <xr:revisionPtr revIDLastSave="0" documentId="13_ncr:1_{5944D457-B7B4-4BD8-BFF7-EFF7DB193FFC}" xr6:coauthVersionLast="47" xr6:coauthVersionMax="47" xr10:uidLastSave="{00000000-0000-0000-0000-000000000000}"/>
  <bookViews>
    <workbookView xWindow="57480" yWindow="-120" windowWidth="29040" windowHeight="15720" tabRatio="865" xr2:uid="{00000000-000D-0000-FFFF-FFFF00000000}"/>
  </bookViews>
  <sheets>
    <sheet name="Attachment H-26" sheetId="1" r:id="rId1"/>
    <sheet name="1-Project Rev Req" sheetId="2" r:id="rId2"/>
    <sheet name="2-Incentive ROE" sheetId="3" r:id="rId3"/>
    <sheet name="3-Project True-up" sheetId="4" r:id="rId4"/>
    <sheet name="4- Rate Base" sheetId="5" r:id="rId5"/>
    <sheet name="4a - ADIT Average Balances" sheetId="19" r:id="rId6"/>
    <sheet name="4b - ADIT Beginning Ending" sheetId="20" r:id="rId7"/>
    <sheet name="4c - ADIT Proration" sheetId="21" r:id="rId8"/>
    <sheet name="4d - ADIT Amortization" sheetId="22" r:id="rId9"/>
    <sheet name="4e - Tax Remeasurement" sheetId="23" r:id="rId10"/>
    <sheet name="5-Return" sheetId="6" r:id="rId11"/>
    <sheet name="6 - True-Up Interest" sheetId="7" r:id="rId12"/>
    <sheet name="6a - True-up Interest Rate" sheetId="8" r:id="rId13"/>
    <sheet name="7 - PBOP" sheetId="9" r:id="rId14"/>
    <sheet name="8-Construction Debt" sheetId="10" r:id="rId15"/>
    <sheet name="9- Cost of Debt True-up" sheetId="11" r:id="rId16"/>
    <sheet name="10 -Depreciation Rates" sheetId="12" r:id="rId17"/>
    <sheet name="11-Corrections" sheetId="13" r:id="rId18"/>
    <sheet name="12 - Revenue Credits" sheetId="14" r:id="rId19"/>
  </sheets>
  <definedNames>
    <definedName name="___INDEX_SHEET___ASAP_Utilities" localSheetId="9">#REF!</definedName>
    <definedName name="___INDEX_SHEET___ASAP_Utilities">#REF!</definedName>
    <definedName name="___WSH7" localSheetId="9">#REF!</definedName>
    <definedName name="___WSH7">#REF!</definedName>
    <definedName name="__WSH7" localSheetId="9">#REF!</definedName>
    <definedName name="__WSH7">#REF!</definedName>
    <definedName name="_1E_1">#N/A</definedName>
    <definedName name="_31_Dec_00" localSheetId="3">#REF!</definedName>
    <definedName name="_31_Dec_00" localSheetId="9">#REF!</definedName>
    <definedName name="_31_Dec_00" localSheetId="14">#REF!</definedName>
    <definedName name="_31_Dec_00" localSheetId="15">#REF!</definedName>
    <definedName name="_31_Dec_00">#REF!</definedName>
    <definedName name="_31_Jan_01" localSheetId="3">#REF!</definedName>
    <definedName name="_31_Jan_01" localSheetId="9">#REF!</definedName>
    <definedName name="_31_Jan_01" localSheetId="15">#REF!</definedName>
    <definedName name="_31_Jan_01">#REF!</definedName>
    <definedName name="_AMO_UniqueIdentifier" hidden="1">"'8403d099-e876-4d31-b913-cb2efff0232f'"</definedName>
    <definedName name="_Fill" localSheetId="9" hidden="1">#REF!</definedName>
    <definedName name="_Fill" hidden="1">#REF!</definedName>
    <definedName name="_Key1" localSheetId="9" hidden="1">#REF!</definedName>
    <definedName name="_Key1" hidden="1">#REF!</definedName>
    <definedName name="_Key2" localSheetId="9" hidden="1">#REF!</definedName>
    <definedName name="_Key2" hidden="1">#REF!</definedName>
    <definedName name="_Order1" localSheetId="6" hidden="1">0</definedName>
    <definedName name="_Order1" hidden="1">255</definedName>
    <definedName name="_Order2" hidden="1">255</definedName>
    <definedName name="_Parse_Out" localSheetId="9" hidden="1">#REF!</definedName>
    <definedName name="_Parse_Out" hidden="1">#REF!</definedName>
    <definedName name="_Regression_Out" localSheetId="9" hidden="1">#REF!</definedName>
    <definedName name="_Regression_Out" hidden="1">#REF!</definedName>
    <definedName name="_Regression_X" localSheetId="9" hidden="1">#REF!</definedName>
    <definedName name="_Regression_X" hidden="1">#REF!</definedName>
    <definedName name="_Regression_Y" localSheetId="9" hidden="1">#REF!</definedName>
    <definedName name="_Regression_Y" hidden="1">#REF!</definedName>
    <definedName name="_Sort" localSheetId="9" hidden="1">#REF!</definedName>
    <definedName name="_Sort" hidden="1">#REF!</definedName>
    <definedName name="_WSH7" localSheetId="9">#REF!</definedName>
    <definedName name="_WSH7">#REF!</definedName>
    <definedName name="a" hidden="1">{"MATALL",#N/A,FALSE,"Sheet4";"matclass",#N/A,FALSE,"Sheet4"}</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Cwvu.OP." localSheetId="9" hidden="1">#REF!</definedName>
    <definedName name="ACwvu.OP." hidden="1">#REF!</definedName>
    <definedName name="Alloc02" localSheetId="9">#REF!</definedName>
    <definedName name="Alloc02">#REF!</definedName>
    <definedName name="Alloc03" localSheetId="9">#REF!</definedName>
    <definedName name="Alloc03">#REF!</definedName>
    <definedName name="AllocTY" localSheetId="9">#REF!</definedName>
    <definedName name="AllocTY">#REF!</definedName>
    <definedName name="anscount" hidden="1">1</definedName>
    <definedName name="Arkansas" localSheetId="9">#REF!</definedName>
    <definedName name="Arkansas">#REF!</definedName>
    <definedName name="AS2DocOpenMode" hidden="1">"AS2DocumentEdit"</definedName>
    <definedName name="Balances" localSheetId="3">#REF!</definedName>
    <definedName name="Balances" localSheetId="9">#REF!</definedName>
    <definedName name="Balances" localSheetId="15">#REF!</definedName>
    <definedName name="Balances">#REF!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c" hidden="1">{#N/A,#N/A,FALSE,"O&amp;M by processes";#N/A,#N/A,FALSE,"Elec Act vs Bud";#N/A,#N/A,FALSE,"G&amp;A";#N/A,#N/A,FALSE,"BGS";#N/A,#N/A,FALSE,"Res Cost"}</definedName>
    <definedName name="Blank" localSheetId="7" hidden="1">{"ARK_JURIS_FUEL",#N/A,FALSE,"Ark_Fuel&amp;Rev"}</definedName>
    <definedName name="Blank" localSheetId="8" hidden="1">{"ARK_JURIS_FUEL",#N/A,FALSE,"Ark_Fuel&amp;Rev"}</definedName>
    <definedName name="Blank" localSheetId="9" hidden="1">{"ARK_JURIS_FUEL",#N/A,FALSE,"Ark_Fuel&amp;Rev"}</definedName>
    <definedName name="Blank" hidden="1">{"ARK_JURIS_FUEL",#N/A,FALSE,"Ark_Fuel&amp;Rev"}</definedName>
    <definedName name="can" hidden="1">{#N/A,#N/A,FALSE,"O&amp;M by processes";#N/A,#N/A,FALSE,"Elec Act vs Bud";#N/A,#N/A,FALSE,"G&amp;A";#N/A,#N/A,FALSE,"BGS";#N/A,#N/A,FALSE,"Res Cost"}</definedName>
    <definedName name="CapAlloc" localSheetId="9">#REF!</definedName>
    <definedName name="CapAlloc">#REF!</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H_COS" localSheetId="3">#REF!</definedName>
    <definedName name="CH_COS" localSheetId="9">#REF!</definedName>
    <definedName name="CH_COS" localSheetId="15">#REF!</definedName>
    <definedName name="CH_COS">#REF!</definedName>
    <definedName name="CoCode0100" localSheetId="9">#REF!</definedName>
    <definedName name="CoCode0100">#REF!</definedName>
    <definedName name="CoCode0200" localSheetId="9">#REF!</definedName>
    <definedName name="CoCode0200">#REF!</definedName>
    <definedName name="CoCode0400" localSheetId="9">#REF!</definedName>
    <definedName name="CoCode0400">#REF!</definedName>
    <definedName name="CoCode0500" localSheetId="9">#REF!</definedName>
    <definedName name="CoCode0500">#REF!</definedName>
    <definedName name="Columns" localSheetId="3">#REF!</definedName>
    <definedName name="Columns" localSheetId="9">#REF!</definedName>
    <definedName name="Columns" localSheetId="15">#REF!</definedName>
    <definedName name="Columns">#REF!</definedName>
    <definedName name="CONOCO_FAC" localSheetId="9">#REF!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p_by_group" localSheetId="9">#REF!</definedName>
    <definedName name="cp_by_group">#REF!</definedName>
    <definedName name="cp_by_serv_level" localSheetId="9">#REF!</definedName>
    <definedName name="cp_by_serv_level">#REF!</definedName>
    <definedName name="cp_input_area" localSheetId="9">#REF!</definedName>
    <definedName name="cp_input_area">#REF!</definedName>
    <definedName name="Current_sum" localSheetId="3">#REF!</definedName>
    <definedName name="Current_sum" localSheetId="9">#REF!</definedName>
    <definedName name="Current_sum" localSheetId="15">#REF!</definedName>
    <definedName name="Current_sum">#REF!</definedName>
    <definedName name="DA">#REF!</definedName>
    <definedName name="dada" hidden="1">{#N/A,#N/A,FALSE,"O&amp;M by processes";#N/A,#N/A,FALSE,"Elec Act vs Bud";#N/A,#N/A,FALSE,"G&amp;A";#N/A,#N/A,FALSE,"BGS";#N/A,#N/A,FALSE,"Res Cost"}</definedName>
    <definedName name="data_3">#REF!</definedName>
    <definedName name="DefaultCopy" localSheetId="3">#REF!</definedName>
    <definedName name="DefaultCopy" localSheetId="9">#REF!</definedName>
    <definedName name="DefaultCopy" localSheetId="15">#REF!</definedName>
    <definedName name="DefaultCopy">#REF!</definedName>
    <definedName name="DefaultPaste" localSheetId="3">#REF!</definedName>
    <definedName name="DefaultPaste" localSheetId="9">#REF!</definedName>
    <definedName name="DefaultPaste" localSheetId="15">#REF!</definedName>
    <definedName name="DefaultPaste">#REF!</definedName>
    <definedName name="delete" hidden="1">{#N/A,#N/A,FALSE,"CURRENT"}</definedName>
    <definedName name="detail" localSheetId="3">#REF!</definedName>
    <definedName name="detail" localSheetId="9">#REF!</definedName>
    <definedName name="detail" localSheetId="15">#REF!</definedName>
    <definedName name="detail">#REF!</definedName>
    <definedName name="dg" localSheetId="9">#REF!</definedName>
    <definedName name="dg">#REF!</definedName>
    <definedName name="dsfds" localSheetId="9" hidden="1">#REF!</definedName>
    <definedName name="dsfds" hidden="1">#REF!</definedName>
    <definedName name="eeee" hidden="1">{#N/A,#N/A,FALSE,"O&amp;M by processes";#N/A,#N/A,FALSE,"Elec Act vs Bud";#N/A,#N/A,FALSE,"G&amp;A";#N/A,#N/A,FALSE,"BGS";#N/A,#N/A,FALSE,"Res Cost"}</definedName>
    <definedName name="er" localSheetId="7" hidden="1">{TRUE,TRUE,-1.25,-15.5,484.5,279.75,FALSE,FALSE,TRUE,TRUE,0,3,#N/A,1,#N/A,6.54545454545454,15.55,1,FALSE,FALSE,3,TRUE,1,FALSE,100,"Swvu.WP1.","ACwvu.WP1.",1,FALSE,FALSE,0.25,0.25,0.25,0.25,1,"","&amp;L&amp;D &amp;T NBW&amp;C&amp;P&amp;R&amp;F",FALSE,FALSE,FALSE,FALSE,1,100,#N/A,#N/A,FALSE,FALSE,#N/A,#N/A,FALSE,FALSE}</definedName>
    <definedName name="er" localSheetId="8" hidden="1">{TRUE,TRUE,-1.25,-15.5,484.5,279.75,FALSE,FALSE,TRUE,TRUE,0,3,#N/A,1,#N/A,6.54545454545454,15.55,1,FALSE,FALSE,3,TRUE,1,FALSE,100,"Swvu.WP1.","ACwvu.WP1.",1,FALSE,FALSE,0.25,0.25,0.25,0.25,1,"","&amp;L&amp;D &amp;T NBW&amp;C&amp;P&amp;R&amp;F",FALSE,FALSE,FALSE,FALSE,1,100,#N/A,#N/A,FALSE,FALSE,#N/A,#N/A,FALSE,FALSE}</definedName>
    <definedName name="er" localSheetId="9" hidden="1">{TRUE,TRUE,-1.25,-15.5,484.5,279.75,FALSE,FALSE,TRUE,TRUE,0,3,#N/A,1,#N/A,6.54545454545454,15.55,1,FALSE,FALSE,3,TRUE,1,FALSE,100,"Swvu.WP1.","ACwvu.WP1.",1,FALSE,FALSE,0.25,0.25,0.25,0.25,1,"","&amp;L&amp;D &amp;T NBW&amp;C&amp;P&amp;R&amp;F",FALSE,FALSE,FALSE,FALSE,1,100,#N/A,#N/A,FALSE,FALSE,#N/A,#N/A,FALSE,FALSE}</definedName>
    <definedName name="er" hidden="1">{TRUE,TRUE,-1.25,-15.5,484.5,279.75,FALSE,FALSE,TRUE,TRUE,0,3,#N/A,1,#N/A,6.54545454545454,15.55,1,FALSE,FALSE,3,TRUE,1,FALSE,100,"Swvu.WP1.","ACwvu.WP1.",1,FALSE,FALSE,0.25,0.25,0.25,0.25,1,"","&amp;L&amp;D &amp;T NBW&amp;C&amp;P&amp;R&amp;F",FALSE,FALSE,FALSE,FALSE,1,100,#N/A,#N/A,FALSE,FALSE,#N/A,#N/A,FALSE,FALSE}</definedName>
    <definedName name="error" localSheetId="9">#REF!</definedName>
    <definedName name="error">#REF!</definedName>
    <definedName name="EV__LASTREFTIME__" hidden="1">39826.8319444444</definedName>
    <definedName name="FED" localSheetId="9">#REF!</definedName>
    <definedName name="FED">#REF!</definedName>
    <definedName name="FERCrefund">#REF!</definedName>
    <definedName name="FIT">#REF!</definedName>
    <definedName name="g" localSheetId="9">#REF!</definedName>
    <definedName name="g">#REF!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P">#REF!</definedName>
    <definedName name="haha" localSheetId="7" hidden="1">{"OMPA_FAC",#N/A,FALSE,"OMPA FAC"}</definedName>
    <definedName name="haha" localSheetId="8" hidden="1">{"OMPA_FAC",#N/A,FALSE,"OMPA FAC"}</definedName>
    <definedName name="haha" localSheetId="9" hidden="1">{"OMPA_FAC",#N/A,FALSE,"OMPA FAC"}</definedName>
    <definedName name="haha" hidden="1">{"OMPA_FAC",#N/A,FALSE,"OMPA FAC"}</definedName>
    <definedName name="HEADA" localSheetId="9">#REF!</definedName>
    <definedName name="HEADA">#REF!</definedName>
    <definedName name="HEADB" localSheetId="9">#REF!</definedName>
    <definedName name="HEADB">#REF!</definedName>
    <definedName name="HEADC" localSheetId="9">#REF!</definedName>
    <definedName name="HEADC">#REF!</definedName>
    <definedName name="HEADD" localSheetId="9">#REF!</definedName>
    <definedName name="HEADD">#REF!</definedName>
    <definedName name="itc" localSheetId="3">#REF!</definedName>
    <definedName name="itc" localSheetId="9">#REF!</definedName>
    <definedName name="itc" localSheetId="15">#REF!</definedName>
    <definedName name="itc">#REF!</definedName>
    <definedName name="kk" localSheetId="3">#REF!</definedName>
    <definedName name="kk" localSheetId="9">#REF!</definedName>
    <definedName name="kk" localSheetId="15">#REF!</definedName>
    <definedName name="kk">#REF!</definedName>
    <definedName name="limcount" hidden="1">1</definedName>
    <definedName name="MED" localSheetId="9">#REF!</definedName>
    <definedName name="MED">#REF!</definedName>
    <definedName name="MEDICARE" localSheetId="9">#REF!</definedName>
    <definedName name="MEDICARE">#REF!</definedName>
    <definedName name="Mgmt" localSheetId="3">#REF!</definedName>
    <definedName name="Mgmt" localSheetId="9">#REF!</definedName>
    <definedName name="Mgmt" localSheetId="15">#REF!</definedName>
    <definedName name="Mgmt">#REF!</definedName>
    <definedName name="MonthlyAdj" localSheetId="9">#REF!</definedName>
    <definedName name="MonthlyAdj">#REF!</definedName>
    <definedName name="MonthlyDetail" localSheetId="9">#REF!</definedName>
    <definedName name="MonthlyDetail">#REF!</definedName>
    <definedName name="months">#REF!</definedName>
    <definedName name="new" localSheetId="3">#REF!</definedName>
    <definedName name="new" localSheetId="9">#REF!</definedName>
    <definedName name="new" localSheetId="15">#REF!</definedName>
    <definedName name="new">#REF!</definedName>
    <definedName name="NP" localSheetId="9">#REF!</definedName>
    <definedName name="NP">#REF!</definedName>
    <definedName name="NSP_COS" localSheetId="3">#REF!</definedName>
    <definedName name="NSP_COS" localSheetId="9">#REF!</definedName>
    <definedName name="NSP_COS" localSheetId="15">#REF!</definedName>
    <definedName name="NSP_COS">#REF!</definedName>
    <definedName name="OASDI" localSheetId="9">#REF!</definedName>
    <definedName name="OASDI">#REF!</definedName>
    <definedName name="OCT" localSheetId="9">#REF!</definedName>
    <definedName name="OCT">#REF!</definedName>
    <definedName name="Oklahoma" localSheetId="9">#REF!</definedName>
    <definedName name="Oklahoma">#REF!</definedName>
    <definedName name="PAGEA" localSheetId="9">#REF!</definedName>
    <definedName name="PAGEA">#REF!</definedName>
    <definedName name="PAGEB" localSheetId="9">#REF!</definedName>
    <definedName name="PAGEB">#REF!</definedName>
    <definedName name="PAGEC" localSheetId="9">#REF!</definedName>
    <definedName name="PAGEC">#REF!</definedName>
    <definedName name="PAGED" localSheetId="9">#REF!</definedName>
    <definedName name="PAGED">#REF!</definedName>
    <definedName name="PeakKW_DEK">#REF!</definedName>
    <definedName name="PeakKW_DEO">#REF!</definedName>
    <definedName name="PeakKW_DEOK">#REF!</definedName>
    <definedName name="Percent" localSheetId="9">#REF!</definedName>
    <definedName name="Percent">#REF!</definedName>
    <definedName name="PG1_Support_Corrections">'11-Corrections'!$A$1:$G$31</definedName>
    <definedName name="plus_pmts" localSheetId="9">#REF!</definedName>
    <definedName name="plus_pmts">#REF!</definedName>
    <definedName name="print" localSheetId="9">#REF!</definedName>
    <definedName name="print">#REF!</definedName>
    <definedName name="print_all" localSheetId="9">#REF!</definedName>
    <definedName name="print_all">#REF!</definedName>
    <definedName name="print_all_D_1" localSheetId="9">#REF!</definedName>
    <definedName name="print_all_D_1">#REF!</definedName>
    <definedName name="_xlnm.Print_Area" localSheetId="17">'11-Corrections'!$A$1:$G$35</definedName>
    <definedName name="_xlnm.Print_Area" localSheetId="18">'12 - Revenue Credits'!$A$1:$G$31</definedName>
    <definedName name="_xlnm.Print_Area" localSheetId="1">'1-Project Rev Req'!$A$1:$K$82,'1-Project Rev Req'!$L$47:$U$82</definedName>
    <definedName name="_xlnm.Print_Area" localSheetId="3">'3-Project True-up'!$A$1:$L$46</definedName>
    <definedName name="_xlnm.Print_Area" localSheetId="4">'4- Rate Base'!$A$1:$J$84</definedName>
    <definedName name="_xlnm.Print_Area" localSheetId="5">'4a - ADIT Average Balances'!$A$1:$J$159</definedName>
    <definedName name="_xlnm.Print_Area" localSheetId="6">'4b - ADIT Beginning Ending'!$A$1:$H$148</definedName>
    <definedName name="_xlnm.Print_Area" localSheetId="7">'4c - ADIT Proration'!$A$1:$K$129</definedName>
    <definedName name="_xlnm.Print_Area" localSheetId="8">'4d - ADIT Amortization'!$A$1:$L$100</definedName>
    <definedName name="_xlnm.Print_Area" localSheetId="9">'4e - Tax Remeasurement'!$A$1:$J$45</definedName>
    <definedName name="_xlnm.Print_Area" localSheetId="10">'5-Return'!$A$1:$J$46</definedName>
    <definedName name="_xlnm.Print_Area" localSheetId="12">'6a - True-up Interest Rate'!$A$1:$H$32</definedName>
    <definedName name="_xlnm.Print_Area" localSheetId="14">'8-Construction Debt'!$A$1:$I$60</definedName>
    <definedName name="_xlnm.Print_Area" localSheetId="15">'9- Cost of Debt True-up'!$A$1:$G$38</definedName>
    <definedName name="_xlnm.Print_Area" localSheetId="0">'Attachment H-26'!$A$1:$K$247</definedName>
    <definedName name="_xlnm.Print_Area">#REF!</definedName>
    <definedName name="PRINT_AREA_MI" localSheetId="9">#REF!</definedName>
    <definedName name="PRINT_AREA_MI">#REF!</definedName>
    <definedName name="print_sch" localSheetId="9">#REF!</definedName>
    <definedName name="print_sch">#REF!</definedName>
    <definedName name="Print1" localSheetId="3">#REF!</definedName>
    <definedName name="Print1" localSheetId="9">#REF!</definedName>
    <definedName name="Print1" localSheetId="15">#REF!</definedName>
    <definedName name="Print1">#REF!</definedName>
    <definedName name="Print3" localSheetId="3">#REF!</definedName>
    <definedName name="Print3" localSheetId="9">#REF!</definedName>
    <definedName name="Print3" localSheetId="15">#REF!</definedName>
    <definedName name="Print3">#REF!</definedName>
    <definedName name="Print4" localSheetId="3">#REF!</definedName>
    <definedName name="Print4" localSheetId="9">#REF!</definedName>
    <definedName name="Print4" localSheetId="15">#REF!</definedName>
    <definedName name="Print4">#REF!</definedName>
    <definedName name="Print5" localSheetId="3">#REF!</definedName>
    <definedName name="Print5" localSheetId="9">#REF!</definedName>
    <definedName name="Print5" localSheetId="15">#REF!</definedName>
    <definedName name="Print5">#REF!</definedName>
    <definedName name="ProjIDList" localSheetId="3">#REF!</definedName>
    <definedName name="ProjIDList" localSheetId="9">#REF!</definedName>
    <definedName name="ProjIDList" localSheetId="15">#REF!</definedName>
    <definedName name="ProjIDList">#REF!</definedName>
    <definedName name="PSCo_COS" localSheetId="3">#REF!</definedName>
    <definedName name="PSCo_COS" localSheetId="9">#REF!</definedName>
    <definedName name="PSCo_COS" localSheetId="15">#REF!</definedName>
    <definedName name="PSCo_COS">#REF!</definedName>
    <definedName name="py_cent" localSheetId="9">#REF!</definedName>
    <definedName name="py_cent">#REF!</definedName>
    <definedName name="py_clint" localSheetId="9">#REF!</definedName>
    <definedName name="py_clint">#REF!</definedName>
    <definedName name="py_eec" localSheetId="9">#REF!</definedName>
    <definedName name="py_eec">#REF!</definedName>
    <definedName name="py_ei" localSheetId="9">#REF!</definedName>
    <definedName name="py_ei">#REF!</definedName>
    <definedName name="py_engl" localSheetId="9">#REF!</definedName>
    <definedName name="py_engl">#REF!</definedName>
    <definedName name="py_epc" localSheetId="9">#REF!</definedName>
    <definedName name="py_epc">#REF!</definedName>
    <definedName name="py_esc" localSheetId="9">#REF!</definedName>
    <definedName name="py_esc">#REF!</definedName>
    <definedName name="q" localSheetId="7" hidden="1">{"MATALL",#N/A,FALSE,"Sheet4";"matclass",#N/A,FALSE,"Sheet4"}</definedName>
    <definedName name="q" localSheetId="8" hidden="1">{"MATALL",#N/A,FALSE,"Sheet4";"matclass",#N/A,FALSE,"Sheet4"}</definedName>
    <definedName name="q" localSheetId="9" hidden="1">{"MATALL",#N/A,FALSE,"Sheet4";"matclass",#N/A,FALSE,"Sheet4"}</definedName>
    <definedName name="q" hidden="1">{"MATALL",#N/A,FALSE,"Sheet4";"matclass",#N/A,FALSE,"Sheet4"}</definedName>
    <definedName name="q_MTEP06_App_AB_Facility" localSheetId="3">#REF!</definedName>
    <definedName name="q_MTEP06_App_AB_Facility" localSheetId="9">#REF!</definedName>
    <definedName name="q_MTEP06_App_AB_Facility" localSheetId="15">#REF!</definedName>
    <definedName name="q_MTEP06_App_AB_Facility">#REF!</definedName>
    <definedName name="q_MTEP06_App_AB_Projects" localSheetId="3">#REF!</definedName>
    <definedName name="q_MTEP06_App_AB_Projects" localSheetId="9">#REF!</definedName>
    <definedName name="q_MTEP06_App_AB_Projects" localSheetId="15">#REF!</definedName>
    <definedName name="q_MTEP06_App_AB_Projects">#REF!</definedName>
    <definedName name="revreq" localSheetId="3">#REF!</definedName>
    <definedName name="revreq" localSheetId="9">#REF!</definedName>
    <definedName name="revreq" localSheetId="15">#REF!</definedName>
    <definedName name="revreq">#REF!</definedName>
    <definedName name="ROE">#REF!</definedName>
    <definedName name="rrrr" hidden="1">{#N/A,#N/A,FALSE,"O&amp;M by processes";#N/A,#N/A,FALSE,"Elec Act vs Bud";#N/A,#N/A,FALSE,"G&amp;A";#N/A,#N/A,FALSE,"BGS";#N/A,#N/A,FALSE,"Res Cost"}</definedName>
    <definedName name="shiva" hidden="1">{#N/A,#N/A,FALSE,"O&amp;M by processes";#N/A,#N/A,FALSE,"Elec Act vs Bud";#N/A,#N/A,FALSE,"G&amp;A";#N/A,#N/A,FALSE,"BGS";#N/A,#N/A,FALSE,"Res Cost"}</definedName>
    <definedName name="simoutaneous" localSheetId="9">#REF!</definedName>
    <definedName name="simoutaneous">#REF!</definedName>
    <definedName name="solver_adj" localSheetId="14" hidden="1">'8-Construction Debt'!#REF!</definedName>
    <definedName name="solver_adj" localSheetId="15" hidden="1">'9- Cost of Debt True-up'!#REF!</definedName>
    <definedName name="solver_cvg" localSheetId="14" hidden="1">0.0001</definedName>
    <definedName name="solver_cvg" localSheetId="15" hidden="1">0.0001</definedName>
    <definedName name="solver_drv" localSheetId="14" hidden="1">1</definedName>
    <definedName name="solver_drv" localSheetId="15" hidden="1">1</definedName>
    <definedName name="solver_eng" localSheetId="14" hidden="1">1</definedName>
    <definedName name="solver_eng" localSheetId="15" hidden="1">1</definedName>
    <definedName name="solver_est" localSheetId="14" hidden="1">1</definedName>
    <definedName name="solver_est" localSheetId="15" hidden="1">1</definedName>
    <definedName name="solver_itr" localSheetId="14" hidden="1">2147483647</definedName>
    <definedName name="solver_itr" localSheetId="15" hidden="1">2147483647</definedName>
    <definedName name="solver_mip" localSheetId="14" hidden="1">2147483647</definedName>
    <definedName name="solver_mip" localSheetId="15" hidden="1">2147483647</definedName>
    <definedName name="solver_mni" localSheetId="14" hidden="1">30</definedName>
    <definedName name="solver_mni" localSheetId="15" hidden="1">30</definedName>
    <definedName name="solver_mrt" localSheetId="14" hidden="1">0.075</definedName>
    <definedName name="solver_mrt" localSheetId="15" hidden="1">0.075</definedName>
    <definedName name="solver_msl" localSheetId="14" hidden="1">2</definedName>
    <definedName name="solver_msl" localSheetId="15" hidden="1">2</definedName>
    <definedName name="solver_neg" localSheetId="14" hidden="1">1</definedName>
    <definedName name="solver_neg" localSheetId="15" hidden="1">1</definedName>
    <definedName name="solver_nod" localSheetId="14" hidden="1">2147483647</definedName>
    <definedName name="solver_nod" localSheetId="15" hidden="1">2147483647</definedName>
    <definedName name="solver_num" localSheetId="14" hidden="1">0</definedName>
    <definedName name="solver_num" localSheetId="15" hidden="1">0</definedName>
    <definedName name="solver_nwt" localSheetId="14" hidden="1">1</definedName>
    <definedName name="solver_nwt" localSheetId="15" hidden="1">1</definedName>
    <definedName name="solver_opt" localSheetId="14" hidden="1">'8-Construction Debt'!#REF!</definedName>
    <definedName name="solver_opt" localSheetId="15" hidden="1">'9- Cost of Debt True-up'!#REF!</definedName>
    <definedName name="solver_pre" localSheetId="14" hidden="1">0.000001</definedName>
    <definedName name="solver_pre" localSheetId="15" hidden="1">0.000001</definedName>
    <definedName name="solver_rbv" localSheetId="14" hidden="1">1</definedName>
    <definedName name="solver_rbv" localSheetId="15" hidden="1">1</definedName>
    <definedName name="solver_rlx" localSheetId="14" hidden="1">2</definedName>
    <definedName name="solver_rlx" localSheetId="15" hidden="1">2</definedName>
    <definedName name="solver_rsd" localSheetId="14" hidden="1">0</definedName>
    <definedName name="solver_rsd" localSheetId="15" hidden="1">0</definedName>
    <definedName name="solver_scl" localSheetId="14" hidden="1">1</definedName>
    <definedName name="solver_scl" localSheetId="15" hidden="1">1</definedName>
    <definedName name="solver_sho" localSheetId="14" hidden="1">2</definedName>
    <definedName name="solver_sho" localSheetId="15" hidden="1">2</definedName>
    <definedName name="solver_ssz" localSheetId="14" hidden="1">100</definedName>
    <definedName name="solver_ssz" localSheetId="15" hidden="1">100</definedName>
    <definedName name="solver_tim" localSheetId="14" hidden="1">2147483647</definedName>
    <definedName name="solver_tim" localSheetId="15" hidden="1">2147483647</definedName>
    <definedName name="solver_tol" localSheetId="14" hidden="1">0.01</definedName>
    <definedName name="solver_tol" localSheetId="15" hidden="1">0.01</definedName>
    <definedName name="solver_typ" localSheetId="14" hidden="1">3</definedName>
    <definedName name="solver_typ" localSheetId="15" hidden="1">3</definedName>
    <definedName name="solver_val" localSheetId="14" hidden="1">200000000</definedName>
    <definedName name="solver_val" localSheetId="15" hidden="1">200000000</definedName>
    <definedName name="solver_ver" localSheetId="14" hidden="1">3</definedName>
    <definedName name="solver_ver" localSheetId="15" hidden="1">3</definedName>
    <definedName name="SPS_COS" localSheetId="3">#REF!</definedName>
    <definedName name="SPS_COS" localSheetId="9">#REF!</definedName>
    <definedName name="SPS_COS" localSheetId="15">#REF!</definedName>
    <definedName name="SPS_COS">#REF!</definedName>
    <definedName name="ssss" hidden="1">{TRUE,TRUE,-1.25,-15.5,484.5,279.75,FALSE,FALSE,TRUE,TRUE,0,3,#N/A,1,#N/A,6.54545454545454,15.55,1,FALSE,FALSE,3,TRUE,1,FALSE,100,"Swvu.WP1.","ACwvu.WP1.",1,FALSE,FALSE,0.25,0.25,0.25,0.25,1,"","&amp;L&amp;D &amp;T NBW&amp;C&amp;P&amp;R&amp;F",FALSE,FALSE,FALSE,FALSE,1,100,#N/A,#N/A,FALSE,FALSE,#N/A,#N/A,FALSE,FALSE}</definedName>
    <definedName name="STATE" localSheetId="9">#REF!</definedName>
    <definedName name="STATE">#REF!</definedName>
    <definedName name="statsrevised" hidden="1">{#N/A,#N/A,FALSE,"O&amp;M by processes";#N/A,#N/A,FALSE,"Elec Act vs Bud";#N/A,#N/A,FALSE,"G&amp;A";#N/A,#N/A,FALSE,"BGS";#N/A,#N/A,FALSE,"Res Cost"}</definedName>
    <definedName name="support" hidden="1">{#N/A,#N/A,FALSE,"O&amp;M by processes";#N/A,#N/A,FALSE,"Elec Act vs Bud";#N/A,#N/A,FALSE,"G&amp;A";#N/A,#N/A,FALSE,"BGS";#N/A,#N/A,FALSE,"Res Cost"}</definedName>
    <definedName name="supporti" hidden="1">{#N/A,#N/A,FALSE,"O&amp;M by processes";#N/A,#N/A,FALSE,"Elec Act vs Bud";#N/A,#N/A,FALSE,"G&amp;A";#N/A,#N/A,FALSE,"BGS";#N/A,#N/A,FALSE,"Res Cost"}</definedName>
    <definedName name="Swvu.OP." localSheetId="9" hidden="1">#REF!</definedName>
    <definedName name="Swvu.OP." hidden="1">#REF!</definedName>
    <definedName name="taxcalc" localSheetId="3">#REF!</definedName>
    <definedName name="taxcalc" localSheetId="9">#REF!</definedName>
    <definedName name="taxcalc" localSheetId="15">#REF!</definedName>
    <definedName name="taxcalc">#REF!</definedName>
    <definedName name="test" localSheetId="6" hidden="1">{"ARK_JURIS_FUEL",#N/A,FALSE,"Ark_Fuel&amp;Rev"}</definedName>
    <definedName name="TEST" localSheetId="7" hidden="1">{TRUE,TRUE,-1.25,-15.5,484.5,279.75,FALSE,FALSE,TRUE,TRUE,0,3,#N/A,1,#N/A,6.54545454545454,15.55,1,FALSE,FALSE,3,TRUE,1,FALSE,100,"Swvu.WP1.","ACwvu.WP1.",1,FALSE,FALSE,0.25,0.25,0.25,0.25,1,"","&amp;L&amp;D &amp;T NBW&amp;C&amp;P&amp;R&amp;F",FALSE,FALSE,FALSE,FALSE,1,100,#N/A,#N/A,FALSE,FALSE,#N/A,#N/A,FALSE,FALSE}</definedName>
    <definedName name="TEST" localSheetId="8" hidden="1">{TRUE,TRUE,-1.25,-15.5,484.5,279.75,FALSE,FALSE,TRUE,TRUE,0,3,#N/A,1,#N/A,6.54545454545454,15.55,1,FALSE,FALSE,3,TRUE,1,FALSE,100,"Swvu.WP1.","ACwvu.WP1.",1,FALSE,FALSE,0.25,0.25,0.25,0.25,1,"","&amp;L&amp;D &amp;T NBW&amp;C&amp;P&amp;R&amp;F",FALSE,FALSE,FALSE,FALSE,1,100,#N/A,#N/A,FALSE,FALSE,#N/A,#N/A,FALSE,FALSE}</definedName>
    <definedName name="TEST" localSheetId="9" hidden="1">{TRUE,TRUE,-1.25,-15.5,484.5,279.75,FALSE,FALSE,TRUE,TRUE,0,3,#N/A,1,#N/A,6.54545454545454,15.55,1,FALSE,FALSE,3,TRUE,1,FALSE,100,"Swvu.WP1.","ACwvu.WP1.",1,FALSE,FALSE,0.25,0.25,0.25,0.25,1,"","&amp;L&amp;D &amp;T NBW&amp;C&amp;P&amp;R&amp;F",FALSE,FALSE,FALSE,FALSE,1,100,#N/A,#N/A,FALSE,FALSE,#N/A,#N/A,FALSE,FALSE}</definedName>
    <definedName name="TEST" hidden="1">{TRUE,TRUE,-1.25,-15.5,484.5,279.75,FALSE,FALSE,TRUE,TRUE,0,3,#N/A,1,#N/A,6.54545454545454,15.55,1,FALSE,FALSE,3,TRUE,1,FALSE,100,"Swvu.WP1.","ACwvu.WP1.",1,FALSE,FALSE,0.25,0.25,0.25,0.25,1,"","&amp;L&amp;D &amp;T NBW&amp;C&amp;P&amp;R&amp;F",FALSE,FALSE,FALSE,FALSE,1,100,#N/A,#N/A,FALSE,FALSE,#N/A,#N/A,FALSE,FALSE}</definedName>
    <definedName name="toma" hidden="1">{#N/A,#N/A,FALSE,"O&amp;M by processes";#N/A,#N/A,FALSE,"Elec Act vs Bud";#N/A,#N/A,FALSE,"G&amp;A";#N/A,#N/A,FALSE,"BGS";#N/A,#N/A,FALSE,"Res Cost"}</definedName>
    <definedName name="tomb" hidden="1">{#N/A,#N/A,FALSE,"O&amp;M by processes";#N/A,#N/A,FALSE,"Elec Act vs Bud";#N/A,#N/A,FALSE,"G&amp;A";#N/A,#N/A,FALSE,"BGS";#N/A,#N/A,FALSE,"Res Cost"}</definedName>
    <definedName name="tomc" hidden="1">{#N/A,#N/A,FALSE,"O&amp;M by processes";#N/A,#N/A,FALSE,"Elec Act vs Bud";#N/A,#N/A,FALSE,"G&amp;A";#N/A,#N/A,FALSE,"BGS";#N/A,#N/A,FALSE,"Res Cost"}</definedName>
    <definedName name="tomd" hidden="1">{#N/A,#N/A,FALSE,"O&amp;M by processes";#N/A,#N/A,FALSE,"Elec Act vs Bud";#N/A,#N/A,FALSE,"G&amp;A";#N/A,#N/A,FALSE,"BGS";#N/A,#N/A,FALSE,"Res Cost"}</definedName>
    <definedName name="tomx" hidden="1">{#N/A,#N/A,FALSE,"O&amp;M by processes";#N/A,#N/A,FALSE,"Elec Act vs Bud";#N/A,#N/A,FALSE,"G&amp;A";#N/A,#N/A,FALSE,"BGS";#N/A,#N/A,FALSE,"Res Cost"}</definedName>
    <definedName name="tomy" hidden="1">{#N/A,#N/A,FALSE,"O&amp;M by processes";#N/A,#N/A,FALSE,"Elec Act vs Bud";#N/A,#N/A,FALSE,"G&amp;A";#N/A,#N/A,FALSE,"BGS";#N/A,#N/A,FALSE,"Res Cost"}</definedName>
    <definedName name="tomz" hidden="1">{#N/A,#N/A,FALSE,"O&amp;M by processes";#N/A,#N/A,FALSE,"Elec Act vs Bud";#N/A,#N/A,FALSE,"G&amp;A";#N/A,#N/A,FALSE,"BGS";#N/A,#N/A,FALSE,"Res Cost"}</definedName>
    <definedName name="Tota_Deferred" localSheetId="3">#REF!</definedName>
    <definedName name="Tota_Deferred" localSheetId="9">#REF!</definedName>
    <definedName name="Tota_Deferred" localSheetId="15">#REF!</definedName>
    <definedName name="Tota_Deferred">#REF!</definedName>
    <definedName name="Total" localSheetId="9">#REF!</definedName>
    <definedName name="Total">#REF!</definedName>
    <definedName name="tp" localSheetId="9">#REF!</definedName>
    <definedName name="tp">#REF!</definedName>
    <definedName name="w" localSheetId="7" hidden="1">{"MATALL",#N/A,FALSE,"Sheet4";"matclass",#N/A,FALSE,"Sheet4"}</definedName>
    <definedName name="w" localSheetId="8" hidden="1">{"MATALL",#N/A,FALSE,"Sheet4";"matclass",#N/A,FALSE,"Sheet4"}</definedName>
    <definedName name="w" localSheetId="9" hidden="1">{"MATALL",#N/A,FALSE,"Sheet4";"matclass",#N/A,FALSE,"Sheet4"}</definedName>
    <definedName name="w" hidden="1">{"MATALL",#N/A,FALSE,"Sheet4";"matclass",#N/A,FALSE,"Sheet4"}</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what" hidden="1">{#N/A,#N/A,FALSE,"O&amp;M by processes";#N/A,#N/A,FALSE,"Elec Act vs Bud";#N/A,#N/A,FALSE,"G&amp;A";#N/A,#N/A,FALSE,"BGS";#N/A,#N/A,FALSE,"Res Cost"}</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hy" hidden="1">{#N/A,#N/A,FALSE,"O&amp;M by processes";#N/A,#N/A,FALSE,"Elec Act vs Bud";#N/A,#N/A,FALSE,"G&amp;A";#N/A,#N/A,FALSE,"BGS";#N/A,#N/A,FALSE,"Res Cost"}</definedName>
    <definedName name="WORKCAPa" localSheetId="7" hidden="1">{"WCCWCLL",#N/A,FALSE,"Sheet3";"PP",#N/A,FALSE,"Sheet3";"MAT1",#N/A,FALSE,"Sheet3";"MAT2",#N/A,FALSE,"Sheet3"}</definedName>
    <definedName name="WORKCAPa" localSheetId="8" hidden="1">{"WCCWCLL",#N/A,FALSE,"Sheet3";"PP",#N/A,FALSE,"Sheet3";"MAT1",#N/A,FALSE,"Sheet3";"MAT2",#N/A,FALSE,"Sheet3"}</definedName>
    <definedName name="WORKCAPa" localSheetId="9" hidden="1">{"WCCWCLL",#N/A,FALSE,"Sheet3";"PP",#N/A,FALSE,"Sheet3";"MAT1",#N/A,FALSE,"Sheet3";"MAT2",#N/A,FALSE,"Sheet3"}</definedName>
    <definedName name="WORKCAPa" hidden="1">{"WCCWCLL",#N/A,FALSE,"Sheet3";"PP",#N/A,FALSE,"Sheet3";"MAT1",#N/A,FALSE,"Sheet3";"MAT2",#N/A,FALSE,"Sheet3"}</definedName>
    <definedName name="Workpaper">#REF!</definedName>
    <definedName name="wrn" hidden="1">{#N/A,#N/A,FALSE,"O&amp;M by processes";#N/A,#N/A,FALSE,"Elec Act vs Bud";#N/A,#N/A,FALSE,"G&amp;A";#N/A,#N/A,FALSE,"BGS";#N/A,#N/A,FALSE,"Res Cost"}</definedName>
    <definedName name="wrn.2006._.Rate._.Case." localSheetId="7" hidden="1">{"DAB-1, Sch 21, Pg 1",#N/A,FALSE,"ELEC ENERGY";"DAB-1, Sch 21, Pg 2",#N/A,FALSE,"RTPDenverWater";"DAB-1, Sch 21, Pg 3",#N/A,FALSE,"INCREMENTAL - WHOLESALE"}</definedName>
    <definedName name="wrn.2006._.Rate._.Case." localSheetId="8" hidden="1">{"DAB-1, Sch 21, Pg 1",#N/A,FALSE,"ELEC ENERGY";"DAB-1, Sch 21, Pg 2",#N/A,FALSE,"RTPDenverWater";"DAB-1, Sch 21, Pg 3",#N/A,FALSE,"INCREMENTAL - WHOLESALE"}</definedName>
    <definedName name="wrn.2006._.Rate._.Case." localSheetId="9" hidden="1">{"DAB-1, Sch 21, Pg 1",#N/A,FALSE,"ELEC ENERGY";"DAB-1, Sch 21, Pg 2",#N/A,FALSE,"RTPDenverWater";"DAB-1, Sch 21, Pg 3",#N/A,FALSE,"INCREMENTAL - WHOLESALE"}</definedName>
    <definedName name="wrn.2006._.Rate._.Case." hidden="1">{"DAB-1, Sch 21, Pg 1",#N/A,FALSE,"ELEC ENERGY";"DAB-1, Sch 21, Pg 2",#N/A,FALSE,"RTPDenverWater";"DAB-1, Sch 21, Pg 3",#N/A,FALSE,"INCREMENTAL - WHOLESALE"}</definedName>
    <definedName name="wrn.722." hidden="1">{#N/A,#N/A,FALSE,"CURRENT"}</definedName>
    <definedName name="wrn.AGT." hidden="1">{"AGT",#N/A,FALSE,"Revenue"}</definedName>
    <definedName name="wrn.ARK._.JURIS._.FAC._.CALC." localSheetId="7" hidden="1">{"ARK_JURIS_FAC",#N/A,FALSE,"Ark_Fuel&amp;Rev"}</definedName>
    <definedName name="wrn.ARK._.JURIS._.FAC._.CALC." localSheetId="8" hidden="1">{"ARK_JURIS_FAC",#N/A,FALSE,"Ark_Fuel&amp;Rev"}</definedName>
    <definedName name="wrn.ARK._.JURIS._.FAC._.CALC." localSheetId="9" hidden="1">{"ARK_JURIS_FAC",#N/A,FALSE,"Ark_Fuel&amp;Rev"}</definedName>
    <definedName name="wrn.ARK._.JURIS._.FAC._.CALC." hidden="1">{"ARK_JURIS_FAC",#N/A,FALSE,"Ark_Fuel&amp;Rev"}</definedName>
    <definedName name="wrn.ARK._.JURIS._.FUEL._.COST." localSheetId="7" hidden="1">{"ARK_JURIS_FUEL",#N/A,FALSE,"Ark_Fuel&amp;Rev"}</definedName>
    <definedName name="wrn.ARK._.JURIS._.FUEL._.COST." localSheetId="8" hidden="1">{"ARK_JURIS_FUEL",#N/A,FALSE,"Ark_Fuel&amp;Rev"}</definedName>
    <definedName name="wrn.ARK._.JURIS._.FUEL._.COST." localSheetId="9" hidden="1">{"ARK_JURIS_FUEL",#N/A,FALSE,"Ark_Fuel&amp;Rev"}</definedName>
    <definedName name="wrn.ARK._.JURIS._.FUEL._.COST." hidden="1">{"ARK_JURIS_FUEL",#N/A,FALSE,"Ark_Fuel&amp;Rev"}</definedName>
    <definedName name="wrn.ATOKA._.FAC._.CALC." localSheetId="7" hidden="1">{"ATOKA_FAC",#N/A,FALSE,"Atoka"}</definedName>
    <definedName name="wrn.ATOKA._.FAC._.CALC." localSheetId="8" hidden="1">{"ATOKA_FAC",#N/A,FALSE,"Atoka"}</definedName>
    <definedName name="wrn.ATOKA._.FAC._.CALC." localSheetId="9" hidden="1">{"ATOKA_FAC",#N/A,FALSE,"Atoka"}</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Basic." hidden="1">{#N/A,#N/A,FALSE,"O&amp;M by processes";#N/A,#N/A,FALSE,"Elec Act vs Bud";#N/A,#N/A,FALSE,"G&amp;A";#N/A,#N/A,FALSE,"BGS";#N/A,#N/A,FALSE,"Res Cost"}</definedName>
    <definedName name="wrn.ChartSet." hidden="1">{#N/A,#N/A,FALSE,"Elec Deliv";#N/A,#N/A,FALSE,"Atlantic Pie";#N/A,#N/A,FALSE,"Bay Pie";#N/A,#N/A,FALSE,"New Castle Pie";#N/A,#N/A,FALSE,"Transmission Pie"}</definedName>
    <definedName name="wrn.CONOCO._.FAC." localSheetId="7" hidden="1">{"CONOCO_FAC",#N/A,FALSE,"Conoco FAC"}</definedName>
    <definedName name="wrn.CONOCO._.FAC." localSheetId="8" hidden="1">{"CONOCO_FAC",#N/A,FALSE,"Conoco FAC"}</definedName>
    <definedName name="wrn.CONOCO._.FAC." localSheetId="9" hidden="1">{"CONOCO_FAC",#N/A,FALSE,"Conoco FAC"}</definedName>
    <definedName name="wrn.CONOCO._.FAC." hidden="1">{"CONOCO_FAC",#N/A,FALSE,"Conoco FAC"}</definedName>
    <definedName name="wrn.cwip." localSheetId="7" hidden="1">{"CWIP2",#N/A,FALSE,"CWIP";"CWIP3",#N/A,FALSE,"CWIP"}</definedName>
    <definedName name="wrn.cwip." localSheetId="8" hidden="1">{"CWIP2",#N/A,FALSE,"CWIP";"CWIP3",#N/A,FALSE,"CWIP"}</definedName>
    <definedName name="wrn.cwip." localSheetId="9" hidden="1">{"CWIP2",#N/A,FALSE,"CWIP";"CWIP3",#N/A,FALSE,"CWIP"}</definedName>
    <definedName name="wrn.cwip." hidden="1">{"CWIP2",#N/A,FALSE,"CWIP";"CWIP3",#N/A,FALSE,"CWIP"}</definedName>
    <definedName name="wrn.cwipa" localSheetId="7" hidden="1">{"CWIP2",#N/A,FALSE,"CWIP";"CWIP3",#N/A,FALSE,"CWIP"}</definedName>
    <definedName name="wrn.cwipa" localSheetId="8" hidden="1">{"CWIP2",#N/A,FALSE,"CWIP";"CWIP3",#N/A,FALSE,"CWIP"}</definedName>
    <definedName name="wrn.cwipa" localSheetId="9" hidden="1">{"CWIP2",#N/A,FALSE,"CWIP";"CWIP3",#N/A,FALSE,"CWIP"}</definedName>
    <definedName name="wrn.cwipa" hidden="1">{"CWIP2",#N/A,FALSE,"CWIP";"CWIP3",#N/A,FALSE,"CWIP"}</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Earnings._.Test." localSheetId="7"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8"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localSheetId="9"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arnings._.Test." hidden="1">{"Schedule 7",#N/A,FALSE,"Earnings Test Adjustments";"Schedule 8",#N/A,FALSE,"Rate Base Adjustments";"Schedule 8a",#N/A,FALSE,"SterlingStip";"Schedule 9",#N/A,FALSE,"Rate Base Adjustments";"Schedule 10",#N/A,FALSE,"Future Use Earnings";"Schedule 11",#N/A,FALSE,"Rate Base Adjustments";"Schedule 13",#N/A,FALSE,"Deferred Taxes";"Schedule 14",#N/A,FALSE,"Rate Base Adjustments";"Schedule 18",#N/A,FALSE,"Rate Base Adjustments";"Schedule 19",#N/A,FALSE,"PSCredit Fees";"Schedule 20",#N/A,FALSE,"Dues";"Schedule 21",#N/A,FALSE,"A&amp;G Adjustments";"Schedule 22",#N/A,FALSE,"A&amp;G Adjustments";"Schedule 23",#N/A,FALSE,"A&amp;G Adjustments";"Schedule 24",#N/A,FALSE,"Deprec. &amp; Amort. Exp";"Schedule 25",#N/A,FALSE,"TOTI";"Schedule 27",#N/A,FALSE,"AFDC"}</definedName>
    <definedName name="wrn.ET._.Schedules." localSheetId="7" hidden="1">{"ET Schedule 7",#N/A,FALSE,"Plant Adjustments";"ET Schedule 9",#N/A,FALSE,"SterlingStip";"ET Schedule 10",#N/A,FALSE,"Plant Adjustments";"ET Schedule 13",#N/A,FALSE,"Plant Adjustments";"ET Schedule 16",#N/A,FALSE,"DeferredTaxes"}</definedName>
    <definedName name="wrn.ET._.Schedules." localSheetId="8" hidden="1">{"ET Schedule 7",#N/A,FALSE,"Plant Adjustments";"ET Schedule 9",#N/A,FALSE,"SterlingStip";"ET Schedule 10",#N/A,FALSE,"Plant Adjustments";"ET Schedule 13",#N/A,FALSE,"Plant Adjustments";"ET Schedule 16",#N/A,FALSE,"DeferredTaxes"}</definedName>
    <definedName name="wrn.ET._.Schedules." localSheetId="9" hidden="1">{"ET Schedule 7",#N/A,FALSE,"Plant Adjustments";"ET Schedule 9",#N/A,FALSE,"SterlingStip";"ET Schedule 10",#N/A,FALSE,"Plant Adjustments";"ET Schedule 13",#N/A,FALSE,"Plant Adjustments";"ET Schedule 16",#N/A,FALSE,"DeferredTaxes"}</definedName>
    <definedName name="wrn.ET._.Schedules." hidden="1">{"ET Schedule 7",#N/A,FALSE,"Plant Adjustments";"ET Schedule 9",#N/A,FALSE,"SterlingStip";"ET Schedule 10",#N/A,FALSE,"Plant Adjustments";"ET Schedule 13",#N/A,FALSE,"Plant Adjustments";"ET Schedule 16",#N/A,FALSE,"DeferredTaxes"}</definedName>
    <definedName name="wrn.FAC._.SUMMARY." localSheetId="7" hidden="1">{"FAC_SUMMARY",#N/A,FALSE,"Summaries"}</definedName>
    <definedName name="wrn.FAC._.SUMMARY." localSheetId="8" hidden="1">{"FAC_SUMMARY",#N/A,FALSE,"Summaries"}</definedName>
    <definedName name="wrn.FAC._.SUMMARY." localSheetId="9" hidden="1">{"FAC_SUMMARY",#N/A,FALSE,"Summaries"}</definedName>
    <definedName name="wrn.FAC._.SUMMARY." hidden="1">{"FAC_SUMMARY",#N/A,FALSE,"Summaries"}</definedName>
    <definedName name="wrn.FERC._.FAC._.CALC." localSheetId="7" hidden="1">{"FERC_FAC",#N/A,FALSE,"FERC_Fuel&amp;Rev"}</definedName>
    <definedName name="wrn.FERC._.FAC._.CALC." localSheetId="8" hidden="1">{"FERC_FAC",#N/A,FALSE,"FERC_Fuel&amp;Rev"}</definedName>
    <definedName name="wrn.FERC._.FAC._.CALC." localSheetId="9" hidden="1">{"FERC_FAC",#N/A,FALSE,"FERC_Fuel&amp;Rev"}</definedName>
    <definedName name="wrn.FERC._.FAC._.CALC." hidden="1">{"FERC_FAC",#N/A,FALSE,"FERC_Fuel&amp;Rev"}</definedName>
    <definedName name="wrn.FERC._.WEATHER._.and._.JURIS._.FUEL." localSheetId="7" hidden="1">{"FERC_WEATHER_AND_FUEL",#N/A,FALSE,"FERC_Fuel&amp;Rev"}</definedName>
    <definedName name="wrn.FERC._.WEATHER._.and._.JURIS._.FUEL." localSheetId="8" hidden="1">{"FERC_WEATHER_AND_FUEL",#N/A,FALSE,"FERC_Fuel&amp;Rev"}</definedName>
    <definedName name="wrn.FERC._.WEATHER._.and._.JURIS._.FUEL." localSheetId="9" hidden="1">{"FERC_WEATHER_AND_FUEL",#N/A,FALSE,"FERC_Fuel&amp;Rev"}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or._.filling._.out._.assessments." hidden="1">{"Print Empty Template",#N/A,FALSE,"Input"}</definedName>
    <definedName name="wrn.full._.print." localSheetId="7"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8"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localSheetId="9"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full._.print." hidden="1">{#N/A,#N/A,FALSE,"ror";#N/A,#N/A,FALSE,"coc";"cwctot",#N/A,FALSE,"cwc";"cwcelec",#N/A,FALSE,"cwc";"cwcgas",#N/A,FALSE,"cwc";"cwctherm",#N/A,FALSE,"cwc";"om",#N/A,FALSE,"cwc";"vacpay",#N/A,FALSE,"cwc";"precwctot",#N/A,FALSE,"precwc";"precwcelec",#N/A,FALSE,"precwc";"precwcgas",#N/A,FALSE,"precwc";"precwctherm",#N/A,FALSE,"precwc";#N/A,#N/A,FALSE,"erb";#N/A,#N/A,FALSE,"grb";#N/A,#N/A,FALSE,"trb";#N/A,#N/A,FALSE,"deftax";#N/A,#N/A,FALSE,"cocsup";"fsv1",#N/A,FALSE,"fsv";"fsv2",#N/A,FALSE,"fsv"}</definedName>
    <definedName name="wrn.go." localSheetId="7" hidden="1">{"wp_h4.2",#N/A,FALSE,"WP_H4.2";"wp_h4.3",#N/A,FALSE,"WP_H4.3"}</definedName>
    <definedName name="wrn.go." localSheetId="8" hidden="1">{"wp_h4.2",#N/A,FALSE,"WP_H4.2";"wp_h4.3",#N/A,FALSE,"WP_H4.3"}</definedName>
    <definedName name="wrn.go." localSheetId="9" hidden="1">{"wp_h4.2",#N/A,FALSE,"WP_H4.2";"wp_h4.3",#N/A,FALSE,"WP_H4.3"}</definedName>
    <definedName name="wrn.go."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matdtl." localSheetId="7" hidden="1">{"MATALL",#N/A,FALSE,"Sheet4";"matclass",#N/A,FALSE,"Sheet4"}</definedName>
    <definedName name="wrn.matdtl." localSheetId="8" hidden="1">{"MATALL",#N/A,FALSE,"Sheet4";"matclass",#N/A,FALSE,"Sheet4"}</definedName>
    <definedName name="wrn.matdtl." localSheetId="9" hidden="1">{"MATALL",#N/A,FALSE,"Sheet4";"matclass",#N/A,FALSE,"Sheet4"}</definedName>
    <definedName name="wrn.matdtl." hidden="1">{"MATALL",#N/A,FALSE,"Sheet4";"matclass",#N/A,FALSE,"Sheet4"}</definedName>
    <definedName name="wrn.matdtla" localSheetId="7" hidden="1">{"MATALL",#N/A,FALSE,"Sheet4";"matclass",#N/A,FALSE,"Sheet4"}</definedName>
    <definedName name="wrn.matdtla" localSheetId="8" hidden="1">{"MATALL",#N/A,FALSE,"Sheet4";"matclass",#N/A,FALSE,"Sheet4"}</definedName>
    <definedName name="wrn.matdtla" localSheetId="9" hidden="1">{"MATALL",#N/A,FALSE,"Sheet4";"matclass",#N/A,FALSE,"Sheet4"}</definedName>
    <definedName name="wrn.matdtla" hidden="1">{"MATALL",#N/A,FALSE,"Sheet4";"matclass",#N/A,FALSE,"Sheet4"}</definedName>
    <definedName name="wrn.MFR." localSheetId="7"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8"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localSheetId="9"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OK._.FUEL._.COMPARISON." localSheetId="7" hidden="1">{"OK_FUEL_COMPARISON",#N/A,FALSE,"Ok_Fuel&amp;Rev"}</definedName>
    <definedName name="wrn.OK._.FUEL._.COMPARISON." localSheetId="8" hidden="1">{"OK_FUEL_COMPARISON",#N/A,FALSE,"Ok_Fuel&amp;Rev"}</definedName>
    <definedName name="wrn.OK._.FUEL._.COMPARISON." localSheetId="9" hidden="1">{"OK_FUEL_COMPARISON",#N/A,FALSE,"Ok_Fuel&amp;Rev"}</definedName>
    <definedName name="wrn.OK._.FUEL._.COMPARISON." hidden="1">{"OK_FUEL_COMPARISON",#N/A,FALSE,"Ok_Fuel&amp;Rev"}</definedName>
    <definedName name="wrn.OK._.JURIS._.FAC._.CALCULATION." localSheetId="7" hidden="1">{"OK_JURIS_FAC",#N/A,FALSE,"Ok_Fuel&amp;Rev"}</definedName>
    <definedName name="wrn.OK._.JURIS._.FAC._.CALCULATION." localSheetId="8" hidden="1">{"OK_JURIS_FAC",#N/A,FALSE,"Ok_Fuel&amp;Rev"}</definedName>
    <definedName name="wrn.OK._.JURIS._.FAC._.CALCULATION." localSheetId="9" hidden="1">{"OK_JURIS_FAC",#N/A,FALSE,"Ok_Fuel&amp;Rev"}</definedName>
    <definedName name="wrn.OK._.JURIS._.FAC._.CALCULATION." hidden="1">{"OK_JURIS_FAC",#N/A,FALSE,"Ok_Fuel&amp;Rev"}</definedName>
    <definedName name="wrn.OK._.JURIS._.FUEL._.COST." localSheetId="7" hidden="1">{"OK_JURIS_FUEL",#N/A,FALSE,"Ok_Fuel&amp;Rev"}</definedName>
    <definedName name="wrn.OK._.JURIS._.FUEL._.COST." localSheetId="8" hidden="1">{"OK_JURIS_FUEL",#N/A,FALSE,"Ok_Fuel&amp;Rev"}</definedName>
    <definedName name="wrn.OK._.JURIS._.FUEL._.COST." localSheetId="9" hidden="1">{"OK_JURIS_FUEL",#N/A,FALSE,"Ok_Fuel&amp;Rev"}</definedName>
    <definedName name="wrn.OK._.JURIS._.FUEL._.COST." hidden="1">{"OK_JURIS_FUEL",#N/A,FALSE,"Ok_Fuel&amp;Rev"}</definedName>
    <definedName name="wrn.OKLA._.PRO._.FORMA._.FUEL." localSheetId="7" hidden="1">{"OK_PRO_FORMA_FUEL",#N/A,FALSE,"Ok_Fuel&amp;Rev"}</definedName>
    <definedName name="wrn.OKLA._.PRO._.FORMA._.FUEL." localSheetId="8" hidden="1">{"OK_PRO_FORMA_FUEL",#N/A,FALSE,"Ok_Fuel&amp;Rev"}</definedName>
    <definedName name="wrn.OKLA._.PRO._.FORMA._.FUEL." localSheetId="9" hidden="1">{"OK_PRO_FORMA_FUEL",#N/A,FALSE,"Ok_Fuel&amp;Rev"}</definedName>
    <definedName name="wrn.OKLA._.PRO._.FORMA._.FUEL." hidden="1">{"OK_PRO_FORMA_FUEL",#N/A,FALSE,"Ok_Fuel&amp;Rev"}</definedName>
    <definedName name="wrn.OMPA._.FAC." localSheetId="7" hidden="1">{"OMPA_FAC",#N/A,FALSE,"OMPA FAC"}</definedName>
    <definedName name="wrn.OMPA._.FAC." localSheetId="8" hidden="1">{"OMPA_FAC",#N/A,FALSE,"OMPA FAC"}</definedName>
    <definedName name="wrn.OMPA._.FAC." localSheetId="9" hidden="1">{"OMPA_FAC",#N/A,FALSE,"OMPA FAC"}</definedName>
    <definedName name="wrn.OMPA._.FAC." hidden="1">{"OMPA_FAC",#N/A,FALSE,"OMPA FAC"}</definedName>
    <definedName name="wrn.OTHER._.DATA." localSheetId="7" hidden="1">{"OTHER_DATA",#N/A,FALSE,"Ok_Fuel&amp;Rev"}</definedName>
    <definedName name="wrn.OTHER._.DATA." localSheetId="8" hidden="1">{"OTHER_DATA",#N/A,FALSE,"Ok_Fuel&amp;Rev"}</definedName>
    <definedName name="wrn.OTHER._.DATA." localSheetId="9" hidden="1">{"OTHER_DATA",#N/A,FALSE,"Ok_Fuel&amp;Rev"}</definedName>
    <definedName name="wrn.OTHER._.DATA." hidden="1">{"OTHER_DATA",#N/A,FALSE,"Ok_Fuel&amp;Rev"}</definedName>
    <definedName name="wrn.PPJOURNAL._.ENTRY." localSheetId="7" hidden="1">{"PPDEFERREDBAL",#N/A,FALSE,"PRIOR PERIOD ADJMT";#N/A,#N/A,FALSE,"PRIOR PERIOD ADJMT";"PPJOURNALENTRY",#N/A,FALSE,"PRIOR PERIOD ADJMT"}</definedName>
    <definedName name="wrn.PPJOURNAL._.ENTRY." localSheetId="8" hidden="1">{"PPDEFERREDBAL",#N/A,FALSE,"PRIOR PERIOD ADJMT";#N/A,#N/A,FALSE,"PRIOR PERIOD ADJMT";"PPJOURNALENTRY",#N/A,FALSE,"PRIOR PERIOD ADJMT"}</definedName>
    <definedName name="wrn.PPJOURNAL._.ENTRY." localSheetId="9" hidden="1">{"PPDEFERREDBAL",#N/A,FALSE,"PRIOR PERIOD ADJMT";#N/A,#N/A,FALSE,"PRIOR PERIOD ADJMT";"PPJOURNALENTRY",#N/A,FALSE,"PRIOR PERIOD ADJMT"}</definedName>
    <definedName name="wrn.PPJOURNAL._.ENTRY." hidden="1">{"PPDEFERREDBAL",#N/A,FALSE,"PRIOR PERIOD ADJMT";#N/A,#N/A,FALSE,"PRIOR PERIOD ADJMT";"PPJOURNALENTRY",#N/A,FALSE,"PRIOR PERIOD ADJMT"}</definedName>
    <definedName name="wrn.print." localSheetId="6"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PRINT." localSheetId="7"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8"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localSheetId="9"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NT." hidden="1">{"SUM",#N/A,FALSE,"SUM";"BASE",#N/A,FALSE,"BASE";"RIDERS",#N/A,FALSE,"RIDERS";"ROLL_IN1",#N/A,FALSE,"ROLL_IN1";"ROLL_IN2",#N/A,FALSE,"ROLL_IN2";"RATECASE",#N/A,FALSE,"RATECASE";"ECA",#N/A,FALSE,"ECA";"ISOA",#N/A,FALSE,"ISOA";"FERCPUC1",#N/A,FALSE,"FERCPUC1";"FERCPUC2",#N/A,FALSE,"FERCPUC2";"FERCPUC3",#N/A,FALSE,"FERCPUC3";"PEAKING",#N/A,FALSE,"PEAKING";"OMEXP",#N/A,FALSE,"O&amp;MEXP";"FERCPUC4",#N/A,FALSE,"FERCPUC4";"DISTLOSS",#N/A,FALSE,"DISTLOSS";"PPENG",#N/A,FALSE,"PPENG%";"PPANAL",#N/A,FALSE,"PPANAL";"PPADJ",#N/A,FALSE,"PPADJ2";"QFADJ",#N/A,FALSE,"QFADJ";"FUELADJ",#N/A,FALSE,"FUELADJ";"FUELADJ2",#N/A,FALSE,"FUELADJ2";"DSM",#N/A,FALSE,"DSM";"WHEELDET",#N/A,FALSE,"WHEELDET";"WHEELING",#N/A,FALSE,"WHEELING";"REBILL",#N/A,FALSE,"REBILL";"CENTER",#N/A,FALSE,"CENTER";"BURLJULE",#N/A,FALSE,"BURLJULE";"IREA",#N/A,FALSE,"IREA";"HCEA",#N/A,FALSE,"HCEA";"GVRPL",#N/A,FALSE,"GVRPL";"YVEA",#N/A,FALSE,"YVEA";"WESTPLAINS",#N/A,FALSE,"WESTPLAINS"}</definedName>
    <definedName name="wrn.PRIOR._.PERIOD._.ADJMT." localSheetId="7" hidden="1">{#N/A,#N/A,FALSE,"PRIOR PERIOD ADJMT"}</definedName>
    <definedName name="wrn.PRIOR._.PERIOD._.ADJMT." localSheetId="8" hidden="1">{#N/A,#N/A,FALSE,"PRIOR PERIOD ADJMT"}</definedName>
    <definedName name="wrn.PRIOR._.PERIOD._.ADJMT." localSheetId="9" hidden="1">{#N/A,#N/A,FALSE,"PRIOR PERIOD ADJMT"}</definedName>
    <definedName name="wrn.PRIOR._.PERIOD._.ADJMT." hidden="1">{#N/A,#N/A,FALSE,"PRIOR PERIOD ADJMT"}</definedName>
    <definedName name="wrn.Production." localSheetId="7" hidden="1">{"Production",#N/A,FALSE,"Electric O&amp;M Functionalization"}</definedName>
    <definedName name="wrn.Production." localSheetId="8" hidden="1">{"Production",#N/A,FALSE,"Electric O&amp;M Functionalization"}</definedName>
    <definedName name="wrn.Production." localSheetId="9" hidden="1">{"Production",#N/A,FALSE,"Electric O&amp;M Functionalization"}</definedName>
    <definedName name="wrn.Production." hidden="1">{"Production",#N/A,FALSE,"Electric O&amp;M Functionalization"}</definedName>
    <definedName name="wrn.Report." hidden="1">{#N/A,#N/A,FALSE,"Work performed";#N/A,#N/A,FALSE,"Resources"}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PA._.FAC." localSheetId="7" hidden="1">{"SPA_FAC",#N/A,FALSE,"OMPA SPA FAC"}</definedName>
    <definedName name="wrn.SPA._.FAC." localSheetId="8" hidden="1">{"SPA_FAC",#N/A,FALSE,"OMPA SPA FAC"}</definedName>
    <definedName name="wrn.SPA._.FAC." localSheetId="9" hidden="1">{"SPA_FAC",#N/A,FALSE,"OMPA SPA FAC"}</definedName>
    <definedName name="wrn.SPA._.FAC." hidden="1">{"SPA_FAC",#N/A,FALSE,"OMPA SPA FAC"}</definedName>
    <definedName name="wrn.SUP." localSheetId="7"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8"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localSheetId="9"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localSheetId="7"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8"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localSheetId="9"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porting._.Calculations." hidden="1">{#N/A,#N/A,FALSE,"Work performed";#N/A,#N/A,FALSE,"Resources"}</definedName>
    <definedName name="wrn.Tax._.Accrual." hidden="1">{#N/A,#N/A,TRUE,"TAXPROV";#N/A,#N/A,TRUE,"FLOWTHRU";#N/A,#N/A,TRUE,"SCHEDULE M'S";#N/A,#N/A,TRUE,"PLANT M'S";#N/A,#N/A,TRUE,"TAXJE"}</definedName>
    <definedName name="wrn.Transmission." localSheetId="7" hidden="1">{"Transmission",#N/A,FALSE,"Electric O&amp;M Functionalization"}</definedName>
    <definedName name="wrn.Transmission." localSheetId="8" hidden="1">{"Transmission",#N/A,FALSE,"Electric O&amp;M Functionalization"}</definedName>
    <definedName name="wrn.Transmission." localSheetId="9" hidden="1">{"Transmission",#N/A,FALSE,"Electric O&amp;M Functionalization"}</definedName>
    <definedName name="wrn.Transmission." hidden="1">{"Transmission",#N/A,FALSE,"Electric O&amp;M Functionalization"}</definedName>
    <definedName name="wrn.WEATHER._.AND._.YR._.END._.CUST._.ADJ." localSheetId="7" hidden="1">{"WEATHER_CUSTOMERS",#N/A,FALSE,"Ok_Fuel&amp;Rev"}</definedName>
    <definedName name="wrn.WEATHER._.AND._.YR._.END._.CUST._.ADJ." localSheetId="8" hidden="1">{"WEATHER_CUSTOMERS",#N/A,FALSE,"Ok_Fuel&amp;Rev"}</definedName>
    <definedName name="wrn.WEATHER._.AND._.YR._.END._.CUST._.ADJ." localSheetId="9" hidden="1">{"WEATHER_CUSTOMERS",#N/A,FALSE,"Ok_Fuel&amp;Rev"}</definedName>
    <definedName name="wrn.WEATHER._.AND._.YR._.END._.CUST._.ADJ." hidden="1">{"WEATHER_CUSTOMERS",#N/A,FALSE,"Ok_Fuel&amp;Rev"}</definedName>
    <definedName name="wrn.WORKCAP." localSheetId="7" hidden="1">{"WCCWCLL",#N/A,FALSE,"Sheet3";"PP",#N/A,FALSE,"Sheet3";"MAT1",#N/A,FALSE,"Sheet3";"MAT2",#N/A,FALSE,"Sheet3"}</definedName>
    <definedName name="wrn.WORKCAP." localSheetId="8" hidden="1">{"WCCWCLL",#N/A,FALSE,"Sheet3";"PP",#N/A,FALSE,"Sheet3";"MAT1",#N/A,FALSE,"Sheet3";"MAT2",#N/A,FALSE,"Sheet3"}</definedName>
    <definedName name="wrn.WORKCAP." localSheetId="9" hidden="1">{"WCCWCLL",#N/A,FALSE,"Sheet3";"PP",#N/A,FALSE,"Sheet3";"MAT1",#N/A,FALSE,"Sheet3";"MAT2",#N/A,FALSE,"Sheet3"}</definedName>
    <definedName name="wrn.WORKCAP." hidden="1">{"WCCWCLL",#N/A,FALSE,"Sheet3";"PP",#N/A,FALSE,"Sheet3";"MAT1",#N/A,FALSE,"Sheet3";"MAT2",#N/A,FALSE,"Sheet3"}</definedName>
    <definedName name="WS">#REF!</definedName>
    <definedName name="wvu.DATABASE." localSheetId="7"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8"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localSheetId="9"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DATABASE." hidden="1">{TRUE,TRUE,-1.25,-15.5,484.5,279.75,FALSE,FALSE,TRUE,TRUE,0,1,#N/A,1,#N/A,4.39094650205761,21.0666666666667,1,FALSE,FALSE,3,TRUE,1,FALSE,75,"Swvu.DATABASE.","ACwvu.DATABASE.",1,FALSE,FALSE,0.5,0.5,0.5,0.77,2,"","&amp;L&amp;""""&amp;8PREPARED: N. WINTER  &amp;D &amp;T&amp;C&amp;""""&amp;8&amp;P OF &amp;N&amp;R&amp;""""&amp;8J:INCTAX\94MTHEND\&amp;F",FALSE,FALSE,FALSE,FALSE,1,68,#N/A,#N/A,"=R6C1:R142C8","=R1:R5",#N/A,#N/A,FALSE,FALSE}</definedName>
    <definedName name="wvu.OP." localSheetId="7"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8"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localSheetId="9"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OP." hidden="1">{TRUE,TRUE,-1.25,-15.5,484.5,279.75,FALSE,FALSE,TRUE,TRUE,0,1,#N/A,1,#N/A,5.69105691056911,21.0666666666667,1,FALSE,FALSE,3,TRUE,1,FALSE,75,"Swvu.OP.","ACwvu.OP.",1,FALSE,FALSE,0.535,0.535,0,0.73,2,"","&amp;L&amp;""Courier New""&amp;8PREPARED BY N. WINTER &amp;D &amp;T &amp;C&amp;""Courier New""&amp;8&amp;P OF &amp;N&amp;R&amp;""Courier New""&amp;8J:INCTAX\94MTHEND\&amp;F",FALSE,FALSE,FALSE,FALSE,1,#N/A,1,3,"=R11C1:R77C7","=R2:R10",#N/A,#N/A,FALSE,FALSE}</definedName>
    <definedName name="wvu.WP1." localSheetId="7" hidden="1">{TRUE,TRUE,-1.25,-15.5,484.5,279.75,FALSE,FALSE,TRUE,TRUE,0,3,#N/A,1,#N/A,6.54545454545454,15.55,1,FALSE,FALSE,3,TRUE,1,FALSE,100,"Swvu.WP1.","ACwvu.WP1.",1,FALSE,FALSE,0.25,0.25,0.25,0.25,1,"","&amp;L&amp;D &amp;T NBW&amp;C&amp;P&amp;R&amp;F",FALSE,FALSE,FALSE,FALSE,1,100,#N/A,#N/A,FALSE,FALSE,#N/A,#N/A,FALSE,FALSE}</definedName>
    <definedName name="wvu.WP1." localSheetId="8" hidden="1">{TRUE,TRUE,-1.25,-15.5,484.5,279.75,FALSE,FALSE,TRUE,TRUE,0,3,#N/A,1,#N/A,6.54545454545454,15.55,1,FALSE,FALSE,3,TRUE,1,FALSE,100,"Swvu.WP1.","ACwvu.WP1.",1,FALSE,FALSE,0.25,0.25,0.25,0.25,1,"","&amp;L&amp;D &amp;T NBW&amp;C&amp;P&amp;R&amp;F",FALSE,FALSE,FALSE,FALSE,1,100,#N/A,#N/A,FALSE,FALSE,#N/A,#N/A,FALSE,FALSE}</definedName>
    <definedName name="wvu.WP1." localSheetId="9" hidden="1">{TRUE,TRUE,-1.25,-15.5,484.5,279.75,FALSE,FALSE,TRUE,TRUE,0,3,#N/A,1,#N/A,6.54545454545454,15.55,1,FALSE,FALSE,3,TRUE,1,FALSE,100,"Swvu.WP1.","ACwvu.WP1.",1,FALSE,FALSE,0.25,0.25,0.25,0.25,1,"","&amp;L&amp;D &amp;T NBW&amp;C&amp;P&amp;R&amp;F",FALSE,FALSE,FALSE,FALSE,1,100,#N/A,#N/A,FALSE,FALSE,#N/A,#N/A,FALSE,FALSE}</definedName>
    <definedName name="wvu.WP1." hidden="1">{TRUE,TRUE,-1.25,-15.5,484.5,279.75,FALSE,FALSE,TRUE,TRUE,0,3,#N/A,1,#N/A,6.54545454545454,15.55,1,FALSE,FALSE,3,TRUE,1,FALSE,100,"Swvu.WP1.","ACwvu.WP1.",1,FALSE,FALSE,0.25,0.25,0.25,0.25,1,"","&amp;L&amp;D &amp;T NBW&amp;C&amp;P&amp;R&amp;F",FALSE,FALSE,FALSE,FALSE,1,100,#N/A,#N/A,FALSE,FALSE,#N/A,#N/A,FALSE,FALSE}</definedName>
    <definedName name="Xcel" localSheetId="3">#REF!</definedName>
    <definedName name="Xcel" localSheetId="9">#REF!</definedName>
    <definedName name="Xcel" localSheetId="15">#REF!</definedName>
    <definedName name="Xcel">#REF!</definedName>
    <definedName name="Xcel_COS" localSheetId="3">#REF!</definedName>
    <definedName name="Xcel_COS" localSheetId="9">#REF!</definedName>
    <definedName name="Xcel_COS" localSheetId="15">#REF!</definedName>
    <definedName name="Xcel_COS">#REF!</definedName>
    <definedName name="xxx" hidden="1">{#N/A,#N/A,FALSE,"O&amp;M by processes";#N/A,#N/A,FALSE,"Elec Act vs Bud";#N/A,#N/A,FALSE,"G&amp;A";#N/A,#N/A,FALSE,"BGS";#N/A,#N/A,FALSE,"Res Cost"}</definedName>
    <definedName name="xxxx" hidden="1">{#N/A,#N/A,FALSE,"O&amp;M by processes";#N/A,#N/A,FALSE,"Elec Act vs Bud";#N/A,#N/A,FALSE,"G&amp;A";#N/A,#N/A,FALSE,"BGS";#N/A,#N/A,FALSE,"Res Cost"}</definedName>
    <definedName name="Z_3768C7C8_9953_11DA_B318_000FB55D51DC_.wvu.PrintArea" localSheetId="18" hidden="1">'12 - Revenue Credits'!$A$5:$E$30</definedName>
    <definedName name="Z_3BDD6235_B127_4929_8311_BDAF7BB89818_.wvu.PrintArea" localSheetId="18" hidden="1">'12 - Revenue Credits'!$A$5:$E$30</definedName>
    <definedName name="Z_63AFAF34_E340_4B5E_A289_FFB7051CA9B6_.wvu.PrintArea" localSheetId="17" hidden="1">'11-Corrections'!$A$1:$G$31</definedName>
    <definedName name="Z_63AFAF34_E340_4B5E_A289_FFB7051CA9B6_.wvu.PrintArea" localSheetId="18" hidden="1">'12 - Revenue Credits'!$A$1:$G$35</definedName>
    <definedName name="Z_63AFAF34_E340_4B5E_A289_FFB7051CA9B6_.wvu.PrintArea" localSheetId="1" hidden="1">'1-Project Rev Req'!$A$1:$U$83</definedName>
    <definedName name="Z_63AFAF34_E340_4B5E_A289_FFB7051CA9B6_.wvu.PrintArea" localSheetId="3" hidden="1">'3-Project True-up'!$A$1:$L$48</definedName>
    <definedName name="Z_63AFAF34_E340_4B5E_A289_FFB7051CA9B6_.wvu.PrintArea" localSheetId="4" hidden="1">'4- Rate Base'!$A$1:$J$84</definedName>
    <definedName name="Z_63AFAF34_E340_4B5E_A289_FFB7051CA9B6_.wvu.PrintArea" localSheetId="10" hidden="1">'5-Return'!$A$1:$L$46</definedName>
    <definedName name="Z_63AFAF34_E340_4B5E_A289_FFB7051CA9B6_.wvu.PrintArea" localSheetId="12" hidden="1">'6a - True-up Interest Rate'!$A$1:$H$32</definedName>
    <definedName name="Z_63AFAF34_E340_4B5E_A289_FFB7051CA9B6_.wvu.PrintArea" localSheetId="14" hidden="1">'8-Construction Debt'!$A$1:$J$60</definedName>
    <definedName name="Z_63AFAF34_E340_4B5E_A289_FFB7051CA9B6_.wvu.PrintArea" localSheetId="15" hidden="1">'9- Cost of Debt True-up'!$A$1:$G$38</definedName>
    <definedName name="Z_B0241363_5C8A_48FC_89A6_56D55586BABE_.wvu.PrintArea" localSheetId="18" hidden="1">'12 - Revenue Credits'!$A$5:$E$30</definedName>
    <definedName name="Z_C0EA0F9F_7310_4201_82C9_7B8FC8DB9137_.wvu.PrintArea" localSheetId="18" hidden="1">'12 - Revenue Credits'!$A$5:$E$30</definedName>
    <definedName name="Z_F04A2B9A_C6FE_4FEB_AD1E_2CF9AC309BE4_.wvu.PrintArea" localSheetId="1" hidden="1">'1-Project Rev Req'!$A$1:$S$81</definedName>
    <definedName name="Z_F04A2B9A_C6FE_4FEB_AD1E_2CF9AC309BE4_.wvu.PrintArea" localSheetId="3" hidden="1">'3-Project True-up'!$A$1:$M$24</definedName>
    <definedName name="Z_F04A2B9A_C6FE_4FEB_AD1E_2CF9AC309BE4_.wvu.PrintArea" localSheetId="4" hidden="1">'4- Rate Base'!$A$1:$L$68</definedName>
    <definedName name="Z_F04A2B9A_C6FE_4FEB_AD1E_2CF9AC309BE4_.wvu.PrintArea" localSheetId="14" hidden="1">'8-Construction Debt'!$A$1:$K$57</definedName>
    <definedName name="Z_F04A2B9A_C6FE_4FEB_AD1E_2CF9AC309BE4_.wvu.PrintArea" localSheetId="15" hidden="1">'9- Cost of Debt True-up'!$A$1:$K$38</definedName>
    <definedName name="Z_F04A2B9A_C6FE_4FEB_AD1E_2CF9AC309BE4_.wvu.PrintArea" localSheetId="0" hidden="1">'Attachment H-26'!$A$1:$K$246</definedName>
  </definedNames>
  <calcPr calcId="191029"/>
  <customWorkbookViews>
    <customWorkbookView name="Jim Martin - Personal View" guid="{63AFAF34-E340-4B5E-A289-FFB7051CA9B6}" mergeInterval="0" personalView="1" maximized="1" windowWidth="1600" windowHeight="654" tabRatio="829" activeSheetId="1"/>
    <customWorkbookView name="Chrystina Steffy - Personal View" guid="{F04A2B9A-C6FE-4FEB-AD1E-2CF9AC309BE4}" mergeInterval="0" personalView="1" maximized="1" windowWidth="1276" windowHeight="799" tabRatio="918" activeSheetId="5"/>
    <customWorkbookView name="Allegheny Energy - Personal View" guid="{931DA938-C92D-4DFC-BCC1-9349A5DC9BD4}" mergeInterval="0" personalView="1" maximized="1" windowWidth="1239" windowHeight="637" tabRatio="918" activeSheetId="19"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6" i="1" l="1"/>
  <c r="G152" i="19" l="1"/>
  <c r="H152" i="19"/>
  <c r="I141" i="19" l="1"/>
  <c r="I100" i="19"/>
  <c r="B150" i="19" l="1"/>
  <c r="B149" i="19"/>
  <c r="B148" i="19"/>
  <c r="B147" i="19"/>
  <c r="B146" i="19"/>
  <c r="B145" i="19"/>
  <c r="B144" i="19"/>
  <c r="B143" i="19"/>
  <c r="B142" i="19"/>
  <c r="B141" i="19"/>
  <c r="B140" i="19"/>
  <c r="B139" i="19"/>
  <c r="B138" i="19"/>
  <c r="B137" i="19"/>
  <c r="B136" i="19"/>
  <c r="B135" i="19"/>
  <c r="B134" i="19"/>
  <c r="B133" i="19"/>
  <c r="B132" i="19"/>
  <c r="B131" i="19"/>
  <c r="B130" i="19"/>
  <c r="B129" i="19"/>
  <c r="B128" i="19"/>
  <c r="B110" i="19"/>
  <c r="B109" i="19"/>
  <c r="B108" i="19"/>
  <c r="B107" i="19"/>
  <c r="B106" i="19"/>
  <c r="B105" i="19"/>
  <c r="B104" i="19"/>
  <c r="B103" i="19"/>
  <c r="B102" i="19"/>
  <c r="B101" i="19"/>
  <c r="B100" i="19"/>
  <c r="B99" i="19"/>
  <c r="B98" i="19"/>
  <c r="B97" i="19"/>
  <c r="B96" i="19"/>
  <c r="B95" i="19"/>
  <c r="B94" i="19"/>
  <c r="B93" i="19"/>
  <c r="B92" i="19"/>
  <c r="B91" i="19"/>
  <c r="B90" i="19"/>
  <c r="B89" i="19"/>
  <c r="B88" i="19"/>
  <c r="B62" i="19"/>
  <c r="B61" i="19"/>
  <c r="B60" i="19"/>
  <c r="B59" i="19"/>
  <c r="B58" i="19"/>
  <c r="B57" i="19"/>
  <c r="B56" i="19"/>
  <c r="B55" i="19"/>
  <c r="B54" i="19"/>
  <c r="B53" i="19"/>
  <c r="B52" i="19"/>
  <c r="B51" i="19"/>
  <c r="B50" i="19"/>
  <c r="B49" i="19"/>
  <c r="H83" i="20" l="1"/>
  <c r="C144" i="19" s="1"/>
  <c r="G144" i="19" s="1"/>
  <c r="I144" i="19" s="1"/>
  <c r="H87" i="20"/>
  <c r="C148" i="19" s="1"/>
  <c r="H148" i="19" s="1"/>
  <c r="I148" i="19" s="1"/>
  <c r="H80" i="20"/>
  <c r="C141" i="19" s="1"/>
  <c r="D141" i="19" s="1"/>
  <c r="H84" i="20"/>
  <c r="C145" i="19" s="1"/>
  <c r="G145" i="19" s="1"/>
  <c r="I145" i="19" s="1"/>
  <c r="H88" i="20"/>
  <c r="C149" i="19" s="1"/>
  <c r="F149" i="19" s="1"/>
  <c r="I149" i="19" s="1"/>
  <c r="H86" i="20"/>
  <c r="C147" i="19" s="1"/>
  <c r="F147" i="19" s="1"/>
  <c r="I147" i="19" s="1"/>
  <c r="H82" i="20"/>
  <c r="C143" i="19" s="1"/>
  <c r="G143" i="19" s="1"/>
  <c r="I143" i="19" s="1"/>
  <c r="H50" i="20"/>
  <c r="C102" i="19" s="1"/>
  <c r="F102" i="19" s="1"/>
  <c r="I102" i="19" s="1"/>
  <c r="H54" i="20"/>
  <c r="C106" i="19" s="1"/>
  <c r="F106" i="19" s="1"/>
  <c r="I106" i="19" s="1"/>
  <c r="H58" i="20"/>
  <c r="C110" i="19" s="1"/>
  <c r="F110" i="19" s="1"/>
  <c r="I110" i="19" s="1"/>
  <c r="H81" i="20"/>
  <c r="C142" i="19" s="1"/>
  <c r="G142" i="19" s="1"/>
  <c r="I142" i="19" s="1"/>
  <c r="H85" i="20"/>
  <c r="C146" i="19" s="1"/>
  <c r="G146" i="19" s="1"/>
  <c r="I146" i="19" s="1"/>
  <c r="H89" i="20"/>
  <c r="C150" i="19" s="1"/>
  <c r="F150" i="19" s="1"/>
  <c r="I150" i="19" s="1"/>
  <c r="H49" i="20"/>
  <c r="C101" i="19" s="1"/>
  <c r="F101" i="19" s="1"/>
  <c r="I101" i="19" s="1"/>
  <c r="H53" i="20"/>
  <c r="C105" i="19" s="1"/>
  <c r="F105" i="19" s="1"/>
  <c r="I105" i="19" s="1"/>
  <c r="H57" i="20"/>
  <c r="C109" i="19" s="1"/>
  <c r="F109" i="19" s="1"/>
  <c r="I109" i="19" s="1"/>
  <c r="H23" i="20"/>
  <c r="C57" i="19" s="1"/>
  <c r="H27" i="20"/>
  <c r="C61" i="19" s="1"/>
  <c r="G61" i="19" s="1"/>
  <c r="I61" i="19" s="1"/>
  <c r="H52" i="20"/>
  <c r="C104" i="19" s="1"/>
  <c r="F104" i="19" s="1"/>
  <c r="I104" i="19" s="1"/>
  <c r="H48" i="20"/>
  <c r="C100" i="19" s="1"/>
  <c r="E100" i="19" s="1"/>
  <c r="H56" i="20"/>
  <c r="C108" i="19" s="1"/>
  <c r="F108" i="19" s="1"/>
  <c r="I108" i="19" s="1"/>
  <c r="H51" i="20"/>
  <c r="C103" i="19" s="1"/>
  <c r="F103" i="19" s="1"/>
  <c r="I103" i="19" s="1"/>
  <c r="H55" i="20"/>
  <c r="C107" i="19" s="1"/>
  <c r="F107" i="19" s="1"/>
  <c r="I107" i="19" s="1"/>
  <c r="H25" i="20"/>
  <c r="C59" i="19" s="1"/>
  <c r="G59" i="19" s="1"/>
  <c r="I59" i="19" s="1"/>
  <c r="H24" i="20"/>
  <c r="C58" i="19" s="1"/>
  <c r="G58" i="19" s="1"/>
  <c r="I58" i="19" s="1"/>
  <c r="H28" i="20"/>
  <c r="C62" i="19" s="1"/>
  <c r="G62" i="19" s="1"/>
  <c r="I62" i="19" s="1"/>
  <c r="H22" i="20"/>
  <c r="C56" i="19" s="1"/>
  <c r="H26" i="20"/>
  <c r="C60" i="19" s="1"/>
  <c r="G60" i="19" s="1"/>
  <c r="I60" i="19" s="1"/>
  <c r="H75" i="20" l="1"/>
  <c r="H79" i="20"/>
  <c r="H74" i="20"/>
  <c r="H78" i="20"/>
  <c r="H44" i="20"/>
  <c r="H73" i="20"/>
  <c r="H77" i="20"/>
  <c r="H47" i="20"/>
  <c r="C99" i="19" s="1"/>
  <c r="H41" i="20"/>
  <c r="C93" i="19" s="1"/>
  <c r="H45" i="20"/>
  <c r="C97" i="19" s="1"/>
  <c r="H42" i="20"/>
  <c r="C94" i="19" s="1"/>
  <c r="H46" i="20"/>
  <c r="C98" i="19" s="1"/>
  <c r="H43" i="20"/>
  <c r="C95" i="19" s="1"/>
  <c r="H76" i="20"/>
  <c r="C137" i="19" s="1"/>
  <c r="C138" i="19" l="1"/>
  <c r="G138" i="19" s="1"/>
  <c r="I138" i="19" s="1"/>
  <c r="C96" i="19"/>
  <c r="F96" i="19" s="1"/>
  <c r="I96" i="19" s="1"/>
  <c r="C139" i="19"/>
  <c r="G139" i="19" s="1"/>
  <c r="I139" i="19" s="1"/>
  <c r="C140" i="19"/>
  <c r="F140" i="19" s="1"/>
  <c r="I140" i="19" s="1"/>
  <c r="C134" i="19"/>
  <c r="G134" i="19" s="1"/>
  <c r="I134" i="19" s="1"/>
  <c r="C135" i="19"/>
  <c r="G135" i="19" s="1"/>
  <c r="I135" i="19" s="1"/>
  <c r="C136" i="19"/>
  <c r="G136" i="19" s="1"/>
  <c r="I136" i="19" s="1"/>
  <c r="F137" i="19"/>
  <c r="I137" i="19" s="1"/>
  <c r="F94" i="19"/>
  <c r="I94" i="19" s="1"/>
  <c r="F98" i="19"/>
  <c r="I98" i="19" s="1"/>
  <c r="F97" i="19"/>
  <c r="I97" i="19" s="1"/>
  <c r="F95" i="19"/>
  <c r="I95" i="19" s="1"/>
  <c r="F99" i="19"/>
  <c r="I99" i="19" s="1"/>
  <c r="F93" i="19"/>
  <c r="I93" i="19" s="1"/>
  <c r="H36" i="20"/>
  <c r="C88" i="19" s="1"/>
  <c r="H21" i="20" l="1"/>
  <c r="H37" i="20"/>
  <c r="C89" i="19" s="1"/>
  <c r="H72" i="20"/>
  <c r="H38" i="20"/>
  <c r="C90" i="19" s="1"/>
  <c r="G56" i="19"/>
  <c r="H18" i="20"/>
  <c r="H40" i="20"/>
  <c r="H39" i="20"/>
  <c r="H20" i="20"/>
  <c r="H71" i="20"/>
  <c r="H19" i="20"/>
  <c r="G57" i="19"/>
  <c r="I57" i="19" s="1"/>
  <c r="G71" i="19" l="1"/>
  <c r="C91" i="19"/>
  <c r="F91" i="19" s="1"/>
  <c r="I91" i="19" s="1"/>
  <c r="C92" i="19"/>
  <c r="F92" i="19" s="1"/>
  <c r="F113" i="19" s="1"/>
  <c r="C52" i="19"/>
  <c r="G52" i="19" s="1"/>
  <c r="I52" i="19" s="1"/>
  <c r="C133" i="19"/>
  <c r="F133" i="19" s="1"/>
  <c r="I133" i="19" s="1"/>
  <c r="C53" i="19"/>
  <c r="G53" i="19" s="1"/>
  <c r="I53" i="19" s="1"/>
  <c r="C132" i="19"/>
  <c r="F132" i="19" s="1"/>
  <c r="I132" i="19" s="1"/>
  <c r="C54" i="19"/>
  <c r="G54" i="19" s="1"/>
  <c r="I54" i="19" s="1"/>
  <c r="C55" i="19"/>
  <c r="G55" i="19" s="1"/>
  <c r="I55" i="19" s="1"/>
  <c r="I56" i="19"/>
  <c r="I92" i="19" l="1"/>
  <c r="T59" i="2"/>
  <c r="G72" i="19" l="1"/>
  <c r="F89" i="22"/>
  <c r="F93" i="20"/>
  <c r="C93" i="20"/>
  <c r="F31" i="20"/>
  <c r="C31" i="20"/>
  <c r="F62" i="20"/>
  <c r="C62" i="20"/>
  <c r="A2" i="23"/>
  <c r="A2" i="22"/>
  <c r="A2" i="21"/>
  <c r="A2" i="20"/>
  <c r="A2" i="19"/>
  <c r="H40" i="23"/>
  <c r="F38" i="23"/>
  <c r="D38" i="23"/>
  <c r="J38" i="23" s="1"/>
  <c r="F31" i="23"/>
  <c r="D31" i="23"/>
  <c r="F24" i="23"/>
  <c r="D24" i="23"/>
  <c r="J24" i="23" s="1"/>
  <c r="F17" i="23"/>
  <c r="D17" i="23"/>
  <c r="J17" i="23" s="1"/>
  <c r="A13" i="23"/>
  <c r="A14" i="23" s="1"/>
  <c r="A15" i="23" s="1"/>
  <c r="A16" i="23" s="1"/>
  <c r="A17" i="23" s="1"/>
  <c r="A19" i="23" s="1"/>
  <c r="A20" i="23" s="1"/>
  <c r="A21" i="23" s="1"/>
  <c r="A22" i="23" s="1"/>
  <c r="A23" i="23" s="1"/>
  <c r="A24" i="23" s="1"/>
  <c r="A26" i="23" s="1"/>
  <c r="A27" i="23" s="1"/>
  <c r="A28" i="23" s="1"/>
  <c r="A29" i="23" s="1"/>
  <c r="A30" i="23" s="1"/>
  <c r="A31" i="23" s="1"/>
  <c r="A33" i="23" s="1"/>
  <c r="A34" i="23" s="1"/>
  <c r="A35" i="23" s="1"/>
  <c r="A36" i="23" s="1"/>
  <c r="A37" i="23" s="1"/>
  <c r="A38" i="23" s="1"/>
  <c r="A40" i="23" s="1"/>
  <c r="E89" i="22"/>
  <c r="D89" i="22"/>
  <c r="H66" i="22"/>
  <c r="H68" i="22" s="1"/>
  <c r="G66" i="22"/>
  <c r="G68" i="22" s="1"/>
  <c r="E66" i="22"/>
  <c r="E68" i="22" s="1"/>
  <c r="D66" i="22"/>
  <c r="D68" i="22" s="1"/>
  <c r="C66" i="22"/>
  <c r="I45" i="22"/>
  <c r="H24" i="22"/>
  <c r="H26" i="22" s="1"/>
  <c r="E24" i="22"/>
  <c r="E26" i="22" s="1"/>
  <c r="D24" i="22"/>
  <c r="D26" i="22" s="1"/>
  <c r="I15" i="22"/>
  <c r="A14" i="22"/>
  <c r="A15" i="22" s="1"/>
  <c r="A16" i="22" s="1"/>
  <c r="A17" i="22" s="1"/>
  <c r="A18" i="22" s="1"/>
  <c r="A19" i="22" s="1"/>
  <c r="A20" i="22" s="1"/>
  <c r="A21" i="22" s="1"/>
  <c r="A22" i="22" s="1"/>
  <c r="A23" i="22" s="1"/>
  <c r="A24" i="22" s="1"/>
  <c r="H120" i="21"/>
  <c r="C120" i="21"/>
  <c r="H89" i="21"/>
  <c r="C89" i="21"/>
  <c r="H57" i="21"/>
  <c r="C57" i="21"/>
  <c r="J32" i="21"/>
  <c r="C26" i="21"/>
  <c r="E118" i="21" s="1"/>
  <c r="H25" i="21"/>
  <c r="H24" i="21"/>
  <c r="H23" i="21"/>
  <c r="H22" i="21"/>
  <c r="H21" i="21"/>
  <c r="H20" i="21"/>
  <c r="H19" i="21"/>
  <c r="H18" i="21"/>
  <c r="H17" i="21"/>
  <c r="H16" i="21"/>
  <c r="H15" i="21"/>
  <c r="A10" i="21"/>
  <c r="A11" i="21" s="1"/>
  <c r="A12" i="21" s="1"/>
  <c r="A13" i="21" s="1"/>
  <c r="A14" i="21" s="1"/>
  <c r="A15" i="21" s="1"/>
  <c r="A16" i="21" s="1"/>
  <c r="A17" i="21" s="1"/>
  <c r="A18" i="21" s="1"/>
  <c r="A19" i="21" s="1"/>
  <c r="A20" i="21" s="1"/>
  <c r="A21" i="21" s="1"/>
  <c r="A22" i="21" s="1"/>
  <c r="A23" i="21" s="1"/>
  <c r="A24" i="21" s="1"/>
  <c r="A25" i="21" s="1"/>
  <c r="F138" i="20"/>
  <c r="F140" i="20" s="1"/>
  <c r="C138" i="20"/>
  <c r="H123" i="20"/>
  <c r="E98" i="20"/>
  <c r="B98" i="20"/>
  <c r="H70" i="20"/>
  <c r="H69" i="20"/>
  <c r="H68" i="20"/>
  <c r="H67" i="20"/>
  <c r="C128" i="19" s="1"/>
  <c r="H66" i="20"/>
  <c r="C127" i="19" s="1"/>
  <c r="F127" i="19" s="1"/>
  <c r="F90" i="19"/>
  <c r="F89" i="19"/>
  <c r="I89" i="19" s="1"/>
  <c r="H35" i="20"/>
  <c r="C87" i="19" s="1"/>
  <c r="F87" i="19" s="1"/>
  <c r="I87" i="19" s="1"/>
  <c r="H17" i="20"/>
  <c r="C51" i="19" s="1"/>
  <c r="H16" i="20"/>
  <c r="H15" i="20"/>
  <c r="C49" i="19" s="1"/>
  <c r="F12" i="20"/>
  <c r="C12" i="20"/>
  <c r="A10" i="20"/>
  <c r="A11" i="20" s="1"/>
  <c r="A12" i="20" s="1"/>
  <c r="A14" i="20" s="1"/>
  <c r="A15" i="20" s="1"/>
  <c r="A16" i="20" s="1"/>
  <c r="A17" i="20" s="1"/>
  <c r="A18" i="20" s="1"/>
  <c r="A19" i="20" s="1"/>
  <c r="C153" i="19"/>
  <c r="G151" i="19"/>
  <c r="G155" i="19" s="1"/>
  <c r="E151" i="19"/>
  <c r="E155" i="19" s="1"/>
  <c r="E157" i="19" s="1"/>
  <c r="D151" i="19"/>
  <c r="D155" i="19" s="1"/>
  <c r="D157" i="19" s="1"/>
  <c r="B127" i="19"/>
  <c r="J126" i="19"/>
  <c r="I126" i="19"/>
  <c r="H126" i="19"/>
  <c r="G126" i="19"/>
  <c r="F126" i="19"/>
  <c r="D126" i="19"/>
  <c r="B126" i="19"/>
  <c r="I125" i="19"/>
  <c r="H125" i="19"/>
  <c r="G125" i="19"/>
  <c r="F125" i="19"/>
  <c r="D125" i="19"/>
  <c r="I124" i="19"/>
  <c r="F124" i="19"/>
  <c r="D124" i="19"/>
  <c r="J123" i="19"/>
  <c r="I123" i="19"/>
  <c r="H123" i="19"/>
  <c r="G123" i="19"/>
  <c r="F123" i="19"/>
  <c r="E123" i="19"/>
  <c r="D123" i="19"/>
  <c r="C123" i="19"/>
  <c r="B123" i="19"/>
  <c r="C114" i="19"/>
  <c r="H112" i="19"/>
  <c r="H116" i="19" s="1"/>
  <c r="G112" i="19"/>
  <c r="G116" i="19" s="1"/>
  <c r="E112" i="19"/>
  <c r="E116" i="19" s="1"/>
  <c r="E118" i="19" s="1"/>
  <c r="D112" i="19"/>
  <c r="D116" i="19" s="1"/>
  <c r="D118" i="19" s="1"/>
  <c r="B87" i="19"/>
  <c r="J86" i="19"/>
  <c r="I86" i="19"/>
  <c r="H86" i="19"/>
  <c r="G86" i="19"/>
  <c r="F86" i="19"/>
  <c r="D86" i="19"/>
  <c r="B86" i="19"/>
  <c r="I85" i="19"/>
  <c r="H85" i="19"/>
  <c r="G85" i="19"/>
  <c r="F85" i="19"/>
  <c r="D85" i="19"/>
  <c r="I84" i="19"/>
  <c r="F84" i="19"/>
  <c r="D84" i="19"/>
  <c r="J83" i="19"/>
  <c r="I83" i="19"/>
  <c r="H83" i="19"/>
  <c r="G83" i="19"/>
  <c r="F83" i="19"/>
  <c r="E83" i="19"/>
  <c r="D83" i="19"/>
  <c r="C83" i="19"/>
  <c r="B83" i="19"/>
  <c r="B75" i="19"/>
  <c r="B117" i="19" s="1"/>
  <c r="B156" i="19" s="1"/>
  <c r="B73" i="19"/>
  <c r="B115" i="19" s="1"/>
  <c r="B154" i="19" s="1"/>
  <c r="B72" i="19"/>
  <c r="B114" i="19" s="1"/>
  <c r="B153" i="19" s="1"/>
  <c r="B71" i="19"/>
  <c r="B113" i="19" s="1"/>
  <c r="B152" i="19" s="1"/>
  <c r="H70" i="19"/>
  <c r="H74" i="19" s="1"/>
  <c r="F70" i="19"/>
  <c r="F74" i="19" s="1"/>
  <c r="F76" i="19" s="1"/>
  <c r="E70" i="19"/>
  <c r="E74" i="19" s="1"/>
  <c r="E76" i="19" s="1"/>
  <c r="D70" i="19"/>
  <c r="D74" i="19" s="1"/>
  <c r="D76" i="19" s="1"/>
  <c r="J48" i="19"/>
  <c r="I48" i="19"/>
  <c r="H48" i="19"/>
  <c r="G48" i="19"/>
  <c r="F48" i="19"/>
  <c r="D48" i="19"/>
  <c r="B48" i="19"/>
  <c r="I47" i="19"/>
  <c r="H47" i="19"/>
  <c r="G47" i="19"/>
  <c r="F47" i="19"/>
  <c r="D47" i="19"/>
  <c r="I46" i="19"/>
  <c r="F46" i="19"/>
  <c r="D46" i="19"/>
  <c r="J45" i="19"/>
  <c r="I45" i="19"/>
  <c r="H45" i="19"/>
  <c r="G45" i="19"/>
  <c r="F45" i="19"/>
  <c r="E45" i="19"/>
  <c r="D45" i="19"/>
  <c r="B45" i="19"/>
  <c r="C36" i="19"/>
  <c r="C35" i="19"/>
  <c r="H34" i="19"/>
  <c r="H38" i="19" s="1"/>
  <c r="G34" i="19"/>
  <c r="G38" i="19" s="1"/>
  <c r="F34" i="19"/>
  <c r="F38" i="19" s="1"/>
  <c r="F40" i="19" s="1"/>
  <c r="E34" i="19"/>
  <c r="E38" i="19" s="1"/>
  <c r="E40" i="19" s="1"/>
  <c r="D34" i="19"/>
  <c r="D38" i="19" s="1"/>
  <c r="D40" i="19" s="1"/>
  <c r="C34" i="19"/>
  <c r="A12" i="19"/>
  <c r="A13" i="19" s="1"/>
  <c r="A14" i="19" s="1"/>
  <c r="A15" i="19" s="1"/>
  <c r="A16" i="19" s="1"/>
  <c r="A17" i="19" s="1"/>
  <c r="A18" i="19" s="1"/>
  <c r="A19" i="19" s="1"/>
  <c r="A20" i="19" s="1"/>
  <c r="A21" i="19" s="1"/>
  <c r="A22" i="19" s="1"/>
  <c r="A23" i="19" s="1"/>
  <c r="A24" i="19" s="1"/>
  <c r="A25" i="19" s="1"/>
  <c r="A26" i="19" s="1"/>
  <c r="A27" i="19" s="1"/>
  <c r="A28" i="19" s="1"/>
  <c r="A29" i="19" s="1"/>
  <c r="A30" i="19" s="1"/>
  <c r="A31" i="19" s="1"/>
  <c r="A32" i="19" s="1"/>
  <c r="A33" i="19" s="1"/>
  <c r="A34" i="19" s="1"/>
  <c r="C129" i="19" l="1"/>
  <c r="F129" i="19" s="1"/>
  <c r="I129" i="19" s="1"/>
  <c r="C50" i="19"/>
  <c r="G50" i="19" s="1"/>
  <c r="I50" i="19" s="1"/>
  <c r="C130" i="19"/>
  <c r="F130" i="19" s="1"/>
  <c r="I130" i="19" s="1"/>
  <c r="C131" i="19"/>
  <c r="F131" i="19" s="1"/>
  <c r="F152" i="19" s="1"/>
  <c r="G51" i="19"/>
  <c r="I51" i="19" s="1"/>
  <c r="C113" i="19"/>
  <c r="I90" i="19"/>
  <c r="A20" i="20"/>
  <c r="A21" i="20" s="1"/>
  <c r="A22" i="20" s="1"/>
  <c r="A23" i="20" s="1"/>
  <c r="E15" i="21"/>
  <c r="E22" i="21"/>
  <c r="H12" i="20"/>
  <c r="E18" i="21"/>
  <c r="E111" i="21"/>
  <c r="G17" i="23"/>
  <c r="I17" i="23" s="1"/>
  <c r="E78" i="21"/>
  <c r="E86" i="21"/>
  <c r="G24" i="23"/>
  <c r="I24" i="23" s="1"/>
  <c r="E54" i="21"/>
  <c r="E119" i="21"/>
  <c r="H31" i="20"/>
  <c r="H128" i="19"/>
  <c r="I128" i="19" s="1"/>
  <c r="E19" i="21"/>
  <c r="E23" i="21"/>
  <c r="E55" i="21"/>
  <c r="E79" i="21"/>
  <c r="E87" i="21"/>
  <c r="E112" i="21"/>
  <c r="E16" i="21"/>
  <c r="E45" i="21"/>
  <c r="D45" i="21" s="1"/>
  <c r="E48" i="21"/>
  <c r="E56" i="21"/>
  <c r="E80" i="21"/>
  <c r="E88" i="21"/>
  <c r="E113" i="21"/>
  <c r="E20" i="21"/>
  <c r="E24" i="21"/>
  <c r="E49" i="21"/>
  <c r="E81" i="21"/>
  <c r="E114" i="21"/>
  <c r="C71" i="19"/>
  <c r="E50" i="21"/>
  <c r="E82" i="21"/>
  <c r="E115" i="21"/>
  <c r="E14" i="21"/>
  <c r="D14" i="21" s="1"/>
  <c r="E17" i="21"/>
  <c r="E21" i="21"/>
  <c r="E25" i="21"/>
  <c r="E46" i="21"/>
  <c r="E51" i="21"/>
  <c r="E83" i="21"/>
  <c r="E108" i="21"/>
  <c r="D108" i="21" s="1"/>
  <c r="E116" i="21"/>
  <c r="E52" i="21"/>
  <c r="E77" i="21"/>
  <c r="D77" i="21" s="1"/>
  <c r="D78" i="21" s="1"/>
  <c r="D79" i="21" s="1"/>
  <c r="D80" i="21" s="1"/>
  <c r="D81" i="21" s="1"/>
  <c r="E84" i="21"/>
  <c r="E109" i="21"/>
  <c r="E117" i="21"/>
  <c r="E47" i="21"/>
  <c r="E53" i="21"/>
  <c r="E85" i="21"/>
  <c r="E110" i="21"/>
  <c r="G38" i="23"/>
  <c r="I38" i="23" s="1"/>
  <c r="H62" i="20"/>
  <c r="F119" i="20"/>
  <c r="H103" i="20"/>
  <c r="H93" i="20"/>
  <c r="G49" i="19"/>
  <c r="I49" i="19" s="1"/>
  <c r="A25" i="22"/>
  <c r="A26" i="22" s="1"/>
  <c r="A26" i="21"/>
  <c r="A31" i="21" s="1"/>
  <c r="F31" i="21"/>
  <c r="A35" i="19"/>
  <c r="A36" i="19" s="1"/>
  <c r="A37" i="19" s="1"/>
  <c r="A38" i="19" s="1"/>
  <c r="C140" i="20"/>
  <c r="H140" i="20" s="1"/>
  <c r="H138" i="20"/>
  <c r="H26" i="21"/>
  <c r="F142" i="20"/>
  <c r="C119" i="20"/>
  <c r="H101" i="20"/>
  <c r="H104" i="20"/>
  <c r="I68" i="22"/>
  <c r="C112" i="19"/>
  <c r="F88" i="19"/>
  <c r="C24" i="22"/>
  <c r="G31" i="23"/>
  <c r="I31" i="23" s="1"/>
  <c r="D40" i="23"/>
  <c r="J31" i="23"/>
  <c r="J40" i="23" s="1"/>
  <c r="H102" i="20"/>
  <c r="C70" i="19" l="1"/>
  <c r="C151" i="19"/>
  <c r="C152" i="19"/>
  <c r="I131" i="19"/>
  <c r="F151" i="19"/>
  <c r="A24" i="20"/>
  <c r="A25" i="20" s="1"/>
  <c r="A26" i="20" s="1"/>
  <c r="A27" i="20" s="1"/>
  <c r="A28" i="20" s="1"/>
  <c r="A29" i="20" s="1"/>
  <c r="A30" i="20" s="1"/>
  <c r="A31" i="20" s="1"/>
  <c r="A33" i="20" s="1"/>
  <c r="A35" i="20" s="1"/>
  <c r="A36" i="20" s="1"/>
  <c r="A37" i="20" s="1"/>
  <c r="A38" i="20" s="1"/>
  <c r="A39" i="20" s="1"/>
  <c r="A40" i="20" s="1"/>
  <c r="A41" i="20" s="1"/>
  <c r="A42" i="20" s="1"/>
  <c r="A43" i="20" s="1"/>
  <c r="A44" i="20" s="1"/>
  <c r="A45" i="20" s="1"/>
  <c r="A46" i="20" s="1"/>
  <c r="A47" i="20" s="1"/>
  <c r="A48" i="20" s="1"/>
  <c r="A49" i="20" s="1"/>
  <c r="A50" i="20" s="1"/>
  <c r="A51" i="20" s="1"/>
  <c r="F81" i="21"/>
  <c r="I81" i="21" s="1"/>
  <c r="F112" i="19"/>
  <c r="F116" i="19" s="1"/>
  <c r="F118" i="19" s="1"/>
  <c r="I88" i="19"/>
  <c r="F77" i="21"/>
  <c r="I77" i="21" s="1"/>
  <c r="J77" i="21" s="1"/>
  <c r="E89" i="21"/>
  <c r="G70" i="19"/>
  <c r="F80" i="21"/>
  <c r="I80" i="21" s="1"/>
  <c r="D82" i="21"/>
  <c r="D83" i="21" s="1"/>
  <c r="F78" i="21"/>
  <c r="I78" i="21" s="1"/>
  <c r="F79" i="21"/>
  <c r="I79" i="21" s="1"/>
  <c r="E26" i="21"/>
  <c r="E120" i="21"/>
  <c r="A37" i="22"/>
  <c r="A38" i="22" s="1"/>
  <c r="A39" i="22" s="1"/>
  <c r="A40" i="22" s="1"/>
  <c r="A41" i="22" s="1"/>
  <c r="A42" i="22" s="1"/>
  <c r="A43" i="22" s="1"/>
  <c r="A44" i="22" s="1"/>
  <c r="A45" i="22" s="1"/>
  <c r="A46" i="22" s="1"/>
  <c r="A47" i="22" s="1"/>
  <c r="A48" i="22" s="1"/>
  <c r="A49" i="22" s="1"/>
  <c r="A50" i="22" s="1"/>
  <c r="A51" i="22" s="1"/>
  <c r="A52" i="22" s="1"/>
  <c r="A53" i="22" s="1"/>
  <c r="A54" i="22" s="1"/>
  <c r="A55" i="22" s="1"/>
  <c r="A56" i="22" s="1"/>
  <c r="A57" i="22" s="1"/>
  <c r="A58" i="22" s="1"/>
  <c r="A59" i="22" s="1"/>
  <c r="A60" i="22" s="1"/>
  <c r="A61" i="22" s="1"/>
  <c r="A62" i="22" s="1"/>
  <c r="A63" i="22" s="1"/>
  <c r="A64" i="22" s="1"/>
  <c r="A65" i="22" s="1"/>
  <c r="A66" i="22" s="1"/>
  <c r="A67" i="22" s="1"/>
  <c r="A68" i="22" s="1"/>
  <c r="A79" i="22" s="1"/>
  <c r="C142" i="20"/>
  <c r="H142" i="20" s="1"/>
  <c r="B26" i="22"/>
  <c r="E57" i="21"/>
  <c r="F14" i="21"/>
  <c r="I14" i="21" s="1"/>
  <c r="J14" i="21" s="1"/>
  <c r="D15" i="21"/>
  <c r="D46" i="21"/>
  <c r="F45" i="21"/>
  <c r="I45" i="21" s="1"/>
  <c r="J45" i="21" s="1"/>
  <c r="G40" i="23"/>
  <c r="I40" i="23"/>
  <c r="H119" i="20"/>
  <c r="A39" i="19"/>
  <c r="A40" i="19" s="1"/>
  <c r="A49" i="19" s="1"/>
  <c r="A50" i="19" s="1"/>
  <c r="A51" i="19" s="1"/>
  <c r="A52" i="19" s="1"/>
  <c r="A53" i="19" s="1"/>
  <c r="A54" i="19" s="1"/>
  <c r="A55" i="19" s="1"/>
  <c r="A56" i="19" s="1"/>
  <c r="A57" i="19" s="1"/>
  <c r="A58" i="19" s="1"/>
  <c r="A59" i="19" s="1"/>
  <c r="A60" i="19" s="1"/>
  <c r="A61" i="19" s="1"/>
  <c r="A62" i="19" s="1"/>
  <c r="A63" i="19" s="1"/>
  <c r="A64" i="19" s="1"/>
  <c r="A65" i="19" s="1"/>
  <c r="A66" i="19" s="1"/>
  <c r="A67" i="19" s="1"/>
  <c r="A68" i="19" s="1"/>
  <c r="A69" i="19" s="1"/>
  <c r="A70" i="19" s="1"/>
  <c r="A32" i="21"/>
  <c r="A33" i="21" s="1"/>
  <c r="A40" i="21" s="1"/>
  <c r="A41" i="21" s="1"/>
  <c r="A42" i="21" s="1"/>
  <c r="A43" i="21" s="1"/>
  <c r="A44" i="21" s="1"/>
  <c r="A45" i="21" s="1"/>
  <c r="A46" i="21" s="1"/>
  <c r="A47" i="21" s="1"/>
  <c r="A48" i="21" s="1"/>
  <c r="A49" i="21" s="1"/>
  <c r="A50" i="21" s="1"/>
  <c r="A51" i="21" s="1"/>
  <c r="A52" i="21" s="1"/>
  <c r="A53" i="21" s="1"/>
  <c r="A54" i="21" s="1"/>
  <c r="A55" i="21" s="1"/>
  <c r="A56" i="21" s="1"/>
  <c r="G24" i="22"/>
  <c r="G26" i="22" s="1"/>
  <c r="I26" i="22" s="1"/>
  <c r="H151" i="19"/>
  <c r="H155" i="19" s="1"/>
  <c r="I127" i="19"/>
  <c r="F108" i="21"/>
  <c r="I108" i="21" s="1"/>
  <c r="D109" i="21"/>
  <c r="C89" i="22"/>
  <c r="G89" i="22"/>
  <c r="B38" i="19"/>
  <c r="F155" i="19" l="1"/>
  <c r="F157" i="19" s="1"/>
  <c r="A52" i="20"/>
  <c r="A53" i="20" s="1"/>
  <c r="A54" i="20" s="1"/>
  <c r="A55" i="20" s="1"/>
  <c r="A56" i="20" s="1"/>
  <c r="A57" i="20" s="1"/>
  <c r="A58" i="20" s="1"/>
  <c r="A59" i="20" s="1"/>
  <c r="A60" i="20" s="1"/>
  <c r="A61" i="20" s="1"/>
  <c r="A62" i="20" s="1"/>
  <c r="A64" i="20" s="1"/>
  <c r="A66" i="20" s="1"/>
  <c r="A67" i="20" s="1"/>
  <c r="A68" i="20" s="1"/>
  <c r="A69" i="20" s="1"/>
  <c r="A70" i="20" s="1"/>
  <c r="A71" i="20" s="1"/>
  <c r="A72" i="20" s="1"/>
  <c r="A73" i="20" s="1"/>
  <c r="A74" i="20" s="1"/>
  <c r="A75" i="20" s="1"/>
  <c r="A76" i="20" s="1"/>
  <c r="A77" i="20" s="1"/>
  <c r="A78" i="20" s="1"/>
  <c r="A79" i="20" s="1"/>
  <c r="D159" i="1"/>
  <c r="C159" i="1"/>
  <c r="J78" i="21"/>
  <c r="J79" i="21" s="1"/>
  <c r="J80" i="21" s="1"/>
  <c r="J81" i="21" s="1"/>
  <c r="F82" i="21"/>
  <c r="I82" i="21" s="1"/>
  <c r="B68" i="22"/>
  <c r="F33" i="21"/>
  <c r="D47" i="21"/>
  <c r="F46" i="21"/>
  <c r="I46" i="21" s="1"/>
  <c r="J46" i="21" s="1"/>
  <c r="D16" i="21"/>
  <c r="F15" i="21"/>
  <c r="I15" i="21" s="1"/>
  <c r="J15" i="21" s="1"/>
  <c r="A80" i="22"/>
  <c r="A81" i="22" s="1"/>
  <c r="A82" i="22" s="1"/>
  <c r="A84" i="22" s="1"/>
  <c r="A85" i="22" s="1"/>
  <c r="A86" i="22" s="1"/>
  <c r="A87" i="22" s="1"/>
  <c r="A89" i="22" s="1"/>
  <c r="J108" i="21"/>
  <c r="A57" i="21"/>
  <c r="A62" i="21" s="1"/>
  <c r="F62" i="21"/>
  <c r="D84" i="21"/>
  <c r="F83" i="21"/>
  <c r="I83" i="21" s="1"/>
  <c r="B40" i="19"/>
  <c r="F109" i="21"/>
  <c r="I109" i="21" s="1"/>
  <c r="D110" i="21"/>
  <c r="A71" i="19"/>
  <c r="A72" i="19" s="1"/>
  <c r="A73" i="19" s="1"/>
  <c r="A74" i="19" s="1"/>
  <c r="A80" i="20" l="1"/>
  <c r="A81" i="20" s="1"/>
  <c r="A82" i="20" s="1"/>
  <c r="A83" i="20" s="1"/>
  <c r="A84" i="20" s="1"/>
  <c r="A85" i="20" s="1"/>
  <c r="A86" i="20" s="1"/>
  <c r="A87" i="20" s="1"/>
  <c r="A88" i="20" s="1"/>
  <c r="A89" i="20" s="1"/>
  <c r="A90" i="20" s="1"/>
  <c r="A91" i="20" s="1"/>
  <c r="A92" i="20" s="1"/>
  <c r="A93" i="20" s="1"/>
  <c r="A99"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1" i="20" s="1"/>
  <c r="A123" i="20" s="1"/>
  <c r="A124" i="20" s="1"/>
  <c r="A125" i="20" s="1"/>
  <c r="A126" i="20" s="1"/>
  <c r="A127" i="20" s="1"/>
  <c r="A128" i="20" s="1"/>
  <c r="A129" i="20" s="1"/>
  <c r="A130" i="20" s="1"/>
  <c r="A131" i="20" s="1"/>
  <c r="A132" i="20" s="1"/>
  <c r="A133" i="20" s="1"/>
  <c r="A134" i="20" s="1"/>
  <c r="A135" i="20" s="1"/>
  <c r="A136" i="20" s="1"/>
  <c r="A137" i="20" s="1"/>
  <c r="A138" i="20" s="1"/>
  <c r="A140" i="20" s="1"/>
  <c r="A142" i="20" s="1"/>
  <c r="J82" i="21"/>
  <c r="J83" i="21" s="1"/>
  <c r="B89" i="22"/>
  <c r="B74" i="19"/>
  <c r="D17" i="21"/>
  <c r="F16" i="21"/>
  <c r="I16" i="21" s="1"/>
  <c r="J16" i="21" s="1"/>
  <c r="J109" i="21"/>
  <c r="F47" i="21"/>
  <c r="I47" i="21" s="1"/>
  <c r="J47" i="21" s="1"/>
  <c r="D48" i="21"/>
  <c r="F110" i="21"/>
  <c r="I110" i="21" s="1"/>
  <c r="D111" i="21"/>
  <c r="F84" i="21"/>
  <c r="I84" i="21" s="1"/>
  <c r="D85" i="21"/>
  <c r="A75" i="19"/>
  <c r="A76" i="19" s="1"/>
  <c r="A87" i="19" s="1"/>
  <c r="A88" i="19" s="1"/>
  <c r="A89" i="19" s="1"/>
  <c r="A90" i="19" s="1"/>
  <c r="A91" i="19" s="1"/>
  <c r="A92" i="19" s="1"/>
  <c r="A93" i="19" s="1"/>
  <c r="A94" i="19" s="1"/>
  <c r="A95" i="19" s="1"/>
  <c r="A96" i="19" s="1"/>
  <c r="A97" i="19" s="1"/>
  <c r="A98" i="19" s="1"/>
  <c r="A99" i="19" s="1"/>
  <c r="A100" i="19" s="1"/>
  <c r="A101" i="19" s="1"/>
  <c r="A102" i="19" s="1"/>
  <c r="A103" i="19" s="1"/>
  <c r="A104" i="19" s="1"/>
  <c r="A105" i="19" s="1"/>
  <c r="A106" i="19" s="1"/>
  <c r="A107" i="19" s="1"/>
  <c r="A108" i="19" s="1"/>
  <c r="A109" i="19" s="1"/>
  <c r="A110" i="19" s="1"/>
  <c r="A111" i="19" s="1"/>
  <c r="A112" i="19" s="1"/>
  <c r="A63" i="21"/>
  <c r="A64" i="21" s="1"/>
  <c r="A72" i="21" s="1"/>
  <c r="A73" i="21" s="1"/>
  <c r="A74" i="21" s="1"/>
  <c r="A75" i="21" s="1"/>
  <c r="A76" i="21" s="1"/>
  <c r="A77" i="21" s="1"/>
  <c r="A78" i="21" s="1"/>
  <c r="A79" i="21" s="1"/>
  <c r="A80" i="21" s="1"/>
  <c r="A81" i="21" s="1"/>
  <c r="A82" i="21" s="1"/>
  <c r="A83" i="21" s="1"/>
  <c r="A84" i="21" s="1"/>
  <c r="A85" i="21" s="1"/>
  <c r="A86" i="21" s="1"/>
  <c r="A87" i="21" s="1"/>
  <c r="A88" i="21" s="1"/>
  <c r="F48" i="21" l="1"/>
  <c r="I48" i="21" s="1"/>
  <c r="J48" i="21" s="1"/>
  <c r="D49" i="21"/>
  <c r="F64" i="21"/>
  <c r="F17" i="21"/>
  <c r="I17" i="21" s="1"/>
  <c r="J17" i="21" s="1"/>
  <c r="D18" i="21"/>
  <c r="A113" i="19"/>
  <c r="A114" i="19" s="1"/>
  <c r="A115" i="19" s="1"/>
  <c r="A116" i="19" s="1"/>
  <c r="J110" i="21"/>
  <c r="J84" i="21"/>
  <c r="D112" i="21"/>
  <c r="F111" i="21"/>
  <c r="I111" i="21" s="1"/>
  <c r="B76" i="19"/>
  <c r="F94" i="21"/>
  <c r="A89" i="21"/>
  <c r="A94" i="21" s="1"/>
  <c r="F85" i="21"/>
  <c r="I85" i="21" s="1"/>
  <c r="D86" i="21"/>
  <c r="D19" i="21" l="1"/>
  <c r="F18" i="21"/>
  <c r="I18" i="21" s="1"/>
  <c r="J18" i="21" s="1"/>
  <c r="J111" i="21"/>
  <c r="F49" i="21"/>
  <c r="I49" i="21" s="1"/>
  <c r="J49" i="21" s="1"/>
  <c r="D50" i="21"/>
  <c r="B116" i="19"/>
  <c r="F86" i="21"/>
  <c r="I86" i="21" s="1"/>
  <c r="D87" i="21"/>
  <c r="F112" i="21"/>
  <c r="I112" i="21" s="1"/>
  <c r="D113" i="21"/>
  <c r="A95" i="21"/>
  <c r="A96" i="21" s="1"/>
  <c r="A103" i="21" s="1"/>
  <c r="A104" i="21" s="1"/>
  <c r="A105" i="21" s="1"/>
  <c r="A106" i="21" s="1"/>
  <c r="A107" i="21" s="1"/>
  <c r="A108" i="21" s="1"/>
  <c r="A109" i="21" s="1"/>
  <c r="A110" i="21" s="1"/>
  <c r="A111" i="21" s="1"/>
  <c r="A112" i="21" s="1"/>
  <c r="A113" i="21" s="1"/>
  <c r="A114" i="21" s="1"/>
  <c r="A115" i="21" s="1"/>
  <c r="A116" i="21" s="1"/>
  <c r="A117" i="21" s="1"/>
  <c r="A118" i="21" s="1"/>
  <c r="A119" i="21" s="1"/>
  <c r="J85" i="21"/>
  <c r="A117" i="19"/>
  <c r="A118" i="19" s="1"/>
  <c r="A127" i="19" s="1"/>
  <c r="A128" i="19" s="1"/>
  <c r="A129" i="19" s="1"/>
  <c r="A130" i="19" s="1"/>
  <c r="A131" i="19" s="1"/>
  <c r="A132" i="19" s="1"/>
  <c r="A133" i="19" s="1"/>
  <c r="A134" i="19" s="1"/>
  <c r="A135" i="19" s="1"/>
  <c r="A136" i="19" s="1"/>
  <c r="A137" i="19" s="1"/>
  <c r="A138" i="19" s="1"/>
  <c r="A139" i="19" s="1"/>
  <c r="A140" i="19" s="1"/>
  <c r="A141" i="19" s="1"/>
  <c r="A142" i="19" s="1"/>
  <c r="A143" i="19" s="1"/>
  <c r="A144" i="19" s="1"/>
  <c r="A145" i="19" s="1"/>
  <c r="A146" i="19" s="1"/>
  <c r="A147" i="19" s="1"/>
  <c r="A148" i="19" s="1"/>
  <c r="A149" i="19" s="1"/>
  <c r="A150" i="19" s="1"/>
  <c r="A151" i="19" s="1"/>
  <c r="J86" i="21" l="1"/>
  <c r="J112" i="21"/>
  <c r="D51" i="21"/>
  <c r="F50" i="21"/>
  <c r="I50" i="21" s="1"/>
  <c r="J50" i="21" s="1"/>
  <c r="B118" i="19"/>
  <c r="D20" i="21"/>
  <c r="F19" i="21"/>
  <c r="I19" i="21" s="1"/>
  <c r="J19" i="21" s="1"/>
  <c r="A120" i="21"/>
  <c r="A125" i="21" s="1"/>
  <c r="F125" i="21"/>
  <c r="D88" i="21"/>
  <c r="F88" i="21" s="1"/>
  <c r="I88" i="21" s="1"/>
  <c r="F87" i="21"/>
  <c r="I87" i="21" s="1"/>
  <c r="F96" i="21"/>
  <c r="F113" i="21"/>
  <c r="I113" i="21" s="1"/>
  <c r="D114" i="21"/>
  <c r="A152" i="19"/>
  <c r="A153" i="19" s="1"/>
  <c r="A154" i="19" s="1"/>
  <c r="A155" i="19" s="1"/>
  <c r="J113" i="21" l="1"/>
  <c r="J87" i="21"/>
  <c r="J88" i="21" s="1"/>
  <c r="J94" i="21" s="1"/>
  <c r="J96" i="21" s="1"/>
  <c r="C154" i="19" s="1"/>
  <c r="C155" i="19" s="1"/>
  <c r="H42" i="5" s="1"/>
  <c r="B155" i="19"/>
  <c r="D21" i="21"/>
  <c r="F20" i="21"/>
  <c r="I20" i="21" s="1"/>
  <c r="J20" i="21" s="1"/>
  <c r="F51" i="21"/>
  <c r="I51" i="21" s="1"/>
  <c r="J51" i="21" s="1"/>
  <c r="D52" i="21"/>
  <c r="I89" i="21"/>
  <c r="A126" i="21"/>
  <c r="A127" i="21" s="1"/>
  <c r="F114" i="21"/>
  <c r="I114" i="21" s="1"/>
  <c r="D115" i="21"/>
  <c r="A156" i="19"/>
  <c r="A157" i="19" s="1"/>
  <c r="D89" i="21"/>
  <c r="J114" i="21" l="1"/>
  <c r="F52" i="21"/>
  <c r="I52" i="21" s="1"/>
  <c r="J52" i="21" s="1"/>
  <c r="D53" i="21"/>
  <c r="F21" i="21"/>
  <c r="I21" i="21" s="1"/>
  <c r="J21" i="21" s="1"/>
  <c r="D22" i="21"/>
  <c r="B157" i="19"/>
  <c r="D116" i="21"/>
  <c r="F115" i="21"/>
  <c r="I115" i="21" s="1"/>
  <c r="F127" i="21"/>
  <c r="J115" i="21" l="1"/>
  <c r="D23" i="21"/>
  <c r="F22" i="21"/>
  <c r="I22" i="21" s="1"/>
  <c r="J22" i="21" s="1"/>
  <c r="D54" i="21"/>
  <c r="F53" i="21"/>
  <c r="I53" i="21" s="1"/>
  <c r="J53" i="21" s="1"/>
  <c r="F116" i="21"/>
  <c r="I116" i="21" s="1"/>
  <c r="D117" i="21"/>
  <c r="J116" i="21" l="1"/>
  <c r="D24" i="21"/>
  <c r="F23" i="21"/>
  <c r="I23" i="21" s="1"/>
  <c r="J23" i="21" s="1"/>
  <c r="D55" i="21"/>
  <c r="F54" i="21"/>
  <c r="I54" i="21" s="1"/>
  <c r="J54" i="21" s="1"/>
  <c r="F117" i="21"/>
  <c r="I117" i="21" s="1"/>
  <c r="D118" i="21"/>
  <c r="J117" i="21" l="1"/>
  <c r="D56" i="21"/>
  <c r="F56" i="21" s="1"/>
  <c r="I56" i="21" s="1"/>
  <c r="F55" i="21"/>
  <c r="I55" i="21" s="1"/>
  <c r="J55" i="21" s="1"/>
  <c r="D25" i="21"/>
  <c r="F24" i="21"/>
  <c r="I24" i="21" s="1"/>
  <c r="J24" i="21" s="1"/>
  <c r="D119" i="21"/>
  <c r="F118" i="21"/>
  <c r="I118" i="21" s="1"/>
  <c r="J118" i="21" l="1"/>
  <c r="D57" i="21"/>
  <c r="J56" i="21"/>
  <c r="J62" i="21" s="1"/>
  <c r="J64" i="21" s="1"/>
  <c r="C115" i="19" s="1"/>
  <c r="C116" i="19" s="1"/>
  <c r="G42" i="5" s="1"/>
  <c r="I57" i="21"/>
  <c r="F25" i="21"/>
  <c r="I25" i="21" s="1"/>
  <c r="I26" i="21" s="1"/>
  <c r="D26" i="21"/>
  <c r="F119" i="21"/>
  <c r="I119" i="21" s="1"/>
  <c r="I120" i="21" s="1"/>
  <c r="D120" i="21"/>
  <c r="J25" i="21" l="1"/>
  <c r="J31" i="21" s="1"/>
  <c r="J33" i="21" s="1"/>
  <c r="C73" i="19" s="1"/>
  <c r="C74" i="19" s="1"/>
  <c r="F42" i="5" s="1"/>
  <c r="J119" i="21"/>
  <c r="J125" i="21" s="1"/>
  <c r="J127" i="21" s="1"/>
  <c r="C37" i="19" s="1"/>
  <c r="C38" i="19" s="1"/>
  <c r="E42" i="5" s="1"/>
  <c r="G73" i="19" l="1"/>
  <c r="G74" i="19" s="1"/>
  <c r="J215" i="1" l="1"/>
  <c r="J174" i="1"/>
  <c r="J109" i="1"/>
  <c r="J55" i="1"/>
  <c r="G39" i="10" l="1"/>
  <c r="G41" i="10"/>
  <c r="D44" i="10" l="1"/>
  <c r="H21" i="6"/>
  <c r="E33" i="10" l="1"/>
  <c r="A3" i="6" l="1"/>
  <c r="E46" i="5"/>
  <c r="E45" i="5"/>
  <c r="B3" i="5"/>
  <c r="E47" i="5" s="1"/>
  <c r="B3" i="3"/>
  <c r="A3" i="9" l="1"/>
  <c r="C60" i="10" l="1"/>
  <c r="D17" i="10" s="1"/>
  <c r="H30" i="10" s="1"/>
  <c r="H29" i="10" l="1"/>
  <c r="H27" i="10"/>
  <c r="H28" i="10"/>
  <c r="H24" i="10"/>
  <c r="H20" i="10"/>
  <c r="H23" i="10"/>
  <c r="H22" i="10"/>
  <c r="B41" i="7"/>
  <c r="B38" i="7"/>
  <c r="B23" i="7"/>
  <c r="B42" i="7" l="1"/>
  <c r="E14" i="14" l="1"/>
  <c r="E22" i="14"/>
  <c r="E25" i="14" s="1"/>
  <c r="F21" i="14"/>
  <c r="F17" i="14"/>
  <c r="F9" i="14"/>
  <c r="F10" i="14"/>
  <c r="F11" i="14"/>
  <c r="F13" i="14"/>
  <c r="F8" i="14"/>
  <c r="A8" i="14"/>
  <c r="A9" i="14" s="1"/>
  <c r="A10" i="14" s="1"/>
  <c r="A11" i="14" s="1"/>
  <c r="A12" i="14" s="1"/>
  <c r="A13" i="14" s="1"/>
  <c r="A14" i="14" s="1"/>
  <c r="E11" i="9"/>
  <c r="D11" i="9"/>
  <c r="E27" i="14" l="1"/>
  <c r="A16" i="14"/>
  <c r="A17" i="14" s="1"/>
  <c r="A18" i="14" s="1"/>
  <c r="A19" i="14" s="1"/>
  <c r="A20" i="14" s="1"/>
  <c r="A21" i="14" s="1"/>
  <c r="A22" i="14" s="1"/>
  <c r="A23" i="14" l="1"/>
  <c r="A24" i="14" s="1"/>
  <c r="A25" i="14" s="1"/>
  <c r="A3" i="14"/>
  <c r="C25" i="14" l="1"/>
  <c r="A27" i="14"/>
  <c r="C27" i="14"/>
  <c r="F19" i="13"/>
  <c r="F21" i="13" s="1"/>
  <c r="L73" i="2" l="1"/>
  <c r="D6" i="7" l="1"/>
  <c r="A3" i="7"/>
  <c r="B43" i="7"/>
  <c r="B44" i="7" s="1"/>
  <c r="B45" i="7" s="1"/>
  <c r="B46" i="7" s="1"/>
  <c r="B47" i="7" s="1"/>
  <c r="B48" i="7" s="1"/>
  <c r="B49" i="7" s="1"/>
  <c r="B50" i="7" s="1"/>
  <c r="B51" i="7" s="1"/>
  <c r="B52" i="7" s="1"/>
  <c r="G24" i="7"/>
  <c r="G25" i="7" s="1"/>
  <c r="G26" i="7" s="1"/>
  <c r="G27" i="7" s="1"/>
  <c r="G28" i="7" s="1"/>
  <c r="G29" i="7" s="1"/>
  <c r="G30" i="7" s="1"/>
  <c r="G31" i="7" s="1"/>
  <c r="G32" i="7" s="1"/>
  <c r="G33" i="7" s="1"/>
  <c r="G34" i="7" s="1"/>
  <c r="B24" i="7"/>
  <c r="B25" i="7" s="1"/>
  <c r="B26" i="7" s="1"/>
  <c r="B27" i="7" s="1"/>
  <c r="B28" i="7" s="1"/>
  <c r="B29" i="7" s="1"/>
  <c r="B30" i="7" s="1"/>
  <c r="B31" i="7" s="1"/>
  <c r="B32" i="7" s="1"/>
  <c r="B33" i="7" s="1"/>
  <c r="B34" i="7" s="1"/>
  <c r="A53" i="5" l="1"/>
  <c r="A54" i="5" s="1"/>
  <c r="A55" i="5" s="1"/>
  <c r="A56" i="5" s="1"/>
  <c r="A57" i="5" s="1"/>
  <c r="A58" i="5" s="1"/>
  <c r="A59" i="5" s="1"/>
  <c r="A60" i="5" s="1"/>
  <c r="A61" i="5" s="1"/>
  <c r="A62" i="5" s="1"/>
  <c r="A63" i="5" s="1"/>
  <c r="A64" i="5" s="1"/>
  <c r="A65" i="5" s="1"/>
  <c r="A73" i="5" l="1"/>
  <c r="A72" i="5"/>
  <c r="A71" i="5"/>
  <c r="B44" i="1"/>
  <c r="B43" i="1"/>
  <c r="B42" i="1"/>
  <c r="B41" i="1"/>
  <c r="B40" i="1"/>
  <c r="B39" i="1"/>
  <c r="B38" i="1"/>
  <c r="A30" i="1"/>
  <c r="C31" i="1" s="1"/>
  <c r="A31" i="1" l="1"/>
  <c r="A27" i="4"/>
  <c r="A29" i="4" s="1"/>
  <c r="A31" i="4" s="1"/>
  <c r="K25" i="4"/>
  <c r="E25" i="4"/>
  <c r="K21" i="4"/>
  <c r="L75" i="2"/>
  <c r="M75" i="2"/>
  <c r="L76" i="2"/>
  <c r="M76" i="2"/>
  <c r="L77" i="2"/>
  <c r="M77" i="2"/>
  <c r="L78" i="2"/>
  <c r="M78" i="2"/>
  <c r="L79" i="2"/>
  <c r="M79" i="2"/>
  <c r="L80" i="2"/>
  <c r="M80" i="2"/>
  <c r="L81" i="2"/>
  <c r="M81" i="2"/>
  <c r="L82" i="2"/>
  <c r="M82" i="2"/>
  <c r="M74" i="2"/>
  <c r="L74" i="2"/>
  <c r="L65" i="2"/>
  <c r="L61" i="2"/>
  <c r="L64" i="2"/>
  <c r="L63" i="2"/>
  <c r="L60" i="2"/>
  <c r="L59" i="2"/>
  <c r="A67" i="2"/>
  <c r="L67" i="2" s="1"/>
  <c r="R65" i="2"/>
  <c r="M65" i="2"/>
  <c r="R61" i="2"/>
  <c r="R69" i="2" l="1"/>
  <c r="A69" i="2"/>
  <c r="L69" i="2" s="1"/>
  <c r="A32" i="1"/>
  <c r="A33" i="1" s="1"/>
  <c r="E29" i="8"/>
  <c r="E30" i="8" s="1"/>
  <c r="A23" i="8"/>
  <c r="A24" i="8" s="1"/>
  <c r="A25" i="8" s="1"/>
  <c r="A26" i="8" s="1"/>
  <c r="A27" i="8" s="1"/>
  <c r="A29" i="8" s="1"/>
  <c r="A30" i="8" s="1"/>
  <c r="A3" i="11"/>
  <c r="A3" i="10"/>
  <c r="C33" i="1" l="1"/>
  <c r="A36" i="1"/>
  <c r="A37" i="1" s="1"/>
  <c r="A38" i="1" s="1"/>
  <c r="C38" i="1" l="1"/>
  <c r="A39" i="1"/>
  <c r="A40" i="1" s="1"/>
  <c r="A41" i="1" s="1"/>
  <c r="A42" i="1" s="1"/>
  <c r="A43" i="1" s="1"/>
  <c r="A44" i="1" s="1"/>
  <c r="A48" i="1" s="1"/>
  <c r="A49" i="1" s="1"/>
  <c r="A50" i="1" s="1"/>
  <c r="C41" i="1"/>
  <c r="C44" i="1"/>
  <c r="C40" i="1"/>
  <c r="C43" i="1"/>
  <c r="C39" i="1"/>
  <c r="C42" i="1"/>
  <c r="C50" i="1" l="1"/>
  <c r="D13" i="9"/>
  <c r="A14" i="13" l="1"/>
  <c r="A15" i="13" s="1"/>
  <c r="A16" i="13" s="1"/>
  <c r="A17" i="13" s="1"/>
  <c r="A18" i="13" s="1"/>
  <c r="A19" i="13" s="1"/>
  <c r="A20" i="13" s="1"/>
  <c r="A21" i="13" s="1"/>
  <c r="A22" i="13" s="1"/>
  <c r="A23" i="13" s="1"/>
  <c r="A24" i="13" s="1"/>
  <c r="A25" i="13" s="1"/>
  <c r="A26" i="13" s="1"/>
  <c r="A27" i="13" s="1"/>
  <c r="A28" i="13" s="1"/>
  <c r="A29" i="13" s="1"/>
  <c r="A30" i="13" s="1"/>
  <c r="F24" i="13"/>
  <c r="F28" i="13" s="1"/>
  <c r="A3" i="13"/>
  <c r="E24" i="3"/>
  <c r="F30" i="13" l="1"/>
  <c r="A38" i="4"/>
  <c r="B36" i="4"/>
  <c r="F4" i="4"/>
  <c r="A13" i="11"/>
  <c r="A14" i="11" s="1"/>
  <c r="A20" i="11" s="1"/>
  <c r="A21" i="11" s="1"/>
  <c r="A22" i="11" s="1"/>
  <c r="A23" i="11" s="1"/>
  <c r="A24" i="11" s="1"/>
  <c r="A25" i="11" s="1"/>
  <c r="A26" i="11" s="1"/>
  <c r="A27" i="11" s="1"/>
  <c r="A28" i="11" s="1"/>
  <c r="A29" i="11" s="1"/>
  <c r="A30" i="11" s="1"/>
  <c r="A31" i="11" s="1"/>
  <c r="A32" i="11" s="1"/>
  <c r="A33" i="11" s="1"/>
  <c r="A35" i="11" s="1"/>
  <c r="A12" i="10"/>
  <c r="A13" i="10" s="1"/>
  <c r="A16" i="10" s="1"/>
  <c r="A17" i="10" s="1"/>
  <c r="A20" i="10" s="1"/>
  <c r="A21" i="10" s="1"/>
  <c r="A22" i="10" s="1"/>
  <c r="A23" i="10" s="1"/>
  <c r="A24" i="10" s="1"/>
  <c r="A25" i="10" s="1"/>
  <c r="A26" i="10" s="1"/>
  <c r="A27" i="10" s="1"/>
  <c r="A28" i="10" s="1"/>
  <c r="A29" i="10" s="1"/>
  <c r="A30" i="10" s="1"/>
  <c r="A31" i="10" s="1"/>
  <c r="A32" i="10" s="1"/>
  <c r="A33" i="10" s="1"/>
  <c r="A38" i="10" s="1"/>
  <c r="A39" i="10" s="1"/>
  <c r="A40" i="10" s="1"/>
  <c r="A41" i="10" s="1"/>
  <c r="A42" i="10" s="1"/>
  <c r="A43" i="10" s="1"/>
  <c r="A44" i="10" s="1"/>
  <c r="A45" i="10" s="1"/>
  <c r="A46" i="10" s="1"/>
  <c r="A47" i="10" s="1"/>
  <c r="A48" i="10" s="1"/>
  <c r="A49" i="10" s="1"/>
  <c r="A50" i="10" s="1"/>
  <c r="A51" i="10" s="1"/>
  <c r="A52" i="10" s="1"/>
  <c r="A53" i="10" s="1"/>
  <c r="A54" i="10" s="1"/>
  <c r="G50" i="10"/>
  <c r="G49" i="10"/>
  <c r="G48" i="10"/>
  <c r="G47" i="10"/>
  <c r="H44" i="10"/>
  <c r="H51" i="10" s="1"/>
  <c r="D51" i="10"/>
  <c r="G43" i="10"/>
  <c r="I43" i="10" s="1"/>
  <c r="G42" i="10"/>
  <c r="I42" i="10" s="1"/>
  <c r="I41" i="10"/>
  <c r="G40" i="10"/>
  <c r="I40" i="10" s="1"/>
  <c r="I39" i="10"/>
  <c r="G38" i="10"/>
  <c r="I38" i="10" s="1"/>
  <c r="F22" i="10"/>
  <c r="G22" i="10" s="1"/>
  <c r="F21" i="10"/>
  <c r="G21" i="10" s="1"/>
  <c r="F20" i="10"/>
  <c r="G20" i="10" s="1"/>
  <c r="D20" i="1" l="1"/>
  <c r="I20" i="1" s="1"/>
  <c r="D38" i="4"/>
  <c r="K17" i="4" s="1"/>
  <c r="K29" i="4" s="1"/>
  <c r="G44" i="10"/>
  <c r="G51" i="10" s="1"/>
  <c r="I44" i="10"/>
  <c r="I51" i="10" s="1"/>
  <c r="H21" i="10"/>
  <c r="F24" i="10" l="1"/>
  <c r="G24" i="10" s="1"/>
  <c r="F23" i="10"/>
  <c r="G23" i="10" s="1"/>
  <c r="H25" i="10"/>
  <c r="F25" i="10" l="1"/>
  <c r="G25" i="10" s="1"/>
  <c r="H26" i="10" l="1"/>
  <c r="F26" i="10"/>
  <c r="G26" i="10" s="1"/>
  <c r="F27" i="10"/>
  <c r="G27" i="10" s="1"/>
  <c r="F28" i="10" l="1"/>
  <c r="G28" i="10" s="1"/>
  <c r="F29" i="10" l="1"/>
  <c r="G29" i="10" s="1"/>
  <c r="F30" i="10" l="1"/>
  <c r="G30" i="10" s="1"/>
  <c r="G52" i="10" l="1"/>
  <c r="F31" i="10"/>
  <c r="G31" i="10" s="1"/>
  <c r="H31" i="10"/>
  <c r="G53" i="10" l="1"/>
  <c r="D12" i="10" s="1"/>
  <c r="H32" i="10"/>
  <c r="H33" i="10" s="1"/>
  <c r="F32" i="10"/>
  <c r="G32" i="10" s="1"/>
  <c r="G33" i="10" s="1"/>
  <c r="I33" i="10" l="1"/>
  <c r="D11" i="10" l="1"/>
  <c r="D13" i="10" s="1"/>
  <c r="F17" i="7" l="1"/>
  <c r="A3" i="12"/>
  <c r="G34" i="12"/>
  <c r="H34" i="12" s="1"/>
  <c r="G33" i="12"/>
  <c r="H33" i="12" s="1"/>
  <c r="G32" i="12"/>
  <c r="H32" i="12" s="1"/>
  <c r="G31" i="12"/>
  <c r="H31" i="12" s="1"/>
  <c r="G30" i="12"/>
  <c r="H30" i="12" s="1"/>
  <c r="G29" i="12"/>
  <c r="H29" i="12" s="1"/>
  <c r="G28" i="12"/>
  <c r="H28" i="12" s="1"/>
  <c r="G27" i="12"/>
  <c r="H27" i="12" s="1"/>
  <c r="G26" i="12"/>
  <c r="H26" i="12" s="1"/>
  <c r="G22" i="12"/>
  <c r="H22" i="12" s="1"/>
  <c r="G21" i="12"/>
  <c r="H21" i="12" s="1"/>
  <c r="G20" i="12"/>
  <c r="H20" i="12" s="1"/>
  <c r="G19" i="12"/>
  <c r="H19" i="12" s="1"/>
  <c r="G18" i="12"/>
  <c r="H18" i="12" s="1"/>
  <c r="G17" i="12"/>
  <c r="H17" i="12" s="1"/>
  <c r="G16" i="12"/>
  <c r="H16" i="12" s="1"/>
  <c r="G15" i="12"/>
  <c r="H15" i="12" s="1"/>
  <c r="F23" i="7" l="1"/>
  <c r="F24" i="7" s="1"/>
  <c r="F25" i="7" s="1"/>
  <c r="F26" i="7" s="1"/>
  <c r="F27" i="7" s="1"/>
  <c r="F28" i="7" s="1"/>
  <c r="F29" i="7" s="1"/>
  <c r="F30" i="7" s="1"/>
  <c r="F31" i="7" s="1"/>
  <c r="F32" i="7" s="1"/>
  <c r="I71" i="1"/>
  <c r="I66" i="1"/>
  <c r="I64" i="1"/>
  <c r="F33" i="7" l="1"/>
  <c r="F34" i="7" s="1"/>
  <c r="D86" i="1"/>
  <c r="F41" i="7" l="1"/>
  <c r="F42" i="7" s="1"/>
  <c r="F43" i="7" s="1"/>
  <c r="F44" i="7" s="1"/>
  <c r="F45" i="7" s="1"/>
  <c r="F46" i="7" s="1"/>
  <c r="F47" i="7" s="1"/>
  <c r="F48" i="7" s="1"/>
  <c r="F49" i="7" s="1"/>
  <c r="F50" i="7" s="1"/>
  <c r="F51" i="7" s="1"/>
  <c r="F52" i="7" s="1"/>
  <c r="F38" i="7"/>
  <c r="I72" i="5"/>
  <c r="I71" i="5"/>
  <c r="D125" i="1" l="1"/>
  <c r="E13" i="9"/>
  <c r="I78" i="1" l="1"/>
  <c r="I73" i="5" l="1"/>
  <c r="D90" i="1" s="1"/>
  <c r="D73" i="5"/>
  <c r="G90" i="1" l="1"/>
  <c r="I90" i="1" s="1"/>
  <c r="F5" i="2" l="1"/>
  <c r="F50" i="2" s="1"/>
  <c r="P50" i="2" s="1"/>
  <c r="F49" i="2"/>
  <c r="P49" i="2" s="1"/>
  <c r="F48" i="2"/>
  <c r="P48" i="2" s="1"/>
  <c r="I128" i="1"/>
  <c r="E17" i="3"/>
  <c r="E21" i="3" s="1"/>
  <c r="E28" i="3" s="1"/>
  <c r="A7" i="3"/>
  <c r="A10" i="3" s="1"/>
  <c r="A11" i="3" s="1"/>
  <c r="A12" i="3" s="1"/>
  <c r="A13" i="3" s="1"/>
  <c r="A14" i="3" s="1"/>
  <c r="D88" i="1"/>
  <c r="D87" i="1"/>
  <c r="D85" i="1"/>
  <c r="D153" i="1"/>
  <c r="U68" i="2"/>
  <c r="D3" i="8"/>
  <c r="A9" i="6"/>
  <c r="A11" i="6" s="1"/>
  <c r="A12" i="6" s="1"/>
  <c r="A13" i="6" s="1"/>
  <c r="I138" i="1"/>
  <c r="F128" i="1"/>
  <c r="D42" i="5"/>
  <c r="D93" i="1" s="1"/>
  <c r="I93" i="1" s="1"/>
  <c r="D57" i="1"/>
  <c r="D111" i="1" s="1"/>
  <c r="D176" i="1" s="1"/>
  <c r="D217" i="1" s="1"/>
  <c r="F118" i="1"/>
  <c r="F119" i="1" s="1"/>
  <c r="E23" i="3"/>
  <c r="D196" i="1"/>
  <c r="A184" i="1"/>
  <c r="A185" i="1" s="1"/>
  <c r="A186" i="1" s="1"/>
  <c r="A188" i="1" s="1"/>
  <c r="A190" i="1" s="1"/>
  <c r="A192" i="1" s="1"/>
  <c r="A118" i="1"/>
  <c r="A119" i="1" s="1"/>
  <c r="A120" i="1" s="1"/>
  <c r="A121" i="1" s="1"/>
  <c r="A122" i="1" s="1"/>
  <c r="A123" i="1" s="1"/>
  <c r="A124" i="1" s="1"/>
  <c r="A125" i="1" s="1"/>
  <c r="A14" i="1"/>
  <c r="A15" i="1" s="1"/>
  <c r="A65" i="1"/>
  <c r="F92" i="1"/>
  <c r="F91" i="1" s="1"/>
  <c r="G195" i="1"/>
  <c r="G194" i="1"/>
  <c r="G192" i="1"/>
  <c r="D80" i="1"/>
  <c r="D78" i="1"/>
  <c r="G73" i="1"/>
  <c r="I73" i="1" s="1"/>
  <c r="K109" i="1"/>
  <c r="K174" i="1"/>
  <c r="K215" i="1"/>
  <c r="K55" i="1"/>
  <c r="I80" i="1" l="1"/>
  <c r="A14" i="6"/>
  <c r="A15" i="6" s="1"/>
  <c r="A19" i="6" s="1"/>
  <c r="A20" i="6" s="1"/>
  <c r="A21" i="6" s="1"/>
  <c r="A22" i="6" s="1"/>
  <c r="A27" i="6" s="1"/>
  <c r="A28" i="6" s="1"/>
  <c r="A29" i="6" s="1"/>
  <c r="A30" i="6" s="1"/>
  <c r="A31" i="6" s="1"/>
  <c r="A32" i="6" s="1"/>
  <c r="A33" i="6" s="1"/>
  <c r="A34" i="6" s="1"/>
  <c r="A35" i="6" s="1"/>
  <c r="A36" i="6" s="1"/>
  <c r="A37" i="6" s="1"/>
  <c r="A38" i="6" s="1"/>
  <c r="A39" i="6" s="1"/>
  <c r="A40" i="6" s="1"/>
  <c r="A16" i="3"/>
  <c r="A17" i="3" s="1"/>
  <c r="A18" i="3" s="1"/>
  <c r="B25" i="3" s="1"/>
  <c r="D157" i="1"/>
  <c r="D164" i="1" s="1"/>
  <c r="A16" i="1"/>
  <c r="A17" i="1" s="1"/>
  <c r="A193" i="1"/>
  <c r="A194" i="1" s="1"/>
  <c r="A195" i="1" s="1"/>
  <c r="A196" i="1" s="1"/>
  <c r="A126" i="1"/>
  <c r="A127" i="1" s="1"/>
  <c r="A128" i="1" s="1"/>
  <c r="A129" i="1" s="1"/>
  <c r="A130" i="1" s="1"/>
  <c r="A66" i="1"/>
  <c r="A67" i="1" s="1"/>
  <c r="A68" i="1" s="1"/>
  <c r="E27" i="3"/>
  <c r="B21" i="3" l="1"/>
  <c r="A131" i="1"/>
  <c r="A132" i="1" s="1"/>
  <c r="A133" i="1" s="1"/>
  <c r="A135" i="1" s="1"/>
  <c r="A136" i="1" s="1"/>
  <c r="C196" i="1"/>
  <c r="A18" i="1"/>
  <c r="A20" i="1" s="1"/>
  <c r="A199" i="1"/>
  <c r="A200" i="1" s="1"/>
  <c r="A201" i="1" s="1"/>
  <c r="A202" i="1" s="1"/>
  <c r="A70" i="1"/>
  <c r="A71" i="1" s="1"/>
  <c r="C78" i="1" s="1"/>
  <c r="A19" i="3"/>
  <c r="A20" i="3" s="1"/>
  <c r="A21" i="3" s="1"/>
  <c r="D163" i="1"/>
  <c r="A21" i="1" l="1"/>
  <c r="A23" i="1" s="1"/>
  <c r="C132" i="1"/>
  <c r="A203" i="1"/>
  <c r="A204" i="1" s="1"/>
  <c r="A205" i="1" s="1"/>
  <c r="A207" i="1" s="1"/>
  <c r="A209" i="1" s="1"/>
  <c r="A137" i="1"/>
  <c r="A72" i="1"/>
  <c r="A73" i="1" s="1"/>
  <c r="A22" i="3"/>
  <c r="A23" i="3" s="1"/>
  <c r="A24" i="3" s="1"/>
  <c r="A25" i="3" s="1"/>
  <c r="F65" i="2" l="1"/>
  <c r="C79" i="1"/>
  <c r="C14" i="1"/>
  <c r="A211" i="1"/>
  <c r="C15" i="1" s="1"/>
  <c r="C205" i="1"/>
  <c r="A138" i="1"/>
  <c r="C139" i="1" s="1"/>
  <c r="A74" i="1"/>
  <c r="C80" i="1"/>
  <c r="I196" i="1"/>
  <c r="B26" i="3"/>
  <c r="B28" i="3"/>
  <c r="B27" i="3"/>
  <c r="A26" i="3"/>
  <c r="A27" i="3" s="1"/>
  <c r="A28" i="3" s="1"/>
  <c r="A29" i="3" s="1"/>
  <c r="A31" i="3" s="1"/>
  <c r="H156" i="19" l="1"/>
  <c r="H157" i="19" s="1"/>
  <c r="H117" i="19"/>
  <c r="H118" i="19" s="1"/>
  <c r="H75" i="19"/>
  <c r="H76" i="19" s="1"/>
  <c r="H39" i="19"/>
  <c r="H40" i="19" s="1"/>
  <c r="G124" i="1"/>
  <c r="G123" i="1"/>
  <c r="A139" i="1"/>
  <c r="C81" i="1"/>
  <c r="A75" i="1"/>
  <c r="G144" i="1"/>
  <c r="G125" i="1"/>
  <c r="G143" i="1"/>
  <c r="G122" i="1"/>
  <c r="G67" i="1"/>
  <c r="G137" i="1"/>
  <c r="G121" i="1"/>
  <c r="G127" i="1"/>
  <c r="G120" i="1"/>
  <c r="G74" i="1"/>
  <c r="A33" i="3"/>
  <c r="A34" i="3" s="1"/>
  <c r="A35" i="3" s="1"/>
  <c r="A36" i="3" s="1"/>
  <c r="A37" i="3" s="1"/>
  <c r="A38" i="3" s="1"/>
  <c r="B29" i="3"/>
  <c r="I65" i="2" l="1"/>
  <c r="A141" i="1"/>
  <c r="A142" i="1" s="1"/>
  <c r="A143" i="1" s="1"/>
  <c r="A144" i="1" s="1"/>
  <c r="A145" i="1" s="1"/>
  <c r="A146" i="1" s="1"/>
  <c r="A147" i="1" s="1"/>
  <c r="A148" i="1" s="1"/>
  <c r="A149" i="1" s="1"/>
  <c r="A150" i="1" s="1"/>
  <c r="A152" i="1" s="1"/>
  <c r="A153" i="1" s="1"/>
  <c r="A77" i="1"/>
  <c r="A78" i="1" s="1"/>
  <c r="A79" i="1" s="1"/>
  <c r="A80" i="1" s="1"/>
  <c r="A81" i="1" s="1"/>
  <c r="C82" i="1"/>
  <c r="I121" i="1"/>
  <c r="C150" i="1" l="1"/>
  <c r="B157" i="1"/>
  <c r="A154" i="1"/>
  <c r="A82" i="1"/>
  <c r="I122" i="1"/>
  <c r="I144" i="1"/>
  <c r="I143" i="1"/>
  <c r="A155" i="1" l="1"/>
  <c r="A156" i="1" s="1"/>
  <c r="A157" i="1" s="1"/>
  <c r="A84" i="1"/>
  <c r="A85" i="1" s="1"/>
  <c r="I125" i="1"/>
  <c r="A158" i="1" l="1"/>
  <c r="A159" i="1" s="1"/>
  <c r="A160" i="1" s="1"/>
  <c r="A161" i="1" s="1"/>
  <c r="A86" i="1"/>
  <c r="A87" i="1" s="1"/>
  <c r="A88" i="1" s="1"/>
  <c r="A89" i="1" s="1"/>
  <c r="A90" i="1" l="1"/>
  <c r="A91" i="1" s="1"/>
  <c r="A92" i="1" s="1"/>
  <c r="A93" i="1" s="1"/>
  <c r="C164" i="1"/>
  <c r="C162" i="1"/>
  <c r="C163" i="1"/>
  <c r="A162" i="1"/>
  <c r="A163" i="1" s="1"/>
  <c r="A164" i="1" s="1"/>
  <c r="A165" i="1" s="1"/>
  <c r="A94" i="1" l="1"/>
  <c r="C94" i="1"/>
  <c r="A167" i="1"/>
  <c r="A168" i="1" s="1"/>
  <c r="C170" i="1" s="1"/>
  <c r="C165" i="1"/>
  <c r="A96" i="1" l="1"/>
  <c r="A98" i="1" s="1"/>
  <c r="A99" i="1" s="1"/>
  <c r="A100" i="1" s="1"/>
  <c r="A101" i="1" s="1"/>
  <c r="A102" i="1" s="1"/>
  <c r="A104" i="1" s="1"/>
  <c r="C168" i="1" s="1"/>
  <c r="A170" i="1"/>
  <c r="C161" i="1"/>
  <c r="G204" i="1"/>
  <c r="H12" i="3" s="1"/>
  <c r="C102" i="1" l="1"/>
  <c r="C104" i="1"/>
  <c r="H25" i="4" l="1"/>
  <c r="E65" i="5" l="1"/>
  <c r="E54" i="5"/>
  <c r="E55" i="5"/>
  <c r="E56" i="5"/>
  <c r="E57" i="5"/>
  <c r="E58" i="5"/>
  <c r="E59" i="5"/>
  <c r="E60" i="5"/>
  <c r="E61" i="5"/>
  <c r="E62" i="5"/>
  <c r="E63" i="5"/>
  <c r="E64" i="5"/>
  <c r="E53" i="5" l="1"/>
  <c r="E66" i="5" s="1"/>
  <c r="D66" i="5"/>
  <c r="C66" i="5" l="1"/>
  <c r="C42" i="5" l="1"/>
  <c r="D92" i="1" s="1"/>
  <c r="I92" i="1" s="1"/>
  <c r="I124" i="1" l="1"/>
  <c r="J23" i="5" l="1"/>
  <c r="D74" i="1" s="1"/>
  <c r="I74" i="1" s="1"/>
  <c r="D23" i="5"/>
  <c r="D67" i="1" s="1"/>
  <c r="C23" i="5"/>
  <c r="D65" i="1" s="1"/>
  <c r="I23" i="5"/>
  <c r="D72" i="1" s="1"/>
  <c r="E15" i="9"/>
  <c r="D75" i="1" l="1"/>
  <c r="I183" i="1"/>
  <c r="I186" i="1" s="1"/>
  <c r="I188" i="1" s="1"/>
  <c r="D68" i="1"/>
  <c r="D79" i="1"/>
  <c r="I67" i="1"/>
  <c r="I81" i="1" s="1"/>
  <c r="D81" i="1"/>
  <c r="D15" i="9"/>
  <c r="F15" i="9" s="1"/>
  <c r="D127" i="1" s="1"/>
  <c r="I127" i="1" s="1"/>
  <c r="D82" i="1" l="1"/>
  <c r="G131" i="1"/>
  <c r="G136" i="1"/>
  <c r="G17" i="1"/>
  <c r="I17" i="1" s="1"/>
  <c r="G65" i="1"/>
  <c r="I65" i="1" s="1"/>
  <c r="G14" i="1"/>
  <c r="G119" i="1"/>
  <c r="I119" i="1" s="1"/>
  <c r="E193" i="1"/>
  <c r="G193" i="1" s="1"/>
  <c r="G196" i="1" s="1"/>
  <c r="G16" i="1"/>
  <c r="I16" i="1" s="1"/>
  <c r="G15" i="1"/>
  <c r="G118" i="1"/>
  <c r="G126" i="1"/>
  <c r="G72" i="1"/>
  <c r="I72" i="1" s="1"/>
  <c r="I75" i="1" s="1"/>
  <c r="G96" i="1"/>
  <c r="G117" i="1"/>
  <c r="G100" i="1"/>
  <c r="F20" i="14"/>
  <c r="F19" i="14"/>
  <c r="I68" i="1" l="1"/>
  <c r="G68" i="1" s="1"/>
  <c r="I79" i="1"/>
  <c r="F12" i="14"/>
  <c r="D14" i="14"/>
  <c r="D22" i="14"/>
  <c r="F18" i="14"/>
  <c r="I42" i="5" l="1"/>
  <c r="D89" i="1" s="1"/>
  <c r="F23" i="5"/>
  <c r="D96" i="1" s="1"/>
  <c r="I96" i="1" s="1"/>
  <c r="G40" i="6"/>
  <c r="F14" i="6" s="1"/>
  <c r="H23" i="5"/>
  <c r="D101" i="1" s="1"/>
  <c r="F14" i="14"/>
  <c r="F22" i="14"/>
  <c r="F40" i="6"/>
  <c r="F13" i="6" s="1"/>
  <c r="G23" i="5"/>
  <c r="D100" i="1" s="1"/>
  <c r="I100" i="1" s="1"/>
  <c r="I82" i="1"/>
  <c r="G82" i="1" s="1"/>
  <c r="D40" i="6"/>
  <c r="G149" i="1"/>
  <c r="I149" i="1" s="1"/>
  <c r="G101" i="1"/>
  <c r="G146" i="1"/>
  <c r="G148" i="1"/>
  <c r="I148" i="1" s="1"/>
  <c r="E21" i="4"/>
  <c r="E29" i="4" s="1"/>
  <c r="I101" i="1" l="1"/>
  <c r="I209" i="1"/>
  <c r="D14" i="1" s="1"/>
  <c r="F20" i="6"/>
  <c r="F12" i="6"/>
  <c r="G163" i="1"/>
  <c r="I163" i="1" s="1"/>
  <c r="G117" i="19"/>
  <c r="G118" i="19" s="1"/>
  <c r="I118" i="19" s="1"/>
  <c r="I87" i="1" s="1"/>
  <c r="H26" i="3"/>
  <c r="H27" i="3" s="1"/>
  <c r="G164" i="1"/>
  <c r="I164" i="1" s="1"/>
  <c r="G156" i="19"/>
  <c r="G157" i="19" s="1"/>
  <c r="I157" i="19" s="1"/>
  <c r="I88" i="1" s="1"/>
  <c r="G162" i="1"/>
  <c r="G89" i="1"/>
  <c r="I89" i="1" s="1"/>
  <c r="G39" i="19"/>
  <c r="G40" i="19" s="1"/>
  <c r="I40" i="19" s="1"/>
  <c r="I85" i="1" s="1"/>
  <c r="G75" i="19"/>
  <c r="G76" i="19" s="1"/>
  <c r="F19" i="4"/>
  <c r="F17" i="4"/>
  <c r="F23" i="4"/>
  <c r="F24" i="4"/>
  <c r="F20" i="4"/>
  <c r="I118" i="1"/>
  <c r="I76" i="19" l="1"/>
  <c r="I86" i="1" s="1"/>
  <c r="F29" i="4"/>
  <c r="G17" i="4"/>
  <c r="E22" i="3"/>
  <c r="E26" i="3" s="1"/>
  <c r="I26" i="3" s="1"/>
  <c r="D162" i="1"/>
  <c r="I162" i="1" s="1"/>
  <c r="H20" i="6"/>
  <c r="G203" i="1" s="1"/>
  <c r="H11" i="3" s="1"/>
  <c r="D203" i="1"/>
  <c r="E11" i="3" s="1"/>
  <c r="G19" i="4"/>
  <c r="I14" i="1"/>
  <c r="H28" i="3"/>
  <c r="I28" i="3" s="1"/>
  <c r="I27" i="3"/>
  <c r="G20" i="4"/>
  <c r="I20" i="4" s="1"/>
  <c r="G24" i="4"/>
  <c r="I24" i="4" s="1"/>
  <c r="G23" i="4"/>
  <c r="I137" i="1"/>
  <c r="I23" i="2" s="1"/>
  <c r="I126" i="1"/>
  <c r="I123" i="1"/>
  <c r="I120" i="1"/>
  <c r="G21" i="4" l="1"/>
  <c r="D150" i="1"/>
  <c r="I146" i="1"/>
  <c r="I150" i="1" s="1"/>
  <c r="I27" i="2" s="1"/>
  <c r="I23" i="4"/>
  <c r="G25" i="4"/>
  <c r="D139" i="1"/>
  <c r="I136" i="1"/>
  <c r="I17" i="4"/>
  <c r="I117" i="1"/>
  <c r="G29" i="4" l="1"/>
  <c r="I25" i="4"/>
  <c r="E40" i="6"/>
  <c r="C40" i="6"/>
  <c r="F19" i="6" s="1"/>
  <c r="I139" i="1"/>
  <c r="M59" i="2"/>
  <c r="M61" i="2" s="1"/>
  <c r="M69" i="2" s="1"/>
  <c r="D202" i="1" l="1"/>
  <c r="F21" i="6"/>
  <c r="F11" i="6"/>
  <c r="F15" i="6" s="1"/>
  <c r="F22" i="6" l="1"/>
  <c r="G21" i="6" s="1"/>
  <c r="D204" i="1"/>
  <c r="E12" i="3" s="1"/>
  <c r="E10" i="3"/>
  <c r="E13" i="3" l="1"/>
  <c r="D205" i="1"/>
  <c r="E204" i="1"/>
  <c r="I21" i="6"/>
  <c r="G20" i="6"/>
  <c r="G19" i="6"/>
  <c r="E202" i="1" l="1"/>
  <c r="E203" i="1"/>
  <c r="I20" i="6"/>
  <c r="F12" i="3"/>
  <c r="I12" i="3" s="1"/>
  <c r="I204" i="1"/>
  <c r="I203" i="1" l="1"/>
  <c r="F11" i="3"/>
  <c r="I11" i="3" s="1"/>
  <c r="F10" i="3"/>
  <c r="F24" i="14" l="1"/>
  <c r="E23" i="5" l="1"/>
  <c r="D91" i="1" s="1"/>
  <c r="D33" i="11" l="1"/>
  <c r="I91" i="1"/>
  <c r="D94" i="1"/>
  <c r="I15" i="2" l="1"/>
  <c r="I16" i="2"/>
  <c r="I59" i="2" s="1"/>
  <c r="I61" i="2" s="1"/>
  <c r="I69" i="2" s="1"/>
  <c r="I94" i="1"/>
  <c r="I130" i="1"/>
  <c r="I131" i="1"/>
  <c r="D132" i="1" l="1"/>
  <c r="D133" i="1" s="1"/>
  <c r="D99" i="1" s="1"/>
  <c r="D102" i="1" s="1"/>
  <c r="D104" i="1" s="1"/>
  <c r="I132" i="1"/>
  <c r="I133" i="1" s="1"/>
  <c r="F59" i="2"/>
  <c r="I24" i="2"/>
  <c r="K24" i="2" s="1"/>
  <c r="I28" i="2"/>
  <c r="K28" i="2" s="1"/>
  <c r="I19" i="2" l="1"/>
  <c r="I20" i="2" s="1"/>
  <c r="K20" i="2" s="1"/>
  <c r="I99" i="1"/>
  <c r="I102" i="1" s="1"/>
  <c r="I104" i="1" s="1"/>
  <c r="J5" i="3" s="1"/>
  <c r="J37" i="3" s="1"/>
  <c r="F61" i="2"/>
  <c r="F69" i="2" s="1"/>
  <c r="F23" i="14" l="1"/>
  <c r="D25" i="14"/>
  <c r="F25" i="14" l="1"/>
  <c r="D27" i="14"/>
  <c r="I211" i="1" l="1"/>
  <c r="D15" i="1" s="1"/>
  <c r="F27" i="14"/>
  <c r="D14" i="11"/>
  <c r="D35" i="11" s="1"/>
  <c r="H19" i="6" s="1"/>
  <c r="G202" i="1" l="1"/>
  <c r="I19" i="6"/>
  <c r="I22" i="6" s="1"/>
  <c r="I15" i="1"/>
  <c r="D18" i="1"/>
  <c r="I18" i="1" l="1"/>
  <c r="I30" i="2" s="1"/>
  <c r="I31" i="2" s="1"/>
  <c r="K31" i="2" s="1"/>
  <c r="K33" i="2" s="1"/>
  <c r="H10" i="3"/>
  <c r="I10" i="3" s="1"/>
  <c r="I13" i="3" s="1"/>
  <c r="I202" i="1"/>
  <c r="I205" i="1" s="1"/>
  <c r="E18" i="3" l="1"/>
  <c r="J14" i="3"/>
  <c r="G63" i="2"/>
  <c r="H63" i="2" s="1"/>
  <c r="G59" i="2"/>
  <c r="H59" i="2" s="1"/>
  <c r="G60" i="2"/>
  <c r="H60" i="2" s="1"/>
  <c r="G64" i="2"/>
  <c r="H64" i="2" s="1"/>
  <c r="D154" i="1"/>
  <c r="I168" i="1"/>
  <c r="D168" i="1"/>
  <c r="I25" i="3" l="1"/>
  <c r="I29" i="3" s="1"/>
  <c r="J29" i="3" s="1"/>
  <c r="J31" i="3" s="1"/>
  <c r="I40" i="2"/>
  <c r="I41" i="2" s="1"/>
  <c r="J33" i="3"/>
  <c r="I161" i="1"/>
  <c r="I165" i="1" s="1"/>
  <c r="I170" i="1" s="1"/>
  <c r="I11" i="1" s="1"/>
  <c r="H65" i="2"/>
  <c r="H61" i="2"/>
  <c r="D161" i="1"/>
  <c r="D165" i="1" s="1"/>
  <c r="D170" i="1" s="1"/>
  <c r="H69" i="2" l="1"/>
  <c r="I36" i="2"/>
  <c r="I37" i="2" s="1"/>
  <c r="K37" i="2" s="1"/>
  <c r="J34" i="3"/>
  <c r="J35" i="3" s="1"/>
  <c r="J36" i="3" s="1"/>
  <c r="J38" i="3" s="1"/>
  <c r="K41" i="2"/>
  <c r="I43" i="2" l="1"/>
  <c r="P59" i="2"/>
  <c r="P60" i="2"/>
  <c r="P64" i="2"/>
  <c r="P63" i="2"/>
  <c r="K43" i="2"/>
  <c r="P65" i="2" l="1"/>
  <c r="D32" i="1" s="1"/>
  <c r="J64" i="2"/>
  <c r="K64" i="2" s="1"/>
  <c r="N64" i="2" s="1"/>
  <c r="J63" i="2"/>
  <c r="K63" i="2" s="1"/>
  <c r="J59" i="2"/>
  <c r="K59" i="2" s="1"/>
  <c r="J60" i="2"/>
  <c r="K60" i="2" s="1"/>
  <c r="N60" i="2" s="1"/>
  <c r="P61" i="2"/>
  <c r="N59" i="2" l="1"/>
  <c r="K61" i="2"/>
  <c r="P69" i="2"/>
  <c r="D49" i="1"/>
  <c r="K65" i="2"/>
  <c r="N63" i="2"/>
  <c r="Q60" i="2"/>
  <c r="S60" i="2"/>
  <c r="S64" i="2"/>
  <c r="Q64" i="2"/>
  <c r="Q63" i="2" l="1"/>
  <c r="Q65" i="2" s="1"/>
  <c r="N65" i="2"/>
  <c r="S63" i="2"/>
  <c r="K69" i="2"/>
  <c r="S59" i="2"/>
  <c r="Q59" i="2"/>
  <c r="Q61" i="2" s="1"/>
  <c r="N61" i="2"/>
  <c r="N69" i="2" l="1"/>
  <c r="Q69" i="2"/>
  <c r="U59" i="2"/>
  <c r="H19" i="4" s="1"/>
  <c r="S61" i="2"/>
  <c r="S65" i="2"/>
  <c r="S69" i="2" l="1"/>
  <c r="H21" i="4"/>
  <c r="H29" i="4" s="1"/>
  <c r="D9" i="7" s="1"/>
  <c r="G9" i="7" s="1"/>
  <c r="I19" i="4"/>
  <c r="I21" i="4" l="1"/>
  <c r="I29" i="4" s="1"/>
  <c r="D23" i="7"/>
  <c r="I56" i="7"/>
  <c r="D24" i="7" l="1"/>
  <c r="H23" i="7"/>
  <c r="K23" i="7" l="1"/>
  <c r="H24" i="7"/>
  <c r="K24" i="7" s="1"/>
  <c r="D25" i="7"/>
  <c r="H25" i="7" l="1"/>
  <c r="K25" i="7" s="1"/>
  <c r="D26" i="7"/>
  <c r="D27" i="7" l="1"/>
  <c r="H26" i="7"/>
  <c r="K26" i="7" l="1"/>
  <c r="D28" i="7"/>
  <c r="H27" i="7"/>
  <c r="K27" i="7" s="1"/>
  <c r="H28" i="7" l="1"/>
  <c r="K28" i="7" s="1"/>
  <c r="D29" i="7"/>
  <c r="H29" i="7" l="1"/>
  <c r="D30" i="7"/>
  <c r="D31" i="7" l="1"/>
  <c r="H30" i="7"/>
  <c r="K30" i="7" s="1"/>
  <c r="K29" i="7"/>
  <c r="D32" i="7" l="1"/>
  <c r="H31" i="7"/>
  <c r="K31" i="7" s="1"/>
  <c r="H32" i="7" l="1"/>
  <c r="K32" i="7" s="1"/>
  <c r="D33" i="7"/>
  <c r="H33" i="7" l="1"/>
  <c r="K33" i="7" s="1"/>
  <c r="D34" i="7"/>
  <c r="H34" i="7" s="1"/>
  <c r="K34" i="7" l="1"/>
  <c r="K35" i="7" s="1"/>
  <c r="D38" i="7" s="1"/>
  <c r="H38" i="7" s="1"/>
  <c r="K38" i="7" s="1"/>
  <c r="H35" i="7"/>
  <c r="D41" i="7" l="1"/>
  <c r="I41" i="7"/>
  <c r="I42" i="7" s="1"/>
  <c r="I43" i="7" s="1"/>
  <c r="I44" i="7" s="1"/>
  <c r="I45" i="7" s="1"/>
  <c r="I46" i="7" s="1"/>
  <c r="I47" i="7" s="1"/>
  <c r="I48" i="7" s="1"/>
  <c r="I49" i="7" s="1"/>
  <c r="I50" i="7" s="1"/>
  <c r="I51" i="7" s="1"/>
  <c r="I52" i="7" s="1"/>
  <c r="I55" i="7" s="1"/>
  <c r="I57" i="7" s="1"/>
  <c r="J31" i="4" s="1"/>
  <c r="J17" i="4" l="1"/>
  <c r="J20" i="4"/>
  <c r="L20" i="4" s="1"/>
  <c r="T60" i="2" s="1"/>
  <c r="J23" i="4"/>
  <c r="J19" i="4"/>
  <c r="J24" i="4"/>
  <c r="L24" i="4" s="1"/>
  <c r="T64" i="2" s="1"/>
  <c r="U64" i="2" s="1"/>
  <c r="K41" i="7"/>
  <c r="D42" i="7" s="1"/>
  <c r="H41" i="7"/>
  <c r="K42" i="7" l="1"/>
  <c r="D43" i="7" s="1"/>
  <c r="H42" i="7"/>
  <c r="J21" i="4"/>
  <c r="L19" i="4"/>
  <c r="L21" i="4" s="1"/>
  <c r="J25" i="4"/>
  <c r="L23" i="4"/>
  <c r="T61" i="2"/>
  <c r="U60" i="2"/>
  <c r="U61" i="2" s="1"/>
  <c r="L17" i="4"/>
  <c r="J29" i="4" l="1"/>
  <c r="I21" i="1" s="1"/>
  <c r="I23" i="1" s="1"/>
  <c r="D29" i="1" s="1"/>
  <c r="D48" i="1"/>
  <c r="D50" i="1" s="1"/>
  <c r="D30" i="1"/>
  <c r="L25" i="4"/>
  <c r="L29" i="4" s="1"/>
  <c r="T63" i="2"/>
  <c r="K43" i="7"/>
  <c r="D44" i="7" s="1"/>
  <c r="H43" i="7"/>
  <c r="D31" i="1" l="1"/>
  <c r="D33" i="1" s="1"/>
  <c r="D38" i="1" s="1"/>
  <c r="D40" i="1" s="1"/>
  <c r="H44" i="7"/>
  <c r="K44" i="7"/>
  <c r="D45" i="7" s="1"/>
  <c r="T65" i="2"/>
  <c r="T69" i="2" s="1"/>
  <c r="U63" i="2"/>
  <c r="U65" i="2" s="1"/>
  <c r="U69" i="2" s="1"/>
  <c r="D41" i="1" l="1"/>
  <c r="D44" i="1"/>
  <c r="D43" i="1"/>
  <c r="D39" i="1"/>
  <c r="D42" i="1"/>
  <c r="K45" i="7"/>
  <c r="D46" i="7" s="1"/>
  <c r="H45" i="7"/>
  <c r="K46" i="7" l="1"/>
  <c r="D47" i="7" s="1"/>
  <c r="H46" i="7"/>
  <c r="K47" i="7" l="1"/>
  <c r="D48" i="7" s="1"/>
  <c r="H47" i="7"/>
  <c r="H48" i="7" l="1"/>
  <c r="K48" i="7"/>
  <c r="D49" i="7" s="1"/>
  <c r="H49" i="7" l="1"/>
  <c r="K49" i="7"/>
  <c r="D50" i="7" s="1"/>
  <c r="K50" i="7" l="1"/>
  <c r="D51" i="7" s="1"/>
  <c r="H50" i="7"/>
  <c r="K51" i="7" l="1"/>
  <c r="D52" i="7" s="1"/>
  <c r="H51" i="7"/>
  <c r="K52" i="7" l="1"/>
  <c r="H52" i="7"/>
  <c r="H53" i="7" s="1"/>
</calcChain>
</file>

<file path=xl/sharedStrings.xml><?xml version="1.0" encoding="utf-8"?>
<sst xmlns="http://schemas.openxmlformats.org/spreadsheetml/2006/main" count="1954" uniqueCount="1068">
  <si>
    <t>O&amp;M</t>
  </si>
  <si>
    <t xml:space="preserve">Formula Rate - Non-Levelized </t>
  </si>
  <si>
    <t xml:space="preserve"> </t>
  </si>
  <si>
    <t>(1)</t>
  </si>
  <si>
    <t>(2)</t>
  </si>
  <si>
    <t>(3)</t>
  </si>
  <si>
    <t>(4)</t>
  </si>
  <si>
    <t>(5)</t>
  </si>
  <si>
    <t>Line</t>
  </si>
  <si>
    <t>Allocated</t>
  </si>
  <si>
    <t>No.</t>
  </si>
  <si>
    <t>Amount</t>
  </si>
  <si>
    <t xml:space="preserve">REVENUE CREDITS </t>
  </si>
  <si>
    <t>Total</t>
  </si>
  <si>
    <t>Allocator</t>
  </si>
  <si>
    <t>TP</t>
  </si>
  <si>
    <t>Transmission</t>
  </si>
  <si>
    <t>Page, Line, Col.</t>
  </si>
  <si>
    <t>Company Total</t>
  </si>
  <si>
    <t xml:space="preserve">                  Allocator</t>
  </si>
  <si>
    <t>(Col 3 times Col 4)</t>
  </si>
  <si>
    <t>NA</t>
  </si>
  <si>
    <t xml:space="preserve">  Transmission</t>
  </si>
  <si>
    <t>W/S</t>
  </si>
  <si>
    <t>GP=</t>
  </si>
  <si>
    <t>NET PLANT IN SERVICE</t>
  </si>
  <si>
    <t>NP=</t>
  </si>
  <si>
    <t>NP</t>
  </si>
  <si>
    <t>GP</t>
  </si>
  <si>
    <t xml:space="preserve">  Transmission </t>
  </si>
  <si>
    <t xml:space="preserve">     Less Account 565</t>
  </si>
  <si>
    <t xml:space="preserve">  A&amp;G</t>
  </si>
  <si>
    <t xml:space="preserve">  LABOR RELATED</t>
  </si>
  <si>
    <t xml:space="preserve">          Payroll</t>
  </si>
  <si>
    <t xml:space="preserve">          Highway and vehicle</t>
  </si>
  <si>
    <t xml:space="preserve">  PLANT RELATED</t>
  </si>
  <si>
    <t xml:space="preserve">         Property</t>
  </si>
  <si>
    <t xml:space="preserve">         Gross Receipts</t>
  </si>
  <si>
    <t xml:space="preserve">         Other</t>
  </si>
  <si>
    <t xml:space="preserve">         Payments in lieu of taxes</t>
  </si>
  <si>
    <t xml:space="preserve">INCOME TAXES          </t>
  </si>
  <si>
    <t xml:space="preserve">     CIT=(T/1-T) * (1-(WCLTD/R)) =</t>
  </si>
  <si>
    <t>Total Income Taxes</t>
  </si>
  <si>
    <t xml:space="preserve">RETURN </t>
  </si>
  <si>
    <t xml:space="preserve">                SUPPORTING CALCULATIONS AND NOTES</t>
  </si>
  <si>
    <t>TRANSMISSION PLANT INCLUDED IN ISO RATES</t>
  </si>
  <si>
    <t>TP=</t>
  </si>
  <si>
    <t>Form 1 Reference</t>
  </si>
  <si>
    <t>$</t>
  </si>
  <si>
    <t>Allocation</t>
  </si>
  <si>
    <t>354.20.b</t>
  </si>
  <si>
    <t>W&amp;S Allocator</t>
  </si>
  <si>
    <t xml:space="preserve">  Other</t>
  </si>
  <si>
    <t>($ / Allocation)</t>
  </si>
  <si>
    <t>=</t>
  </si>
  <si>
    <t>WS</t>
  </si>
  <si>
    <t>RETURN (R)</t>
  </si>
  <si>
    <t>Cost</t>
  </si>
  <si>
    <t>%</t>
  </si>
  <si>
    <t>Weighted</t>
  </si>
  <si>
    <t>=WCLTD</t>
  </si>
  <si>
    <t>=R</t>
  </si>
  <si>
    <t>A</t>
  </si>
  <si>
    <t>B</t>
  </si>
  <si>
    <t>C</t>
  </si>
  <si>
    <t>D</t>
  </si>
  <si>
    <t>E</t>
  </si>
  <si>
    <t>F</t>
  </si>
  <si>
    <t>G</t>
  </si>
  <si>
    <t>H</t>
  </si>
  <si>
    <t>I</t>
  </si>
  <si>
    <t>J</t>
  </si>
  <si>
    <t xml:space="preserve">         Inputs Required:</t>
  </si>
  <si>
    <t>SIT=</t>
  </si>
  <si>
    <t>p =</t>
  </si>
  <si>
    <t>May</t>
  </si>
  <si>
    <t>April</t>
  </si>
  <si>
    <t>DA</t>
  </si>
  <si>
    <t>December</t>
  </si>
  <si>
    <t>November</t>
  </si>
  <si>
    <t>September</t>
  </si>
  <si>
    <t>August</t>
  </si>
  <si>
    <t>July</t>
  </si>
  <si>
    <t>March</t>
  </si>
  <si>
    <t>February</t>
  </si>
  <si>
    <t>January</t>
  </si>
  <si>
    <t>October</t>
  </si>
  <si>
    <t xml:space="preserve">  CWIP</t>
  </si>
  <si>
    <t xml:space="preserve">  General &amp; Intangible</t>
  </si>
  <si>
    <t xml:space="preserve">  Account No. 281 (enter negative)</t>
  </si>
  <si>
    <t xml:space="preserve">  Account No. 282 (enter negative)</t>
  </si>
  <si>
    <t xml:space="preserve">  Account No. 283 (enter negative)</t>
  </si>
  <si>
    <t xml:space="preserve">  Account No. 255 (enter negative)</t>
  </si>
  <si>
    <t xml:space="preserve">  Prepayments (Account 165)</t>
  </si>
  <si>
    <t xml:space="preserve">  Amortization of Abandoned Plant</t>
  </si>
  <si>
    <t>June</t>
  </si>
  <si>
    <t xml:space="preserve">  Account No. 190 </t>
  </si>
  <si>
    <t>354.23.b</t>
  </si>
  <si>
    <t xml:space="preserve">     Less Account 566 (Misc Trans Expense)</t>
  </si>
  <si>
    <t>Account 566</t>
  </si>
  <si>
    <t>Total Account 566</t>
  </si>
  <si>
    <t>Utilizing FERC Form 1 Data</t>
  </si>
  <si>
    <t>True-up Adjustment with Interest</t>
  </si>
  <si>
    <t>K</t>
  </si>
  <si>
    <t xml:space="preserve">  Unamortized Regulatory Asset </t>
  </si>
  <si>
    <t xml:space="preserve">  Unamortized Abandoned Plant  </t>
  </si>
  <si>
    <t xml:space="preserve">  Account No. 454</t>
  </si>
  <si>
    <t xml:space="preserve">  Account No. 456.1</t>
  </si>
  <si>
    <t xml:space="preserve">  Revenues from service provided by the ISO at a discount</t>
  </si>
  <si>
    <t>(Note D)</t>
  </si>
  <si>
    <t>zero</t>
  </si>
  <si>
    <t xml:space="preserve">     Less FERC Annual Fees</t>
  </si>
  <si>
    <t>Permanent Differences Tax Adjustment</t>
  </si>
  <si>
    <t>WAGES &amp; SALARY ALLOCATOR  (W&amp;S)</t>
  </si>
  <si>
    <t xml:space="preserve">  Preferred Stock  (112.3.c)</t>
  </si>
  <si>
    <t>REVENUE CREDITS</t>
  </si>
  <si>
    <t>References to data from FERC Form 1 are indicated as:  #.y.x  (page, line, column)</t>
  </si>
  <si>
    <t xml:space="preserve">The FERC's annual charges for the year assessed the Transmission Owner for service under this tariff. </t>
  </si>
  <si>
    <t>(State Income Tax Rate or Composite SIT)</t>
  </si>
  <si>
    <t>(percent of federal income tax deductible for state purposes)</t>
  </si>
  <si>
    <t>TEP =</t>
  </si>
  <si>
    <t>(percent of the tax exempt ownership)</t>
  </si>
  <si>
    <t>M</t>
  </si>
  <si>
    <t>Removes transmission plant determined by Commission order to be state-jurisdictional according to the seven-factor test (until Form 1 balances are adjusted to reflect application of seven-factor test).</t>
  </si>
  <si>
    <t>P</t>
  </si>
  <si>
    <t>Q</t>
  </si>
  <si>
    <t>R</t>
  </si>
  <si>
    <t>O&amp;M EXPENSE</t>
  </si>
  <si>
    <t>Total O&amp;M Allocated to Transmission</t>
  </si>
  <si>
    <t>Annual Allocation Factor for O&amp;M</t>
  </si>
  <si>
    <t>(line 3 divided by line 1 col 3)</t>
  </si>
  <si>
    <t>5</t>
  </si>
  <si>
    <t>6</t>
  </si>
  <si>
    <t>(line 5 divided by line 1 col 3)</t>
  </si>
  <si>
    <t>TAXES OTHER THAN INCOME TAXES</t>
  </si>
  <si>
    <t>7</t>
  </si>
  <si>
    <t>Total Other Taxes</t>
  </si>
  <si>
    <t>8</t>
  </si>
  <si>
    <t>Annual Allocation Factor for Other Taxes</t>
  </si>
  <si>
    <t>(line 7 divided by line 1 col 3)</t>
  </si>
  <si>
    <t>9</t>
  </si>
  <si>
    <t>Annual Allocation Factor for Expense</t>
  </si>
  <si>
    <t>INCOME TAXES</t>
  </si>
  <si>
    <t>10</t>
  </si>
  <si>
    <t>11</t>
  </si>
  <si>
    <t>Annual Allocation Factor for Income Taxes</t>
  </si>
  <si>
    <t>12</t>
  </si>
  <si>
    <t>Return on Rate Base</t>
  </si>
  <si>
    <t>13</t>
  </si>
  <si>
    <t>Annual Allocation Factor for Return on Rate Base</t>
  </si>
  <si>
    <t>(line 12 divided by line 2 col 3)</t>
  </si>
  <si>
    <t>14</t>
  </si>
  <si>
    <t>Annual Allocation Factor for Return</t>
  </si>
  <si>
    <t>Page 2 of 2</t>
  </si>
  <si>
    <t>Line No.</t>
  </si>
  <si>
    <t xml:space="preserve">Project Gross Plant </t>
  </si>
  <si>
    <t>Annual Expense Charge</t>
  </si>
  <si>
    <t xml:space="preserve">Project Net Plant </t>
  </si>
  <si>
    <t>Annual Return Charge</t>
  </si>
  <si>
    <t>Annual Revenue Requirement</t>
  </si>
  <si>
    <t>True-Up Adjustment</t>
  </si>
  <si>
    <t>(Col. 3 * Col. 4)</t>
  </si>
  <si>
    <t>(Col. 6 * Col. 7)</t>
  </si>
  <si>
    <t>(Sum Col. 5, 8 &amp; 9)</t>
  </si>
  <si>
    <t>(Note F)</t>
  </si>
  <si>
    <t>Annual Totals</t>
  </si>
  <si>
    <t>Month</t>
  </si>
  <si>
    <t>Held for Future Use</t>
  </si>
  <si>
    <t xml:space="preserve">  Materials &amp; Supplies</t>
  </si>
  <si>
    <t xml:space="preserve">  Prepayments</t>
  </si>
  <si>
    <t xml:space="preserve">March </t>
  </si>
  <si>
    <t xml:space="preserve">August </t>
  </si>
  <si>
    <t xml:space="preserve">Unamortized Regulatory Asset </t>
  </si>
  <si>
    <t>General &amp; Intangible</t>
  </si>
  <si>
    <t>15</t>
  </si>
  <si>
    <t>16</t>
  </si>
  <si>
    <t>(line 9 divided by line 1 col 3)</t>
  </si>
  <si>
    <t>Sum of line 4, 6, 8, and 10</t>
  </si>
  <si>
    <t>Sum of line 13 and 15</t>
  </si>
  <si>
    <t>Project Depreciation/Amortization Expense</t>
  </si>
  <si>
    <t>Incentive Return</t>
  </si>
  <si>
    <t>Less Revenue Credits</t>
  </si>
  <si>
    <t>Notes:</t>
  </si>
  <si>
    <t xml:space="preserve">A </t>
  </si>
  <si>
    <t xml:space="preserve">B </t>
  </si>
  <si>
    <t>The currently effective income tax rate,  where FIT is the Federal income tax rate; SIT is the State income tax rate, and p = "the percentage of federal income tax deductible for state income taxes" and TEP = "the tax exempt ownership interest".  If the utility is taxed in more than one state it must attach a work paper showing the name of each state and how the blended or composite SIT was developed.  Furthermore, a utility that elected to utilize amortization of tax credits against taxable income, rather than book tax credits to Account No. 255 and reduce rate base, must reduce its income tax expense by the amount of the Amortized Investment Tax Credit (Form 1, 266.8.f) multiplied by (1/1-T) (page 3, line 26).  Excess Deferred Income Taxes reduce income tax expense by the amount of the expense multiplied by (T/1-T).</t>
  </si>
  <si>
    <t>Total Annual Revenue Requirement</t>
  </si>
  <si>
    <t>Attachment 1</t>
  </si>
  <si>
    <t>Attachment 3</t>
  </si>
  <si>
    <t>Attachment 4</t>
  </si>
  <si>
    <t>Attachment 5</t>
  </si>
  <si>
    <t>Attachment 6</t>
  </si>
  <si>
    <t>Attachment 7</t>
  </si>
  <si>
    <t>December Prior Year</t>
  </si>
  <si>
    <t xml:space="preserve">December </t>
  </si>
  <si>
    <t>Line No</t>
  </si>
  <si>
    <t>(a)</t>
  </si>
  <si>
    <t>(b)</t>
  </si>
  <si>
    <t>(c)</t>
  </si>
  <si>
    <t>(d)</t>
  </si>
  <si>
    <t>(f)</t>
  </si>
  <si>
    <t>(e)</t>
  </si>
  <si>
    <t>(g)</t>
  </si>
  <si>
    <t>(h)</t>
  </si>
  <si>
    <t>(i)</t>
  </si>
  <si>
    <t>Source</t>
  </si>
  <si>
    <t>Attachment 4, Line 14, Col. (d)</t>
  </si>
  <si>
    <t>Accumulated Depreciation</t>
  </si>
  <si>
    <t>Gross Plant In Service</t>
  </si>
  <si>
    <t>Working Capital</t>
  </si>
  <si>
    <t>CWIP</t>
  </si>
  <si>
    <t>LHFFU</t>
  </si>
  <si>
    <t>Adjustments to Rate Base</t>
  </si>
  <si>
    <t xml:space="preserve">     Plus PBOP Expense Allowed Amount</t>
  </si>
  <si>
    <t xml:space="preserve">ACCOUNT 454 (RENT FROM ELECTRIC PROPERTY) </t>
  </si>
  <si>
    <t>ACCOUNT 456.1 (OTHER ELECTRIC REVENUES)</t>
  </si>
  <si>
    <t>GROSS REVENUE REQUIREMENT</t>
  </si>
  <si>
    <t xml:space="preserve">     Plus Transmission Related Reg. Comm. Exp.  </t>
  </si>
  <si>
    <t xml:space="preserve">TOTAL DEPRECIATION </t>
  </si>
  <si>
    <t>TOTAL OTHER TAXES</t>
  </si>
  <si>
    <t>TOTAL GROSS PLANT</t>
  </si>
  <si>
    <t xml:space="preserve">TOTAL ACCUM. DEPRECIATION </t>
  </si>
  <si>
    <t xml:space="preserve">TOTAL ADJUSTMENTS </t>
  </si>
  <si>
    <t>TOTAL NET PLANT</t>
  </si>
  <si>
    <t xml:space="preserve">TOTAL REVENUE CREDITS </t>
  </si>
  <si>
    <t xml:space="preserve">TOTAL WORKING CAPITAL  </t>
  </si>
  <si>
    <t xml:space="preserve">RATE BASE </t>
  </si>
  <si>
    <t>TOTAL O&amp;M</t>
  </si>
  <si>
    <t xml:space="preserve">Total </t>
  </si>
  <si>
    <t>(Note H)</t>
  </si>
  <si>
    <t xml:space="preserve">Total Transmission plant  </t>
  </si>
  <si>
    <t xml:space="preserve">Less Transmission plant excluded from ISO rates  </t>
  </si>
  <si>
    <t>(Line 1 minus Lines 2 &amp; 3)</t>
  </si>
  <si>
    <t>Transmission plant included in ISO rates</t>
  </si>
  <si>
    <t xml:space="preserve">Percentage of Transmission plant included in ISO Rates  </t>
  </si>
  <si>
    <t>(Sum of Lines 7 through 10)</t>
  </si>
  <si>
    <t xml:space="preserve">  Long Term Debt </t>
  </si>
  <si>
    <t>Amortized Investment Tax Credit</t>
  </si>
  <si>
    <t xml:space="preserve">Income Tax Calculation </t>
  </si>
  <si>
    <t xml:space="preserve">ITC adjustment </t>
  </si>
  <si>
    <t xml:space="preserve">Total Income Taxes </t>
  </si>
  <si>
    <t xml:space="preserve">     FIT &amp; SIT &amp; P</t>
  </si>
  <si>
    <t>(Note G)</t>
  </si>
  <si>
    <t xml:space="preserve">     T=1 - {[(1 - SIT) * (1 - FIT)] / (1 - SIT * FIT * p)} * (1-TEP)</t>
  </si>
  <si>
    <t>V</t>
  </si>
  <si>
    <t>Attachment 2</t>
  </si>
  <si>
    <t>100 Basis Point Incentive Return</t>
  </si>
  <si>
    <t>Amortized Investment Tax Credit (266.8f) (enter negative)</t>
  </si>
  <si>
    <t>Excess Deferred Income Taxes (enter negative)</t>
  </si>
  <si>
    <t>Return and Income Taxes with 100 basis point increase in ROE</t>
  </si>
  <si>
    <t>Return and Income Taxes without 100 basis point increase in ROE</t>
  </si>
  <si>
    <t>Incremental Return and Income Taxes for 100 basis point increase in ROE</t>
  </si>
  <si>
    <t>Incremental Return and Income Taxes for 100 basis point increase in ROE divided by Rate Base</t>
  </si>
  <si>
    <t>100 Basis Point Incentive Return multiplied by Rate Base (line 1 * line 6)</t>
  </si>
  <si>
    <t>Depreciation Rates</t>
  </si>
  <si>
    <t xml:space="preserve">Rate Base Worksheet </t>
  </si>
  <si>
    <t xml:space="preserve">Average of the 13 Monthly Balances </t>
  </si>
  <si>
    <t>Average of the 13 Monthly Balances</t>
  </si>
  <si>
    <t>Account No. 255
Accumulated Deferred Investment Credit</t>
  </si>
  <si>
    <t xml:space="preserve">  Revenues from Grandfathered Interzonal Transactions </t>
  </si>
  <si>
    <t xml:space="preserve">  Production </t>
  </si>
  <si>
    <t xml:space="preserve">  Distribution </t>
  </si>
  <si>
    <t>Attachment 4, Line 14, Col. (b)</t>
  </si>
  <si>
    <t>Attachment 4, Line 14, Col. (c)</t>
  </si>
  <si>
    <t>205.46.g for end of year, records for other months</t>
  </si>
  <si>
    <t>207.75.g for end of year, records for other months</t>
  </si>
  <si>
    <t>219.20-24.c for end of year, records for other months</t>
  </si>
  <si>
    <t>219.26.c for end of year, records for other months</t>
  </si>
  <si>
    <t>Attachment 4, Line 14, Col. (h)</t>
  </si>
  <si>
    <t>Attachment 4, Line 14, Col. (i)</t>
  </si>
  <si>
    <t xml:space="preserve">ADJUSTMENTS TO RATE BASE </t>
  </si>
  <si>
    <t>Attachment 4, Line 14, Col. (g)</t>
  </si>
  <si>
    <t>354.21.b</t>
  </si>
  <si>
    <t>354.24,25,26.b</t>
  </si>
  <si>
    <t>(14)</t>
  </si>
  <si>
    <t>(15)</t>
  </si>
  <si>
    <t xml:space="preserve">  Common Stock</t>
  </si>
  <si>
    <t>Calculation of PBOP Expenses</t>
  </si>
  <si>
    <t>Tax Effect of Permanent Differences</t>
  </si>
  <si>
    <t>(Page 1 line 11)</t>
  </si>
  <si>
    <t>(Page 1 line 16)</t>
  </si>
  <si>
    <t>Line 5 includes a 100 basis point increase in ROE that is used only to determine the increase in return and income taxes associated with</t>
  </si>
  <si>
    <t xml:space="preserve">Notes: </t>
  </si>
  <si>
    <t>The Tax Effect of Permanent Differences captures the differences in the income taxes due under the Federal and State calculations and the income taxes calculated</t>
  </si>
  <si>
    <t>Rate Base times Return</t>
  </si>
  <si>
    <t xml:space="preserve">Company will not have any grandfathered agreements.  Therefore, this line shall remain zero. </t>
  </si>
  <si>
    <t>(16)</t>
  </si>
  <si>
    <t>(Sum Col. 10 &amp; 12 Less Col. 13)</t>
  </si>
  <si>
    <t>Interest</t>
  </si>
  <si>
    <t>(Page 2, Line 2, Column 3)</t>
  </si>
  <si>
    <t>Long Term Interest (117, sum of 62.c through 67.c)</t>
  </si>
  <si>
    <t>Preferred Dividends (118.29c) (positive number)</t>
  </si>
  <si>
    <t>Proprietary Capital (112.16.c)</t>
  </si>
  <si>
    <t>Common Stock</t>
  </si>
  <si>
    <t>207.58.g for end of year, records for other months</t>
  </si>
  <si>
    <t>219.25.c for end of year, records for other months</t>
  </si>
  <si>
    <t>219.28.c &amp; 200.21.c for end of year, records for other months</t>
  </si>
  <si>
    <t>111.57.c for end of year, records for other months</t>
  </si>
  <si>
    <t>214.x.c for end of year, records for other months</t>
  </si>
  <si>
    <t>227.8.c &amp; 227.16.c for end of year, records for other months</t>
  </si>
  <si>
    <t>Revenue</t>
  </si>
  <si>
    <t>Under/(Over)</t>
  </si>
  <si>
    <t>Rate Base</t>
  </si>
  <si>
    <t xml:space="preserve">  Preferred Stock  </t>
  </si>
  <si>
    <t xml:space="preserve">      WCLTD = Line 3</t>
  </si>
  <si>
    <t>Tax Effect of Permanent Differences  (Note B)</t>
  </si>
  <si>
    <t>Rate Base (line 1)</t>
  </si>
  <si>
    <t xml:space="preserve">     T=1 - {[(1 - SIT) * (1 - FIT)] / (1 - SIT * FIT * p)} =</t>
  </si>
  <si>
    <t>(Attachment 2, Line 28 Incentive Return * Col. 6)</t>
  </si>
  <si>
    <t>Incentive ROE</t>
  </si>
  <si>
    <t>Ceiling Rate</t>
  </si>
  <si>
    <t>(Sum Col. 10 &amp; 12)</t>
  </si>
  <si>
    <t xml:space="preserve"> (12a)</t>
  </si>
  <si>
    <t>205.5.g &amp; 207.99.g for end of year, records for other months</t>
  </si>
  <si>
    <t>Note A</t>
  </si>
  <si>
    <t>Note B</t>
  </si>
  <si>
    <t>List of all reserves:</t>
  </si>
  <si>
    <r>
      <t>Enter 1 if NOT in a trust or</t>
    </r>
    <r>
      <rPr>
        <sz val="10"/>
        <rFont val="Times New Roman"/>
        <family val="1"/>
      </rPr>
      <t xml:space="preserve"> reserved account, enter zero (0) if included in a trust or reserved account </t>
    </r>
  </si>
  <si>
    <t xml:space="preserve">Allocation (Plant or Labor Allocator) </t>
  </si>
  <si>
    <t>Amount Allocated, col. c x col. d x col. e x col. f x col. g</t>
  </si>
  <si>
    <t>Reserve 1</t>
  </si>
  <si>
    <t>Reserve 2</t>
  </si>
  <si>
    <t>272.8.b &amp; 273.8.k</t>
  </si>
  <si>
    <t>274.2.b &amp; 275.2.k</t>
  </si>
  <si>
    <t>276.9.b &amp; 277.9.k</t>
  </si>
  <si>
    <t>234.8.b &amp; c</t>
  </si>
  <si>
    <t>Consistent with 266.8.b &amp; 267.8.h</t>
  </si>
  <si>
    <t>Page 1 of 3</t>
  </si>
  <si>
    <t>Requirement Calculation</t>
  </si>
  <si>
    <t>Requirement</t>
  </si>
  <si>
    <t>Annual True-Up Calculation</t>
  </si>
  <si>
    <t>% of</t>
  </si>
  <si>
    <t>Net Revenue</t>
  </si>
  <si>
    <t>Income</t>
  </si>
  <si>
    <t>Project Name</t>
  </si>
  <si>
    <t>Received</t>
  </si>
  <si>
    <r>
      <t>Requirement</t>
    </r>
    <r>
      <rPr>
        <vertAlign val="superscript"/>
        <sz val="10"/>
        <color theme="1"/>
        <rFont val="Times New Roman"/>
        <family val="1"/>
      </rPr>
      <t>2</t>
    </r>
  </si>
  <si>
    <t xml:space="preserve"> Project #</t>
  </si>
  <si>
    <t>AEP</t>
  </si>
  <si>
    <t>KCP&amp;L</t>
  </si>
  <si>
    <t>Amount relating to retired personnel</t>
  </si>
  <si>
    <t xml:space="preserve">Amount allocated on Labor </t>
  </si>
  <si>
    <t>Line 2 less line 3</t>
  </si>
  <si>
    <t>Labor dollars</t>
  </si>
  <si>
    <t>Cost per labor dollar</t>
  </si>
  <si>
    <t>Line 4 divided by line 5</t>
  </si>
  <si>
    <t>Line 6 times line 7</t>
  </si>
  <si>
    <t>Annual Allocation Factor for G, I &amp; C Depreciation Expense</t>
  </si>
  <si>
    <t>Page 3 of 3</t>
  </si>
  <si>
    <t>Page 2 of 3</t>
  </si>
  <si>
    <t>Prior Period</t>
  </si>
  <si>
    <t xml:space="preserve"> Total  (W&amp; S Allocator is 1 if lines 7-10 are zero)</t>
  </si>
  <si>
    <t>Prior Period Adjustment</t>
  </si>
  <si>
    <t>Calculate using 13 month average balance, except ADIT which is calculated based on the average of the beginning of the year and the end of the year balances</t>
  </si>
  <si>
    <t>RATE BASE: (Note R)</t>
  </si>
  <si>
    <t>(line 14 divided by line 2 col 3)</t>
  </si>
  <si>
    <t>3a</t>
  </si>
  <si>
    <t>3b</t>
  </si>
  <si>
    <t>Attachment 7, Line 6, Col. (c)</t>
  </si>
  <si>
    <t>Total True-Up</t>
  </si>
  <si>
    <t xml:space="preserve">Recovery of Regulatory Asset permitted only for pre-commercial and formation expenses as authorized by the Commission.  Recovery of any other regulatory assets requires authorization from the Commission. A carrying charge equal to the AFUDC rate will be applied to the Regulatory Asset prior to the rate year when costs are first recovered. </t>
  </si>
  <si>
    <t xml:space="preserve">(Federal Income Tax Rate) </t>
  </si>
  <si>
    <t>a 100 basis point increase in ROE.  Any ROE actual incentive must be approved by the Commission.</t>
  </si>
  <si>
    <t>Recovery of abandoned plant is limited to any abandoned plant recovery authorized by FERC.</t>
  </si>
  <si>
    <t>Average Service Life (Years)</t>
  </si>
  <si>
    <t>Iowa Curve</t>
  </si>
  <si>
    <t>Salvage Factor</t>
  </si>
  <si>
    <t>Cost of Removal Factor</t>
  </si>
  <si>
    <t>Net Salvage Factor</t>
  </si>
  <si>
    <t>TRANSMISSION PLANT</t>
  </si>
  <si>
    <t>R4.0</t>
  </si>
  <si>
    <t>352.0</t>
  </si>
  <si>
    <t>Structures &amp; Improvements</t>
  </si>
  <si>
    <t>353.0</t>
  </si>
  <si>
    <t>Station Equipment</t>
  </si>
  <si>
    <t>R2.0</t>
  </si>
  <si>
    <t>354.0</t>
  </si>
  <si>
    <t xml:space="preserve">Towers &amp; Fixtures  </t>
  </si>
  <si>
    <t>355.0</t>
  </si>
  <si>
    <t>Poles &amp; Fixtures</t>
  </si>
  <si>
    <t>356.0</t>
  </si>
  <si>
    <t xml:space="preserve">OH Cond. &amp; Devices </t>
  </si>
  <si>
    <t>R3.0</t>
  </si>
  <si>
    <t>Underground Conductor and Devices</t>
  </si>
  <si>
    <t>GENERAL PLANT</t>
  </si>
  <si>
    <t>390.0</t>
  </si>
  <si>
    <t>391.0</t>
  </si>
  <si>
    <t>Office Furniture &amp; Equipment</t>
  </si>
  <si>
    <t>SQ</t>
  </si>
  <si>
    <t>392.0</t>
  </si>
  <si>
    <t>Transportation Equipment</t>
  </si>
  <si>
    <t>393.0</t>
  </si>
  <si>
    <t>Stores Equipment</t>
  </si>
  <si>
    <t>394.0</t>
  </si>
  <si>
    <t>Tools Shop &amp; Garage Equipment</t>
  </si>
  <si>
    <t>395.0</t>
  </si>
  <si>
    <t>Laboratory Equipment</t>
  </si>
  <si>
    <t>396.0</t>
  </si>
  <si>
    <t>Power Operated Equipment</t>
  </si>
  <si>
    <t>397.0</t>
  </si>
  <si>
    <t>Communication Equipment</t>
  </si>
  <si>
    <t>398.0</t>
  </si>
  <si>
    <t>Miscellaneous Equipment</t>
  </si>
  <si>
    <t>Note C</t>
  </si>
  <si>
    <t>CWIP in Rate Base</t>
  </si>
  <si>
    <t>Preferred Stock balance will reflect the 13 month average of the balances, of which the 1st and 13th are found on page 112 line 3.c in the Form No. 1</t>
  </si>
  <si>
    <t xml:space="preserve">  Unfunded Reserves (enter negative)</t>
  </si>
  <si>
    <t>Annual Allocation Factor for Revenue Credits</t>
  </si>
  <si>
    <t xml:space="preserve">Revenue </t>
  </si>
  <si>
    <t xml:space="preserve">Net </t>
  </si>
  <si>
    <t>Transource West Virginia, LLC</t>
  </si>
  <si>
    <t>PBOP Expense Allowed for current year</t>
  </si>
  <si>
    <t>Attachment 8</t>
  </si>
  <si>
    <t>Attachment 9</t>
  </si>
  <si>
    <t>Post-Employment Benefits Other than Pensions (PBOP)</t>
  </si>
  <si>
    <t>(Line 4 divided by Line 1) (If line 1 is zero, enter 1)</t>
  </si>
  <si>
    <t>Origination Fees</t>
  </si>
  <si>
    <t>Rates/Fees</t>
  </si>
  <si>
    <t>Underwriting Discount</t>
  </si>
  <si>
    <t>Arrangement Fee</t>
  </si>
  <si>
    <t>Upfront Fee</t>
  </si>
  <si>
    <t>Rating Agency Fee</t>
  </si>
  <si>
    <t>Legal Fees</t>
  </si>
  <si>
    <t>Annual Rating Agency Fee</t>
  </si>
  <si>
    <t>Annual Bank Agency Fee</t>
  </si>
  <si>
    <t>Utilization Fee</t>
  </si>
  <si>
    <t>Total Fees</t>
  </si>
  <si>
    <t>Other Fees</t>
  </si>
  <si>
    <t>Total Cost of Debt</t>
  </si>
  <si>
    <t>NET ANNUAL TRANSMISSION REVENUE REQUIREMENT</t>
  </si>
  <si>
    <t>General Note:  References to pages in this formula rate template are indicated as:  (page#, line#, col.#)</t>
  </si>
  <si>
    <t>(c )</t>
  </si>
  <si>
    <t>Fee Amortization period (years)</t>
  </si>
  <si>
    <t>Other</t>
  </si>
  <si>
    <t>Rate Year cost of fees</t>
  </si>
  <si>
    <t>Year Fee Incurred</t>
  </si>
  <si>
    <t>Prior Years Accumulated Fee Amortization</t>
  </si>
  <si>
    <t>Unamortized Balance - End of Rate Year</t>
  </si>
  <si>
    <t>Annual Fees</t>
  </si>
  <si>
    <t>N/A</t>
  </si>
  <si>
    <t>Month During Rate Year</t>
  </si>
  <si>
    <t xml:space="preserve">Rate Year Amortized Fee Amount, col. b / col. d </t>
  </si>
  <si>
    <t xml:space="preserve">   Total Issuance Expense / Origination Fees</t>
  </si>
  <si>
    <t>Page 1 of 1</t>
  </si>
  <si>
    <t>INITIAL PROPOSED TRANSMISSION AND GENERAL PLANT DEPRECIATION RATES</t>
  </si>
  <si>
    <t>CALCULATED FROM APPALACHIAN POWER COMPANY (WEST VIRGINIA) MORTALITY CHARACTERISTICS</t>
  </si>
  <si>
    <t>351.0</t>
  </si>
  <si>
    <t>Energy Storage Equipment</t>
  </si>
  <si>
    <t>R1.5</t>
  </si>
  <si>
    <t>R0.5</t>
  </si>
  <si>
    <t>357.0</t>
  </si>
  <si>
    <t>Underground Conduit</t>
  </si>
  <si>
    <t>L4.0</t>
  </si>
  <si>
    <t>True-Up Interest Rate Calculation</t>
  </si>
  <si>
    <t>Rate Year January</t>
  </si>
  <si>
    <t>Rate Year February</t>
  </si>
  <si>
    <t>Rate Year March</t>
  </si>
  <si>
    <t>Rate Year April</t>
  </si>
  <si>
    <t>Rate Year May</t>
  </si>
  <si>
    <t>Rate Year June</t>
  </si>
  <si>
    <t>Rate Year July</t>
  </si>
  <si>
    <t>Rate Year August</t>
  </si>
  <si>
    <t>Rate Year September</t>
  </si>
  <si>
    <t>Rate Year October</t>
  </si>
  <si>
    <t>Rate Year November</t>
  </si>
  <si>
    <t>Rate Year December</t>
  </si>
  <si>
    <t>RETURN ON RATE BASE (R)</t>
  </si>
  <si>
    <t xml:space="preserve">321.112.b </t>
  </si>
  <si>
    <t xml:space="preserve">     Less Actual PBOP Expense in Year</t>
  </si>
  <si>
    <t>321.97.b</t>
  </si>
  <si>
    <t>321.96.b</t>
  </si>
  <si>
    <t>323.197.b</t>
  </si>
  <si>
    <t>336.7.b&amp;d</t>
  </si>
  <si>
    <t>336.10.b&amp;d, 336.1.b&amp;d</t>
  </si>
  <si>
    <t>266.8f (enter negative)</t>
  </si>
  <si>
    <t>Monthly Balances for Capital Structure</t>
  </si>
  <si>
    <t>December (prior year)</t>
  </si>
  <si>
    <t xml:space="preserve">June </t>
  </si>
  <si>
    <t xml:space="preserve">October </t>
  </si>
  <si>
    <t>( c)</t>
  </si>
  <si>
    <t>Return on Rate Base Worksheet</t>
  </si>
  <si>
    <t xml:space="preserve">Less Preferred Stock (line 8) </t>
  </si>
  <si>
    <t>Attachment 5, (Notes Q &amp; R)</t>
  </si>
  <si>
    <t>Long Term Debt (112.24.c)</t>
  </si>
  <si>
    <t>Undistributed Sub Earnings 216.1 (112.12.c)</t>
  </si>
  <si>
    <t>Long Term Interest and Fees (117, sum of 62.c through 67.c)</t>
  </si>
  <si>
    <t>Accum Other Comp. Income 219 (112.15.c)</t>
  </si>
  <si>
    <t xml:space="preserve">  Preferred Stock </t>
  </si>
  <si>
    <t>Long Term debt balance will reflect the 13 month average of the balances, of which the 1st and 13th are found on page 112 lines 18.c to 21.c in the Form No. 1, the cost is calculated by dividing line 1 by the Long Term Debt balance on line 8.</t>
  </si>
  <si>
    <t>(Sum of Lines 8 through 10)</t>
  </si>
  <si>
    <t>(Sum of Lines 3 through 6)</t>
  </si>
  <si>
    <t xml:space="preserve">Less Account 216.1 Undistributed Subsidiary Earnings (Line 24(d)) </t>
  </si>
  <si>
    <t>Less Account 219 Accum. Other Comprehensive Income (Line 24(e))</t>
  </si>
  <si>
    <t>Common Stock balance will reflect the 13 month average of the balances, of which the 1st and 13th are found on Form 1 page 112 line 16.c less lines 3.c , 12.c, and 15.c</t>
  </si>
  <si>
    <t>Line of Credit Fees (68.c)</t>
  </si>
  <si>
    <t>Total Interest and Fees</t>
  </si>
  <si>
    <t>Interest Rate Information</t>
  </si>
  <si>
    <t>Commitment Fee Rate (%)</t>
  </si>
  <si>
    <t>Total Loan Amount</t>
  </si>
  <si>
    <t>Principal  Drawn ($000)</t>
  </si>
  <si>
    <t>Unutilized Loan Balance ($000)</t>
  </si>
  <si>
    <t>Commitment Fee &amp; Utilization Fee ($000)</t>
  </si>
  <si>
    <t>Interest Expense ($000)</t>
  </si>
  <si>
    <t>Effective Annual  Interest Rate (%)</t>
  </si>
  <si>
    <t>Projected Average Drawn Rate for Rate Year (%) - Note A</t>
  </si>
  <si>
    <t>Applicable FERC Interest Rate (Note A):</t>
  </si>
  <si>
    <t>This Attachment is used to compute the interest rate to be applied to each year's revenue requirement true-up.</t>
  </si>
  <si>
    <t>Rate Year Debt Fee expense - Line 35 ( e )</t>
  </si>
  <si>
    <t>13 Month Average Long-Term Debt - Note A</t>
  </si>
  <si>
    <t>Long Term Debt</t>
  </si>
  <si>
    <t>Monthly Average rate</t>
  </si>
  <si>
    <t>Description</t>
  </si>
  <si>
    <t>Total Annual Revenue Requirements</t>
  </si>
  <si>
    <t>Adjustment with</t>
  </si>
  <si>
    <t>Adjustment</t>
  </si>
  <si>
    <t>Correction</t>
  </si>
  <si>
    <t>True-Up</t>
  </si>
  <si>
    <r>
      <t>(Expense)</t>
    </r>
    <r>
      <rPr>
        <vertAlign val="superscript"/>
        <sz val="8"/>
        <rFont val="Times New Roman"/>
        <family val="1"/>
      </rPr>
      <t>4</t>
    </r>
  </si>
  <si>
    <r>
      <rPr>
        <sz val="10"/>
        <rFont val="Times New Roman"/>
        <family val="1"/>
      </rPr>
      <t>Interest</t>
    </r>
    <r>
      <rPr>
        <sz val="8"/>
        <rFont val="Times New Roman"/>
        <family val="1"/>
      </rPr>
      <t xml:space="preserve"> </t>
    </r>
    <r>
      <rPr>
        <vertAlign val="superscript"/>
        <sz val="10"/>
        <rFont val="Times New Roman"/>
        <family val="1"/>
      </rPr>
      <t>5</t>
    </r>
  </si>
  <si>
    <t>(Note 5)</t>
  </si>
  <si>
    <r>
      <t>Requirement</t>
    </r>
    <r>
      <rPr>
        <vertAlign val="superscript"/>
        <sz val="10"/>
        <color theme="1"/>
        <rFont val="Times New Roman"/>
        <family val="1"/>
      </rPr>
      <t>3</t>
    </r>
  </si>
  <si>
    <t>Actual True-Up Year</t>
  </si>
  <si>
    <t>Projected True-Up Year Revenue</t>
  </si>
  <si>
    <t>(Note E)</t>
  </si>
  <si>
    <t>Calendar Year</t>
  </si>
  <si>
    <t>Impact of</t>
  </si>
  <si>
    <t>Corrected Revenue Requirement</t>
  </si>
  <si>
    <t>Attachment 10</t>
  </si>
  <si>
    <t>Attachment 11</t>
  </si>
  <si>
    <t>Filing Name and Date</t>
  </si>
  <si>
    <t>Description of Correction 1</t>
  </si>
  <si>
    <t>Description of Correction 2</t>
  </si>
  <si>
    <t>Total Corrections</t>
  </si>
  <si>
    <t>Interest on Correction</t>
  </si>
  <si>
    <t>Incentive Return in Basis Points</t>
  </si>
  <si>
    <t>Gross Transmission Plant plus CWIP</t>
  </si>
  <si>
    <t>Net Transmission Plant plus CWIP and Abandoned Plant</t>
  </si>
  <si>
    <t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t>
  </si>
  <si>
    <t>Requires approval by FERC of incentive return applicable to the specified project(s).</t>
  </si>
  <si>
    <t>1a</t>
  </si>
  <si>
    <t>1b</t>
  </si>
  <si>
    <t>(Note A)</t>
  </si>
  <si>
    <t xml:space="preserve">Recovery of a Regulatory Asset is permitted only for pre-commercial and formation expenses, and is subject to FERC approval before the amortization of the Regulatory Asset can be included in rates.  Recovery of any other regulatory assets requires authorization from the Commission. </t>
  </si>
  <si>
    <t>Note D</t>
  </si>
  <si>
    <t>Account No. 281
Accumulated Deferred Income Taxes (Note E)</t>
  </si>
  <si>
    <t>Account No. 282
Accumulated Deferred Income Taxes (Note E)</t>
  </si>
  <si>
    <t>Account No. 283
Accumulated Deferred Income Taxes (Note E)</t>
  </si>
  <si>
    <t>Account No. 190
Accumulated Deferred Income Taxes (Note E)</t>
  </si>
  <si>
    <t>Unfunded Reserves    (Notes A and F and G)</t>
  </si>
  <si>
    <t>(Sum of Lines 1 through 4)</t>
  </si>
  <si>
    <t>Total G &amp; I Depreciation Expense</t>
  </si>
  <si>
    <t>GENERAL AND INTANGIBLE (G &amp; I) DEPRECIATION EXPENSE</t>
  </si>
  <si>
    <t>Total  (sum lines 3-5)</t>
  </si>
  <si>
    <t>WCLTD = Page 4, Line 15, R = Page 4, Line 18</t>
  </si>
  <si>
    <t>(Note B)</t>
  </si>
  <si>
    <t>(Sum of Lines 2 through 5)</t>
  </si>
  <si>
    <t>(Line 1 less line 6 plus lines 7 and 8)</t>
  </si>
  <si>
    <t xml:space="preserve">D </t>
  </si>
  <si>
    <t>Attachment 4, Line 28, Col. (h) (Note D)</t>
  </si>
  <si>
    <t>Balances in Accounts 190, 281, 282 and 283 classified in the FERC Form 1 as Electric-related, as adjusted by any amounts in contra accounts identified as regulatory assets or liabilities related to FASB 106 or 109.  Balance of Account 255 will be reduced by prior flow throughs and excluded if the utility chooses to utilize amortization of tax credits against taxable income.  Account 281 is not allocated to Transmission.</t>
  </si>
  <si>
    <t>Attachment 4, Line 28, Col. (b) (Note E)</t>
  </si>
  <si>
    <t>Attachment 4, Line 28, Col. (c) (Note F)</t>
  </si>
  <si>
    <t>Attachment 4, Line 14, Col. (e) (Note G)</t>
  </si>
  <si>
    <t>Cash Working Capital assigned to transmission is one-eighth of O&amp;M allocated to transmission at page 3, line 15, column 5 minus amortization of Regulatory Asset at page 3, line 12, column 5.  Prepayments are the electric related prepayments booked to Account No. 165 and reported on page 111, line 57 in the Form 1.</t>
  </si>
  <si>
    <t xml:space="preserve">Attachment 4, Line 14, Col. (f) </t>
  </si>
  <si>
    <t>Note J</t>
  </si>
  <si>
    <t>Note K</t>
  </si>
  <si>
    <t>GROSS REVENUE REQUIREMENT, without incentives</t>
  </si>
  <si>
    <t>350.xx.h (Note I)</t>
  </si>
  <si>
    <t xml:space="preserve">Page 3, Line 8-Add back Regulatory Commission Expenses directly related to transmission service, ISO filings, or transmission siting itemized at 351.h. </t>
  </si>
  <si>
    <t>Total PBOP expenses, corporate parent companies</t>
  </si>
  <si>
    <t>Labor (labor not capitalized) current year</t>
  </si>
  <si>
    <t>Notes</t>
  </si>
  <si>
    <t>Attachment 7, Line 10, Col. (c)</t>
  </si>
  <si>
    <t>Note E</t>
  </si>
  <si>
    <t xml:space="preserve">    Amortization of Regulatory Asset</t>
  </si>
  <si>
    <t>Note F</t>
  </si>
  <si>
    <t>Plant In Service, Accumulated Depreciation, and Depreciation Expenses shall exclude Asset Retirement Obligation amounts.</t>
  </si>
  <si>
    <t>TAXES OTHER THAN INCOME TAXES   (Note M)</t>
  </si>
  <si>
    <t>N</t>
  </si>
  <si>
    <t>INCOME TAXES    (Note N)</t>
  </si>
  <si>
    <t>Note N</t>
  </si>
  <si>
    <t xml:space="preserve">DEPRECIATION EXPENSE </t>
  </si>
  <si>
    <t>Note H</t>
  </si>
  <si>
    <t>WORKING CAPITAL</t>
  </si>
  <si>
    <t xml:space="preserve">ACCUMULATED DEPRECIATION </t>
  </si>
  <si>
    <t xml:space="preserve">GROSS PLANT IN SERVICE </t>
  </si>
  <si>
    <t>Note O</t>
  </si>
  <si>
    <t>O</t>
  </si>
  <si>
    <t>(Note P)</t>
  </si>
  <si>
    <t>Less Transmission plant included in OATT Ancillary Service rates</t>
  </si>
  <si>
    <t>S</t>
  </si>
  <si>
    <t>(Note S)</t>
  </si>
  <si>
    <t>T</t>
  </si>
  <si>
    <t>Attachment 5, (Notes Q, R, and T)</t>
  </si>
  <si>
    <t>U</t>
  </si>
  <si>
    <t>Includes only income related to transmission facilities, such as pole attachments, rentals and special use from general ledger.</t>
  </si>
  <si>
    <t xml:space="preserve">Removes dollar amount of transmission plant to be included in the development of OATT ancillary services rates and generation step-up facilities, which are deemed to be included in OATT ancillary services.  For these purposes, generation step-up facilities are those facilities at a generator substation on which there is no through-flow when the generator is shut down.  </t>
  </si>
  <si>
    <t>A.</t>
  </si>
  <si>
    <t>B.</t>
  </si>
  <si>
    <t>Point-to-Point Service</t>
  </si>
  <si>
    <t>C.</t>
  </si>
  <si>
    <t>PJM Regional Service</t>
  </si>
  <si>
    <t>RTEP Project Number Or Other Identifier</t>
  </si>
  <si>
    <t>(Note I)</t>
  </si>
  <si>
    <t>Project Net Plant is the Project Gross Plant Identified in Column 3 less the associated Accumulated Depreciation plus CWIP in rate base if applicable and Unamortized Abandoned Plant.</t>
  </si>
  <si>
    <r>
      <t>True-Up Year Revenue Received</t>
    </r>
    <r>
      <rPr>
        <vertAlign val="superscript"/>
        <sz val="10"/>
        <color theme="1"/>
        <rFont val="Times New Roman"/>
        <family val="1"/>
      </rPr>
      <t>1</t>
    </r>
  </si>
  <si>
    <t>Formula Rate True-Up</t>
  </si>
  <si>
    <t>Description of Adjustment</t>
  </si>
  <si>
    <t>Revenue Req.</t>
  </si>
  <si>
    <t>(E, Line 2 ) x (D)</t>
  </si>
  <si>
    <t>Collection  (F)-(E)</t>
  </si>
  <si>
    <t>(G) + (H) + (I)</t>
  </si>
  <si>
    <t>Allocation of</t>
  </si>
  <si>
    <t xml:space="preserve">     Less EPRI Dues</t>
  </si>
  <si>
    <t xml:space="preserve">     Less: Non-safety Advertising account 930.1</t>
  </si>
  <si>
    <t xml:space="preserve">     Less Reg. Commission Expense Account 928</t>
  </si>
  <si>
    <t xml:space="preserve">Page 3, Line 6 - Subtract all EPRI Annual Membership Dues listed in Form 1 at 353.f, all Regulatory Commission Expenses in account 928 itemized at 351.h, and non-safety related advertising included in Account 930.1.  </t>
  </si>
  <si>
    <t>(Sum of Lines 1, 4, 10, 11, 12, 16 less Lines 2, 3, 5-9)</t>
  </si>
  <si>
    <t xml:space="preserve">    Misc. Transmission Expense (less amort. of regulatory asset)</t>
  </si>
  <si>
    <t>1/8*(Page 3, Line 17 minus Page 3, Line 14)</t>
  </si>
  <si>
    <t>(page 3, line 49)</t>
  </si>
  <si>
    <t xml:space="preserve">     Plus Transmission Lease Payments in Acct 565</t>
  </si>
  <si>
    <t>1 / (1 - T), T from Line 34</t>
  </si>
  <si>
    <t>13 Month Average</t>
  </si>
  <si>
    <t>Net Revenue Requirement</t>
  </si>
  <si>
    <t>Zonal ATRR Without Incentives</t>
  </si>
  <si>
    <t>Zonal ATRR With Incentives</t>
  </si>
  <si>
    <t>Rate Calculations</t>
  </si>
  <si>
    <t>Average rate</t>
  </si>
  <si>
    <t>Rate Year Plus 1 January</t>
  </si>
  <si>
    <t>Rate Year Plus 1 February</t>
  </si>
  <si>
    <t>Rate Year Plus 1 March</t>
  </si>
  <si>
    <t>Rate Year Plus 1 April</t>
  </si>
  <si>
    <t>Rate Year Plus 1 May</t>
  </si>
  <si>
    <t>Note V</t>
  </si>
  <si>
    <t xml:space="preserve">Add back any lease expense of transmission assets used to provide service under this tariff included in account 565. Amount to be obtained from company books and records. </t>
  </si>
  <si>
    <t>Identified in FERC Form 1, or Company records if not so indicated on the FERC Form 1, as being transmission related.</t>
  </si>
  <si>
    <t>Includes only FICA, unemployment, highway, property, gross receipts, and other assessments charged in the current year.  Taxes related to income are excluded. Gross receipts taxes are not included in transmission revenue requirement in the Rate Formula Template, since they are recovered elsewhere. Enter the line number on page 263 upon which each item is identified.</t>
  </si>
  <si>
    <t xml:space="preserve">263._.i </t>
  </si>
  <si>
    <t>Incremental Approved Incentives for non-Schedule 12 projects</t>
  </si>
  <si>
    <t>Attachment 3, line 4, Col. G+H</t>
  </si>
  <si>
    <t>Schedule 12 ATRR Without Incentives</t>
  </si>
  <si>
    <t>Project Revenue Requirement Worksheet</t>
  </si>
  <si>
    <t>PJM Category</t>
  </si>
  <si>
    <t>Schedule 12</t>
  </si>
  <si>
    <t>Zonal</t>
  </si>
  <si>
    <t>Total Schedule 12</t>
  </si>
  <si>
    <t>Total Zonal</t>
  </si>
  <si>
    <t>Or Other</t>
  </si>
  <si>
    <t>Identifier</t>
  </si>
  <si>
    <t>True-Up Adjustment is calculated on the Project True-up Schedule for the relevant true-up year.</t>
  </si>
  <si>
    <t xml:space="preserve">Sum Col. 14 &amp; 15 
</t>
  </si>
  <si>
    <t>This Attachment 3 is used to calculate the annual formula rate true-up. Any projects for which the RTO requires a true-up on an individual project basis, as shown on Attachment 1, will be computed separately. The remainder of the revenue requirement will also be trued up. The utility will individually enter the projected true-up year revenue requirements in Column C. A percentage of total will be calculated in Column D. Actual revenue received during the true-up year is entered into Column E, line 2 and allocated using the Column D percentage. The utility will prepare this formula rate template with the actual inputs for the true-up year, with the resulting revenue requirement for each line being separately entered in Column F.  In Col. G, Col. F is subtracted from Col. E to calculate the true-up adjustment. Interest on the true-up is computed in Column H. Any adjustments to prior period true-ups are entered in Col. I. Col. J computes the total true-up as the sum of Cols. G, H and I.</t>
  </si>
  <si>
    <t>4a</t>
  </si>
  <si>
    <t>4b</t>
  </si>
  <si>
    <t>6a</t>
  </si>
  <si>
    <t>6b</t>
  </si>
  <si>
    <t>Line:</t>
  </si>
  <si>
    <t>Less:  Revenue Requirements Included in Line 10 For Schedule 12 Projects</t>
  </si>
  <si>
    <t>Line 9</t>
  </si>
  <si>
    <t xml:space="preserve">Current Year Annual Transmission Revenue Requirement, including true-up </t>
  </si>
  <si>
    <t>Attachment 1, line 2, Col. 16</t>
  </si>
  <si>
    <t>Attachment 1, line 4, Col. 12</t>
  </si>
  <si>
    <t>Attachment 1, line 2, Col. 12</t>
  </si>
  <si>
    <t>Attachment 1, line 2, Col. 16 less line 12</t>
  </si>
  <si>
    <t xml:space="preserve"> Schedule 12 Revenue Requirement</t>
  </si>
  <si>
    <t>Line 15 is provided from PJM records</t>
  </si>
  <si>
    <t>Network Service (NITS)</t>
  </si>
  <si>
    <t>True-Up Cost of Debt (Line 3 / Line 17)</t>
  </si>
  <si>
    <t>Interest rate on Construction Debt for Rate Year - Line 19 (g)</t>
  </si>
  <si>
    <t>13 Month Average Debt balance - Line 19 ( c)</t>
  </si>
  <si>
    <t>216.b for end of year, records for other months</t>
  </si>
  <si>
    <t>Total CWIP</t>
  </si>
  <si>
    <t>Company records</t>
  </si>
  <si>
    <t>( c )= (a) - (b)</t>
  </si>
  <si>
    <t>CWIP Allowed in Rate Base</t>
  </si>
  <si>
    <t>Less: CWIP  and AFUDC Excluded from Rate Base</t>
  </si>
  <si>
    <t>Page 1 of 2</t>
  </si>
  <si>
    <t>Attachment 4, Line 43, Col. (h)</t>
  </si>
  <si>
    <t>Note B - page 2, column C</t>
  </si>
  <si>
    <t>Over (Under) Recovery</t>
  </si>
  <si>
    <t>Less</t>
  </si>
  <si>
    <t>Equals</t>
  </si>
  <si>
    <t>Interest Rate on Amount of Refunds or Surcharges</t>
  </si>
  <si>
    <t>Over (Under) Recovery Plus Interest</t>
  </si>
  <si>
    <t>Months</t>
  </si>
  <si>
    <t>Calculated Interest</t>
  </si>
  <si>
    <t>Amortization</t>
  </si>
  <si>
    <t>Surcharge (Refund) Owed</t>
  </si>
  <si>
    <t xml:space="preserve">An over or under collection will be recovered prorata over year collected, held for one year and returned prorata over next year </t>
  </si>
  <si>
    <t>Calculation of Interest</t>
  </si>
  <si>
    <t>Monthly</t>
  </si>
  <si>
    <t>Annual</t>
  </si>
  <si>
    <t>Over (Under) Recovery Plus Interest Amortized and Recovered Over 12 Months</t>
  </si>
  <si>
    <t>Total Amount of True-Up Adjustment</t>
  </si>
  <si>
    <t>Less Over (Under) Recovery</t>
  </si>
  <si>
    <t>Total Interest</t>
  </si>
  <si>
    <t>Interest on True-Up</t>
  </si>
  <si>
    <t>Attachment 6a</t>
  </si>
  <si>
    <t xml:space="preserve">Total Interest on True-Up - Attachment 6 </t>
  </si>
  <si>
    <t xml:space="preserve">  Cash Working Capital</t>
  </si>
  <si>
    <t>Page 3 of 5</t>
  </si>
  <si>
    <t>Page 2 of 5</t>
  </si>
  <si>
    <t>Page 1 of 5</t>
  </si>
  <si>
    <t>Page 4 of 5</t>
  </si>
  <si>
    <t>Page 5 of 5</t>
  </si>
  <si>
    <t>Unamortized Abandoned Plant and Amortization of Abandoned Plant will be zero until the Commission accepts or approves recovery of the cost of Abandoned Plant.  Utility must submit a Section 205 filing to recover the cost of abandoned plant.</t>
  </si>
  <si>
    <t>Calculate rate base using 13 month average balance, except ADIT which is calculated based on the average of the beginning of the year and the end of the year balances.</t>
  </si>
  <si>
    <t>ROE will be supported in the original Section 205 filing and no change in ROE may be made absent a filing with FERC.</t>
  </si>
  <si>
    <t>General and Intangible Depreciation and Amortization Expense includes all expense not directly associated with a project, which is entered on page 3 , column 9.</t>
  </si>
  <si>
    <t>For example, if the Commission were to grant a 150 basis point ROE incentive, the increase in return and taxes for a 100 basis point</t>
  </si>
  <si>
    <t>increase in ROE would be multiplied by 1.5 on Attachment 1 column 12.</t>
  </si>
  <si>
    <t>The Formula Rate shall include a credit to rate base for all unfunded reserves (funds collected from customers that (1) have not been set aside in a trust, escrow or restricted account; (2) whose balance are collected from customers through cost accruals to accounts that are recovered under the Formula Rate; and (3) exclude the portion of any balance offset by a balance sheet account (see Note H)).  Each unfunded reserve will be included on lines 42 above.  The allocator in Col. (g) will be the same allocator used in the formula for the cost accruals to the account that is recovered under the Formula Rate.  Since reserves can be created by creating an offsetting balance sheet account, rather than through cost accruals, the amount to be deducted from rate base should exclude the portion offset by another balance sheet account.</t>
  </si>
  <si>
    <t>Enter the percentage paid for by customers less the percent associated with an offsetting liability on the balance sheet (Note H)</t>
  </si>
  <si>
    <t xml:space="preserve">The inputs in Column (f) are the percentage of the unfunded reserve that was created by an offsetting liability.  The percentage shown in Column (f) is then equal to the percentage that customers have contributed to the unfunded reserve. </t>
  </si>
  <si>
    <t>Enter 1 if the accrual account is included in the formula rate, enter (0) if the accrual account is NOT included in the formula rate</t>
  </si>
  <si>
    <t>(c) = (a+b)</t>
  </si>
  <si>
    <t>FROM CASE NO. 14-1151-E-D     (NOTE A)</t>
  </si>
  <si>
    <t>These depreciation rates will not be changed absent a FERC order.</t>
  </si>
  <si>
    <t>Calculated Initial Annual Depreciation Rates (Note B)</t>
  </si>
  <si>
    <t xml:space="preserve">The interest rate on corrections will be the average monthly FERC interest rate for the period from the beginning of the year being corrected through the most recent  month available as of the time the correction is computed and included in an annual filing. </t>
  </si>
  <si>
    <t>Original Revenue Requirement</t>
  </si>
  <si>
    <t>Line 7</t>
  </si>
  <si>
    <t>Line 4 + 5</t>
  </si>
  <si>
    <t>line 2 + 7</t>
  </si>
  <si>
    <t>Total Annual Refunds Due to Customers</t>
  </si>
  <si>
    <t>Line 12+16</t>
  </si>
  <si>
    <t>The number of months interest due on the correction will be the number of months from the beginning of the year being corrected through June of the year in which the correction will be reflected in rates. In this manner the interest computed will reflect all years prior to when the correction is reflected in rates plus interest on the average unrefunded balance of the correction during the year the correction is reflected in rates.</t>
  </si>
  <si>
    <t>Number of Months of Interest</t>
  </si>
  <si>
    <t>Line 12 x 14 x 15</t>
  </si>
  <si>
    <t>Average Monthly FERC Refund Rate</t>
  </si>
  <si>
    <t>1)</t>
  </si>
  <si>
    <t>2)</t>
  </si>
  <si>
    <t>3)</t>
  </si>
  <si>
    <t>4)</t>
  </si>
  <si>
    <t>5)</t>
  </si>
  <si>
    <t xml:space="preserve"> Corrections to true-ups for previous rate years including interest will be computed on Attachment 11 and entered on the appropriate line 3-8 above.</t>
  </si>
  <si>
    <t>Interest due on the true up is calculated for the 24 month period from the start of the true-up year until the end of the year following the true-up year when the true up will be included in rates. Total True up Interest calculate on Attachment 6 and allocated to projects based on the percentage in Column D.</t>
  </si>
  <si>
    <t>From True-Up revenue requirement template Attachment 1, line 1 or 3, col. 14.</t>
  </si>
  <si>
    <t>From the Attachment 1, line 1 or 3, col. 16 from the template in which the true-up year revenue requirement was initially projected.</t>
  </si>
  <si>
    <t>INTANGIBLE PLANT</t>
  </si>
  <si>
    <t>Miscellaneous Intangible Plant</t>
  </si>
  <si>
    <t xml:space="preserve">Example Fee Calculation - All amounts represent actual rate year expenses. </t>
  </si>
  <si>
    <t xml:space="preserve">LAND HELD FOR FUTURE USE </t>
  </si>
  <si>
    <t>Any hypothetical amounts or project names in a filed template will be removed and replaced with actual amounts in the first year actual values are available without the need for a section 205 filing to modify the template.</t>
  </si>
  <si>
    <t>FIT=</t>
  </si>
  <si>
    <t>One time up-front debt fees, including origination fees will be amortized and included in the cost of debt.</t>
  </si>
  <si>
    <t>Competitive Concession</t>
  </si>
  <si>
    <t>Account 454 - Rent from Electric Property</t>
  </si>
  <si>
    <t>Total Revenue Credits</t>
  </si>
  <si>
    <t>Note 1</t>
  </si>
  <si>
    <t>Joint pole attachments - telephone</t>
  </si>
  <si>
    <t>Joint pole attachments - cable</t>
  </si>
  <si>
    <t>Underground rentals</t>
  </si>
  <si>
    <t>Transmission tower wireless rentals</t>
  </si>
  <si>
    <t>Other rentals</t>
  </si>
  <si>
    <t>Attachment 12</t>
  </si>
  <si>
    <t>Revenue Credit Detail</t>
  </si>
  <si>
    <t>Monthly Interest Rate on Attachment 6a</t>
  </si>
  <si>
    <t>Company books</t>
  </si>
  <si>
    <t>Over/Under recovery deferral</t>
  </si>
  <si>
    <t>PJM NITS</t>
  </si>
  <si>
    <t>PJM Point to Point</t>
  </si>
  <si>
    <t>Form 1 300.19.b</t>
  </si>
  <si>
    <t>Form 1 330.n</t>
  </si>
  <si>
    <t>Account 454 Revenue Credit</t>
  </si>
  <si>
    <t>Transmission-related</t>
  </si>
  <si>
    <t>Less: Non Transmission</t>
  </si>
  <si>
    <t>(c ) = (a)- (b)</t>
  </si>
  <si>
    <t>Other PJM revenues</t>
  </si>
  <si>
    <t>(Note 1)</t>
  </si>
  <si>
    <t>Less: revenues received pursuant to this Formula Rate</t>
  </si>
  <si>
    <t>Attachment 12, line 8 (Note U)</t>
  </si>
  <si>
    <t xml:space="preserve">  Total Per Books</t>
  </si>
  <si>
    <t>The revenues credited on page 1 lines 2-6 shall include only the amounts received directly from the ISO for service under this tariff reflecting the Transmission Owner's integrated transmission facilities.  They do not include revenues associated with FERC annual charges, gross receipts taxes, or facilities not included in this template (e.g., direct assignment facilities and GSUs) which are not recovered under this Rate Formula Template.</t>
  </si>
  <si>
    <t>Account 456.1 Other Operating Revenues</t>
  </si>
  <si>
    <t>Account 456.1 Revenue Credit</t>
  </si>
  <si>
    <t xml:space="preserve">All 454 and 456.1 revenues will be detailed from Company books and records or FERC Form 1, and additional rows added if necessary. Non-transmission related amounts will be deducted to determine transmission-related amounts. Revenues that are not derived from PJM rates which are based on this transmission formula rate will be included as a revenue credit.   </t>
  </si>
  <si>
    <t>Year Ended December 31, 2014</t>
  </si>
  <si>
    <t>Less: Over/Under recovery deferral</t>
  </si>
  <si>
    <t>Attachment 12, line 18 (Note A)</t>
  </si>
  <si>
    <t>The cost of debt will be determined based on the financing in place during each stage of project development. Before debt is obtained, a proxy interest rate which will be supported in the original Section 205 filing will be used. This rate is provided on Attachment 8 line 36. If construction debt (wherein principal is drawn down over time) is issued, the rate plus an amortization of fees projected to be incurred on the construction debt during the rate year will be the cost of debt. This construction debt rate (inclusive of fees) will be reset and trued-up every year using the method on Attachment 9 for multi-year construction projects. Once non-construction debt is obtained, the actual interest rate and fees on the debt in place at the end of the year such non-construction debt is obtained will become the cost of debt. In the first full year after non-construction debt is obtained, the cost of debt will be the actual cost of debt determined using the method on Attachment 5.
A hypothetical capital structure of 60% Equity and 40% debt  will be used until the first transmission asset is placed in service, or until otherwise authorized by the Commission.</t>
  </si>
  <si>
    <t>The Competitive Concession is the reduction in revenue, if any, that the company agreed to, for instance, to be selected to build facilities as the result of a competitive process and equals the amount by which the  annual revenue requirement is reduced from the ceiling rate.</t>
  </si>
  <si>
    <t>Actual Net Revenue Requirement  (Note B)</t>
  </si>
  <si>
    <t>Projected Revenue Requirement (Note A)</t>
  </si>
  <si>
    <t>Prior Period Adjustments</t>
  </si>
  <si>
    <t>Note A - Lines 1-17 are the FERC interest rates under section 35.19a  of the regulations for the period shown. Line 18 is the average of lines 1-17.</t>
  </si>
  <si>
    <t xml:space="preserve">Amounts on lines 2-3 reflect data from the 2014 actuarial reports for AEP and KCP&amp;L. These values cannot change absent approval or acceptance by FERC in a separate proceeding. </t>
  </si>
  <si>
    <t>Actual PBOP in Company's O&amp;M and A&amp;G expense accounts in Form No. 1</t>
  </si>
  <si>
    <t>If construction debt has not or will not be issued when construction starts, a proxy rate will be used for the cost of debt, which will be supported in the initial section 205 filing. The proxy rate will be entered on line 36 of this attachment.</t>
  </si>
  <si>
    <t>If construction financing has been obtained, the cost of debt prior the issuance of non-construction financing shall be based on the terms of the construction financing and determined below. Up-front fees including origination fees will be amortized and included in the cost of debt.</t>
  </si>
  <si>
    <t>If construction financing is obtained, all rates, fees and monthly debt balances will be subject to true up pursuant to Attachment 9.</t>
  </si>
  <si>
    <t>Proxy Debt rate. Used prior to issuance of construction financing and supported in initial section 205 filing.</t>
  </si>
  <si>
    <t>LIBOR</t>
  </si>
  <si>
    <t>Spread</t>
  </si>
  <si>
    <t>Projected rate will be Average LIBOR for rate year + spread. Spread will be supported in initial section 205 filing. LIBOR will be updated based on information in the Wall Street Journal as of the 15th day of the month prior to population of this template.</t>
  </si>
  <si>
    <t>True-up - Construction Financing Cost of Debt</t>
  </si>
  <si>
    <t>Cost of Debt Prior to Issuing Non-Construction Financing</t>
  </si>
  <si>
    <t>The transmission and general plant depreciation rates proposed by Transource West Virginia were determined using the same depreciation study utilized by Appalachian Power to develop transmission and general plant depreciation rates that were approved by the Public Service Commission of West Virginia in their order in Case Nos. 14-1152-E-42T and 14-1151-E-D on May 26, 2015.</t>
  </si>
  <si>
    <t xml:space="preserve">Amounts on line 5 is the actual AEP straight-time labor, loaded for non-productive load, and KCP&amp;L labor booked to O&amp;M and A&amp;G and included in the Form No. 1 on page 354.28.b less labor dollars associated with the Wolf Creek Nuclear Facility.  </t>
  </si>
  <si>
    <t>Reconciliation of CWIP in Rate Base to FERC Form 1 - Note B</t>
  </si>
  <si>
    <t xml:space="preserve">Not all unfunded reserves are created only from contributions from customers.  Many are created by creating an offsetting liability in whole or in part.  Column (f) ensures only the portion of the unfunded reserve contributed by the customer (and not created by an offsetting liability) is a reduction to rate base.  </t>
  </si>
  <si>
    <t>FERC Approved Incentives on Schedule 12 projects</t>
  </si>
  <si>
    <t>The revenue received is the total amount of revenue distributed to company in the  year as shown on  pages 328-330 of the Form No 1. The Revenue Received is input on line 2, Col. E.</t>
  </si>
  <si>
    <t>Recovery of CWIP in rate base must be approved by FERC.  Lines 29-41 of page 2 provide a reconciliation of the Company's total CWIP to the CWIP allowed in rate base. The annual report filed pursuant to the Protocols will include for each project under construction (i) the CWIP balance eligible for inclusion in rate base; (ii) the CWIP balance ineligible for inclusion in rate base; and  (iii) a demonstration that AFUDC is only applied to the CWIP balance that is not included in rate base.  The annual report will also describe the reconciliation prepared on this Attachment.</t>
  </si>
  <si>
    <t xml:space="preserve">The labor in line 7 is the total labor charged by an AEP affiliate or KCP&amp;L affiliate to Transource West Virginia in the year. </t>
  </si>
  <si>
    <t>The Tax Effect of Permanent Differences captures the differences in the income taxes due under the Federal and State calculations and the income taxes calculated in Attachment H-26 that are not the result of a timing difference.</t>
  </si>
  <si>
    <t>Rate Formula Template - Attachment H-26</t>
  </si>
  <si>
    <t>To be completed in conjunction with Attachment H-26.</t>
  </si>
  <si>
    <t xml:space="preserve">This worksheet is used to compute project specific revenue requirements for any projects for which such calculation is required by PJM. This will generally include projects with specific incentives or competitive concessions, or projects with cost allocation outside of the AEP Zone. Projects will be listed as either Schedule 12,  Zonal, or other category defined by PJM. Other projects which comprise the remaining revenue requirement on Attachment H-26 will not be entered on this schedule. </t>
  </si>
  <si>
    <t>Gross Transmission Plant is that identified on page 2 line 2 of Attachment H-26 inclusive of any CWIP or unamortized abandoned plant included in rate base when authorized by FERC order.</t>
  </si>
  <si>
    <t>Net Plant is that identified on page 2 line 14 of Attachment H-26 inclusive of any CWIP or unamortized Abandoned Plant included in rate base when authorized by FERC order less any prefunded AFUDC, if applicable.</t>
  </si>
  <si>
    <t>Project Depreciation Expense is the actual value booked for the project (excluding General and Intangible depreciation) at Attachment H-26, page 3, line 19, plus amortization of Abandoned Plant at Attachment H-26, page 3, line 21.</t>
  </si>
  <si>
    <t>Attachment H-26</t>
  </si>
  <si>
    <t>Attachment H-26, Page 3, Line 39</t>
  </si>
  <si>
    <t>Attachment H-26, Page 3, Line 40</t>
  </si>
  <si>
    <t xml:space="preserve">       and FIT, SIT &amp; p are as given in Attachment H-26 footnote N.</t>
  </si>
  <si>
    <t xml:space="preserve"> in Attachment H-26 that are not the result of a timing difference.</t>
  </si>
  <si>
    <t xml:space="preserve">Attachment H-26, page 2, line 35, Col.5 </t>
  </si>
  <si>
    <t>(Notes Q &amp; R from Attachment H-26)</t>
  </si>
  <si>
    <t>(Notes Q, R, &amp; T from Attachment H-26)</t>
  </si>
  <si>
    <t>Cost = Attachment H-26, page 4, Line 17, Cost plus 100 bp</t>
  </si>
  <si>
    <t>Remaining Attachment H-26</t>
  </si>
  <si>
    <t>Line 24 (a), Note A and Attachment H-26 Note Q</t>
  </si>
  <si>
    <t>Line 24 (b), Note B and Attachment H-26 Note Q</t>
  </si>
  <si>
    <t>Line 8, Note C  and Attachment H-26 Notes Q and T</t>
  </si>
  <si>
    <t>Note A - Projected ATRR for the true-up year from Page 1, Line 1 of Projection Attachment H-26 minus Line 6 of Projection Attachment H-26.</t>
  </si>
  <si>
    <t>Note B - Actual Net ATRR for the true-up year from Page 1, Line 9 of True-Up Attachment H-26.</t>
  </si>
  <si>
    <t xml:space="preserve">This Attachment 8 is to be utilized to determine the cost of debt prior to issuing non-construction financing.  Once non-construction financing is issued the cost of debt shall be determined using the methodology described in Note Q on Attachment H-26. </t>
  </si>
  <si>
    <t>This Attachment 9 is to be utilized only in the event construction financing has been obtained to compute the actual cost of debt to be included in the return on rate base calculation for the true-up each year prior to the issuance of non-construction financing. Once non-construction financing has been obtained the cost of debt shall be determined using the methodology described in Note Q on Attachment H-26.</t>
  </si>
  <si>
    <t>Return    (Attach. H-26, page 3 line 48 col 5)</t>
  </si>
  <si>
    <t>Income Tax    (Attach. H-26, page 3 line 46 col 5)</t>
  </si>
  <si>
    <t>Attach H-26, p 2, line 2 col 5 plus line 25 col 5 (Note A)</t>
  </si>
  <si>
    <t>Attach H-26, p 2, line 14 col 5 plus line 25 &amp; 27 col 5 (Note B)</t>
  </si>
  <si>
    <t>Attach H-26, p 3, line 17 col 5</t>
  </si>
  <si>
    <t>Attach H-26, p 3, line 20, col 5 (Note C)</t>
  </si>
  <si>
    <t>Attach H-26, p 3, line 32 col 5</t>
  </si>
  <si>
    <t>Attach H-26, p 1, line 6 col 5</t>
  </si>
  <si>
    <t>Attach H-26, p 3, line 46 col 5</t>
  </si>
  <si>
    <t>Attach H-26, p 3, line 48 col 5</t>
  </si>
  <si>
    <t>Attachment H-26, Page 3, Line 41</t>
  </si>
  <si>
    <t xml:space="preserve">Unamortized Abandoned Plant  </t>
  </si>
  <si>
    <t>Preferred Stock (112.3.c)</t>
  </si>
  <si>
    <t>Any hypothetical amounts in a filed template will be removed and replaced with actual amounts in the first year actual construction loans are borrowed or projected to be borrowed without the need for a section 205 filing to modify the template.</t>
  </si>
  <si>
    <t>January through December</t>
  </si>
  <si>
    <t>True-Up Year</t>
  </si>
  <si>
    <t>Line 
No</t>
  </si>
  <si>
    <t>Thorofare</t>
  </si>
  <si>
    <t>b2609.4</t>
  </si>
  <si>
    <t>Proprietary Capital (Line 25 ( c)</t>
  </si>
  <si>
    <t>Gross Fee Amount</t>
  </si>
  <si>
    <t xml:space="preserve">263.10.i </t>
  </si>
  <si>
    <t>I.  Account 281 - ADIT - Accelerated Amortization Property</t>
  </si>
  <si>
    <t>(A)</t>
  </si>
  <si>
    <t>(B)</t>
  </si>
  <si>
    <t>(C)</t>
  </si>
  <si>
    <t>(D)</t>
  </si>
  <si>
    <t>(E)</t>
  </si>
  <si>
    <t>(F)</t>
  </si>
  <si>
    <t>(G)</t>
  </si>
  <si>
    <t>(H)</t>
  </si>
  <si>
    <t>(I)</t>
  </si>
  <si>
    <t>Relevant Year</t>
  </si>
  <si>
    <t>100%</t>
  </si>
  <si>
    <t>Total Included</t>
  </si>
  <si>
    <t>Avg. Balance</t>
  </si>
  <si>
    <t>Non-Transmission</t>
  </si>
  <si>
    <t>Related to Facilities</t>
  </si>
  <si>
    <t xml:space="preserve">Plant </t>
  </si>
  <si>
    <t>Labor</t>
  </si>
  <si>
    <t>in Ratebase</t>
  </si>
  <si>
    <t>Identification</t>
  </si>
  <si>
    <t>Related</t>
  </si>
  <si>
    <t>Excluded</t>
  </si>
  <si>
    <t>(E)+(F)+(G)</t>
  </si>
  <si>
    <t>Description / Justification</t>
  </si>
  <si>
    <t>Net Total Property and Accumulated Depreciation</t>
  </si>
  <si>
    <t>Accumulated deferred income taxes-Accelerated amortization property.</t>
  </si>
  <si>
    <t>Subtotal - Form 1, Avg. (272.17.b &amp; 273.17.k)</t>
  </si>
  <si>
    <t>Less FASB 109 Above if not separately removed</t>
  </si>
  <si>
    <t>Less FASB 106 and Other Excludable Items Above if not separately removed</t>
  </si>
  <si>
    <t>Transmission Allocator [ GP or W/S ]</t>
  </si>
  <si>
    <t>II.  Account 282 - ADIT - Other Property</t>
  </si>
  <si>
    <t>Related to Capitalized Software Timing Differences</t>
  </si>
  <si>
    <t>Subtotal - Form 1, Avg. (274.9.b &amp; 275.9.k)</t>
  </si>
  <si>
    <t>III.  Account 283 - ADIT - Other</t>
  </si>
  <si>
    <t>Related to Excess ADIT on Non-Plant Timing Differences</t>
  </si>
  <si>
    <t>Subtotal - Form 1, Avg. (276.19.b &amp; 277.19.k)</t>
  </si>
  <si>
    <t>IV.  Account 190 - ADIT</t>
  </si>
  <si>
    <t>Book Accrual Timing Differences</t>
  </si>
  <si>
    <t>Subtotal - Form 1, Avg. (234.17.b &amp; 234.17.c)</t>
  </si>
  <si>
    <t>AVG Bal</t>
  </si>
  <si>
    <t>Dr. (Cr.)</t>
  </si>
  <si>
    <t>Acct 282</t>
  </si>
  <si>
    <t>Form 1 p. 274.9.b</t>
  </si>
  <si>
    <t>Form 1 p. 275.9.k</t>
  </si>
  <si>
    <t>Acct 283</t>
  </si>
  <si>
    <t>Form 1 p. 276.19.b</t>
  </si>
  <si>
    <t>Form 1 p. 277.19.k</t>
  </si>
  <si>
    <t>Acct 190</t>
  </si>
  <si>
    <t>Form 1 p. 234.18.b</t>
  </si>
  <si>
    <t>Form 1 p. 234.18.c</t>
  </si>
  <si>
    <t>Acct 254</t>
  </si>
  <si>
    <t>Total Acct 254 Grossed Up - Form 1, p. 278.b</t>
  </si>
  <si>
    <t>Total Acct 254 Grossed Up - Form 1, p. 278.f</t>
  </si>
  <si>
    <t>Acct 182.3</t>
  </si>
  <si>
    <t>Acct 182.3 Gross Up</t>
  </si>
  <si>
    <t>Total Acct 182.3 Grossed Up - Form 1, p. 232.b</t>
  </si>
  <si>
    <t>Total Acct 182.3 Grossed Up - Form 1, p. 232.f</t>
  </si>
  <si>
    <t>Note 1: Excess or deficient ADIT balances resulting from corporate income tax rate changes, including future federal, state, and local tax rate changes, are to be recorded to Accounts 254 or 182.3, respectively.</t>
  </si>
  <si>
    <t>Account 282</t>
  </si>
  <si>
    <t>Days in Period</t>
  </si>
  <si>
    <t>Averaging with Proration</t>
  </si>
  <si>
    <t>Days in the Month</t>
  </si>
  <si>
    <t>Number of Days Remaining in Year After Month's Accrual of Deferred Taxes</t>
  </si>
  <si>
    <t>Total Days in Future Portion of Test Period</t>
  </si>
  <si>
    <t>Proration Amount (C / D)</t>
  </si>
  <si>
    <t>Projected Monthly Activity</t>
  </si>
  <si>
    <t>Prorated Projected Monthly Activity (E x F)</t>
  </si>
  <si>
    <t>Prorated Projected Balance (Cumulative Sum of G)</t>
  </si>
  <si>
    <t>Average Balance of Prorated Items</t>
  </si>
  <si>
    <t>Ending Balance of Prorated items</t>
  </si>
  <si>
    <t>Non-prorated Average Balance</t>
  </si>
  <si>
    <t>Proration Adjustment</t>
  </si>
  <si>
    <t>Account 283</t>
  </si>
  <si>
    <t>December 31st balance Prorated Items</t>
  </si>
  <si>
    <t>Account 190</t>
  </si>
  <si>
    <t>Account 281</t>
  </si>
  <si>
    <t>Protected -  (Excess) / Deficient ADIT Amortization (Note 2)</t>
  </si>
  <si>
    <t>Remaining</t>
  </si>
  <si>
    <t>in Income Tax Expense</t>
  </si>
  <si>
    <t>Total (Note 1)</t>
  </si>
  <si>
    <t>(e)+(f)+(g)</t>
  </si>
  <si>
    <t>Period (Note 2)</t>
  </si>
  <si>
    <t>ARAM</t>
  </si>
  <si>
    <t>Subtotal</t>
  </si>
  <si>
    <t>Transmission Allocator [GP or W/S ]</t>
  </si>
  <si>
    <t>Unprotected -  (Excess) / Deficient ADIT Amortization (Note 3)</t>
  </si>
  <si>
    <t>Period (Note 3)</t>
  </si>
  <si>
    <t>Total Company</t>
  </si>
  <si>
    <t>Beginning of Year</t>
  </si>
  <si>
    <t>Return to Provision</t>
  </si>
  <si>
    <t xml:space="preserve">Current Year </t>
  </si>
  <si>
    <t>End of Year</t>
  </si>
  <si>
    <t>Balances</t>
  </si>
  <si>
    <t>Adjustments</t>
  </si>
  <si>
    <t>EDIT Amortization</t>
  </si>
  <si>
    <t>Balance</t>
  </si>
  <si>
    <t xml:space="preserve">             Assumption Method" (ARAM).</t>
  </si>
  <si>
    <t xml:space="preserve">              tracked by item.  Excess and deficient unprotected amortization primarily relates to the following deferred tax items:   Federal &amp; State NOL Carryovers and Regulatory Assets &amp; Liabilities.</t>
  </si>
  <si>
    <t xml:space="preserve">Note 2: The amortization of Tax Cuts and Jobs Act ("TCJA") related Excess and Deficient Protected ADIT balances starts January 1, 2018 over the remaining life of Transource West Virginia LLC's assets consistent the "Average Rate </t>
  </si>
  <si>
    <t>Revenue Refund Timing Differences</t>
  </si>
  <si>
    <t>Worksheet 4a - ADIT Average Balances</t>
  </si>
  <si>
    <t>Worksheet 4b - Beginning &amp; Ending Balances</t>
  </si>
  <si>
    <t>Worksheet 4c - ADIT Proration Adjustment</t>
  </si>
  <si>
    <t>Worksheet 4d - (Excess)/Deficient ADIT Amortization (Note 1)</t>
  </si>
  <si>
    <t xml:space="preserve">ADIT is computed using the average of the beginning of the year and the end of the year balances. Attachments 4a and 4b are used to populate the average ADIT balances on line 28 above. ADIT calculations will be  prorated to the extent required by Section 1.167(l)-1(h)(6)(ii) of the IRS regulations. Rate Projections and True-ups will use Attachment 4c to calculate the proration adjustment. </t>
  </si>
  <si>
    <t>Worksheet 4b</t>
  </si>
  <si>
    <t>Less Proration Adjustment (from Worksheet 4c)</t>
  </si>
  <si>
    <t>Beginning Balance</t>
  </si>
  <si>
    <t>Ending Balance</t>
  </si>
  <si>
    <t>to Worksheet 4a</t>
  </si>
  <si>
    <t>Attachment 4 and 4a (Note D)</t>
  </si>
  <si>
    <t>Acct 281</t>
  </si>
  <si>
    <t>Form 1 p. 272.17.b</t>
  </si>
  <si>
    <t>Form 1 p. 273.17.k</t>
  </si>
  <si>
    <t>(j)</t>
  </si>
  <si>
    <t>Amortization Account</t>
  </si>
  <si>
    <t>410.1 / 411.1</t>
  </si>
  <si>
    <t>Worksheet 4d - (Excess) / Deficient Deferred Taxes - Calculated End of Year Balance</t>
  </si>
  <si>
    <t>Regulatory Asset/Liability Balances</t>
  </si>
  <si>
    <t>Note 1: Worksheet 4d presents total company amortization for excess / deficient ADIT amounts.  The amortization of the excess and deficient ADIT is recorded to accounts 411.1 and 410.1 respectively.</t>
  </si>
  <si>
    <t>Note 3: This amortization of TCJA-related Excess and Deficient Unprotected ADIT balances starts January 1, 2020 using an amortization period of one (1) year.  Unprotected amortization is not generally booked or</t>
  </si>
  <si>
    <t>Note 4: Further explanitory notes may be provided for future tax rate changes</t>
  </si>
  <si>
    <t>Worksheet 4e - Tax Remeasurement</t>
  </si>
  <si>
    <t>Reason for Tax Remeasurement:</t>
  </si>
  <si>
    <t>Tax Cuts and Jobs Acto of 2017</t>
  </si>
  <si>
    <t>Remeasurement</t>
  </si>
  <si>
    <t>Post-remeasurement</t>
  </si>
  <si>
    <t xml:space="preserve">Pre-remeasurement </t>
  </si>
  <si>
    <t>190/283 Reclass</t>
  </si>
  <si>
    <t>(Excess)/Deficiency</t>
  </si>
  <si>
    <t>Utility Account</t>
  </si>
  <si>
    <t>Percentage</t>
  </si>
  <si>
    <t>(e)=(c)*(d)</t>
  </si>
  <si>
    <t>(NOTE 2)</t>
  </si>
  <si>
    <t>(g)=(e)+(f)</t>
  </si>
  <si>
    <t xml:space="preserve"> (h)=(c)+(f)</t>
  </si>
  <si>
    <t xml:space="preserve">Pre-remeasurement Electric Utility Balance </t>
  </si>
  <si>
    <t xml:space="preserve">234.8.b </t>
  </si>
  <si>
    <t xml:space="preserve">   Less Deferred SIT</t>
  </si>
  <si>
    <t>Company Records</t>
  </si>
  <si>
    <t>Total including adjustments</t>
  </si>
  <si>
    <t>272.8.b</t>
  </si>
  <si>
    <t>282.1 (Enter Negative)</t>
  </si>
  <si>
    <t>274.5.b</t>
  </si>
  <si>
    <t>276.9.b</t>
  </si>
  <si>
    <t>283.1 (Enter Negative)</t>
  </si>
  <si>
    <t>Note 1: This sheet only to be used in years which have a change in corporate income tax rates.</t>
  </si>
  <si>
    <t>Note 2: As part of the reameasurement calculation, the remeasurement ADIT balances in account 1901001 were reclassed to account 2831001 to group nonproperty utility deferrals together as one timing difference.</t>
  </si>
  <si>
    <t>Note 3: Use blank rows in each account for any additonal adjustments needed prior to remeasurement.</t>
  </si>
  <si>
    <t xml:space="preserve">Excess / (Deficit) Deferred Income Taxes </t>
  </si>
  <si>
    <t>Related to Depreciation Timing Differences</t>
  </si>
  <si>
    <t>Related to repairs Timing Differences</t>
  </si>
  <si>
    <t>Line 38 &amp; 39 above</t>
  </si>
  <si>
    <t>Line 64 Above</t>
  </si>
  <si>
    <t>Federal Benefit on Deferred State Income Taxes on Utility Operations</t>
  </si>
  <si>
    <t>Related to Excess ADIT on Protected Plant Timing Differences</t>
  </si>
  <si>
    <t>Related to Excess ADIT on Unprotected Plant Timing Differences</t>
  </si>
  <si>
    <t>Federal Benefit of State on MO Net Operating Loss Carryforward</t>
  </si>
  <si>
    <t>Deferred State Income Taxes on Utility Operations</t>
  </si>
  <si>
    <t>Related to Reg Asset which is included in rate base</t>
  </si>
  <si>
    <t>Book Deferral Timing Differences</t>
  </si>
  <si>
    <t>Related to Capitlized Interest Expense</t>
  </si>
  <si>
    <t>Federal Net Operating Loss Carryforward</t>
  </si>
  <si>
    <t>Related to removal costs which are deductible for tax at the point the costs are incurred</t>
  </si>
  <si>
    <t>Related to capitalized interest timing differences.</t>
  </si>
  <si>
    <t>Lines 95 - 97 &amp; 105 Above</t>
  </si>
  <si>
    <t xml:space="preserve">For the 12 months ended </t>
  </si>
  <si>
    <t>230A ACRS Benefit Normalized</t>
  </si>
  <si>
    <t>532C- Book/Tax Unit of Property Adj</t>
  </si>
  <si>
    <t>380J Int Exp Capitalized</t>
  </si>
  <si>
    <t>712K- Capitalized Software Cost-Book</t>
  </si>
  <si>
    <t>712L CAPITALIZED SOFTWARE COST-BOOKS</t>
  </si>
  <si>
    <t>960F-XS Exess ADFIT 282.1 - Protected</t>
  </si>
  <si>
    <t>960F-XS Exess ADFIT 282.1 - Unprotected</t>
  </si>
  <si>
    <t>960F-XS Exess ADFIT 282.4 - Protected</t>
  </si>
  <si>
    <t>960F-XS Exess ADFIT 282.4 - Unprotected</t>
  </si>
  <si>
    <t>6009 - PT COR - NORM</t>
  </si>
  <si>
    <t>6011 - PT CPI - NORM</t>
  </si>
  <si>
    <t>6018 - PT Method/Life - NORM</t>
  </si>
  <si>
    <t>6024 - PT Repairs UOP - NORM</t>
  </si>
  <si>
    <t>6523 - 2020 712L 481(a) Software</t>
  </si>
  <si>
    <t>014C-MO - NOL-State C/F-Deferred Tax Asset</t>
  </si>
  <si>
    <t>911Q-DSIT  DSIT Entry-Normalized</t>
  </si>
  <si>
    <t>629X-FERC Formula Rates- Under Recovery</t>
  </si>
  <si>
    <t>671S Reg Asset - Pre Construction</t>
  </si>
  <si>
    <t>960F-XS Excess ADFIT 283.1 - Unprotected</t>
  </si>
  <si>
    <t>960F-XS Excess ADFIT 283.4 - Unprotected</t>
  </si>
  <si>
    <t>601E- INSURANCE PREMIUMS ACCRUED</t>
  </si>
  <si>
    <t>520A  Provision for Possible Revenue Refunds</t>
  </si>
  <si>
    <t>7080 - FERC FORMULA RATES-UNDER-RECOVERY</t>
  </si>
  <si>
    <t>7337 - REG ASSET-PRE CONSTRUCTION COSTS</t>
  </si>
  <si>
    <t>7021 - PROVS POSS REV REFDS-A/L</t>
  </si>
  <si>
    <t>7027 - INSURANCE PREMIUMS ACCRUED</t>
  </si>
  <si>
    <t>7048 - ACCRD COMPANYWIDE INCENTV PLAN</t>
  </si>
  <si>
    <t>601E- Insurance Premiums Accrued</t>
  </si>
  <si>
    <t>612Y  Accrued Companywide Incentive Plan</t>
  </si>
  <si>
    <t>960F-XS Excess ADFIT 282.4 - Protected</t>
  </si>
  <si>
    <t>960F-XS Excess ADFIT 282.4 - Unprotected</t>
  </si>
  <si>
    <t>960Z - NOL-Deferred Tax Asset Reclass</t>
  </si>
  <si>
    <t>4041 - NOL - DEFERRED TAX ASSET RECLASS</t>
  </si>
  <si>
    <t>960F-XS Exess ADFIT 282.4 - Protected - Gross-up</t>
  </si>
  <si>
    <t>960F-XS Exess ADFIT 282.4 - Unprotected - Gross-up</t>
  </si>
  <si>
    <t>960F-XS Excess ADFIT 283.4 - Unprotected - Gross-up.</t>
  </si>
  <si>
    <t>2017 TCJA Excess ADIT - Regulatory Tax Liability</t>
  </si>
  <si>
    <t xml:space="preserve">     (excludes Gross-up Adjustment)</t>
  </si>
  <si>
    <t>2017 TCJA Deficient ADIT - Regulatory Tax Asset</t>
  </si>
  <si>
    <t>0 Year</t>
  </si>
  <si>
    <t>Protected Plant, before Gross-up  (2017 TCJA Rate Change)</t>
  </si>
  <si>
    <t>The amortization of TCJA-related Excess and Deficient Protected ADIT balances starts January 1, 2018</t>
  </si>
  <si>
    <t xml:space="preserve">Protected Plant, Gross-up Adj </t>
  </si>
  <si>
    <t xml:space="preserve">Other Adjustments related to change in gross up rate &amp; reclass of balance </t>
  </si>
  <si>
    <t>Unprotected, before Gross-up (2017 TCJA Rate Change)</t>
  </si>
  <si>
    <t>The amortization of TCJA-related Excess and Deficient Unprotected ADIT balances starts January 1, 2023 - Fully Amortized in 2023</t>
  </si>
  <si>
    <t>Unprotected, Gross-up Adj</t>
  </si>
  <si>
    <t>For the 12 months ended 12/31/2024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</si>
</sst>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3">
    <numFmt numFmtId="5" formatCode="&quot;$&quot;#,##0_);\(&quot;$&quot;#,##0\)"/>
    <numFmt numFmtId="7" formatCode="&quot;$&quot;#,##0.00_);\(&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00%"/>
    <numFmt numFmtId="165" formatCode="#,##0.00000"/>
    <numFmt numFmtId="166" formatCode="0.00000"/>
    <numFmt numFmtId="167" formatCode="#,##0.0000"/>
    <numFmt numFmtId="168" formatCode="#,##0.000"/>
    <numFmt numFmtId="169" formatCode="0.0000"/>
    <numFmt numFmtId="170" formatCode="&quot;$&quot;#,##0"/>
    <numFmt numFmtId="171" formatCode="0.0%"/>
    <numFmt numFmtId="172" formatCode="#,##0.0"/>
    <numFmt numFmtId="173" formatCode="&quot;$&quot;#,##0.000"/>
    <numFmt numFmtId="174" formatCode="&quot;$&quot;#,##0.00"/>
    <numFmt numFmtId="175" formatCode="_(* #,##0_);_(* \(#,##0\);_(* &quot;-&quot;??_);_(@_)"/>
    <numFmt numFmtId="176" formatCode="_(&quot;$&quot;* #,##0_);_(&quot;$&quot;* \(#,##0\);_(&quot;$&quot;* &quot;-&quot;??_);_(@_)"/>
    <numFmt numFmtId="177" formatCode="0_);\(0\)"/>
    <numFmt numFmtId="178" formatCode="&quot;$&quot;#,##0.0"/>
    <numFmt numFmtId="179" formatCode="#,##0.0_);\(#,##0.0\)"/>
    <numFmt numFmtId="180" formatCode="&quot;$&quot;#,##0.000_);\(&quot;$&quot;#,##0.000\)"/>
    <numFmt numFmtId="181" formatCode="&quot;$&quot;#,##0.0_);\(&quot;$&quot;#,##0.0\)"/>
    <numFmt numFmtId="182" formatCode="#,##0.000_);\(#,##0.000\)"/>
    <numFmt numFmtId="183" formatCode="_(* #,##0.0000_);_(* \(#,##0.0000\);_(* &quot;-&quot;??_);_(@_)"/>
    <numFmt numFmtId="184" formatCode="_(* #,##0.00000_);_(* \(#,##0.00000\);_(* &quot;-&quot;??_);_(@_)"/>
    <numFmt numFmtId="185" formatCode="_(* #,##0.0\¢_m;[Red]_(* \-#,##0.0\¢_m;[Green]_(* 0.0\¢_m;_(@_)_%"/>
    <numFmt numFmtId="186" formatCode="_(* #,##0.00\¢_m;[Red]_(* \-#,##0.00\¢_m;[Green]_(* 0.00\¢_m;_(@_)_%"/>
    <numFmt numFmtId="187" formatCode="_(* #,##0.000\¢_m;[Red]_(* \-#,##0.000\¢_m;[Green]_(* 0.000\¢_m;_(@_)_%"/>
    <numFmt numFmtId="188" formatCode="_(_(\£* #,##0_)_%;[Red]_(\(\£* #,##0\)_%;[Green]_(_(\£* #,##0_)_%;_(@_)_%"/>
    <numFmt numFmtId="189" formatCode="_(_(\£* #,##0.0_)_%;[Red]_(\(\£* #,##0.0\)_%;[Green]_(_(\£* #,##0.0_)_%;_(@_)_%"/>
    <numFmt numFmtId="190" formatCode="_(_(\£* #,##0.00_)_%;[Red]_(\(\£* #,##0.00\)_%;[Green]_(_(\£* #,##0.00_)_%;_(@_)_%"/>
    <numFmt numFmtId="191" formatCode="0.0%_);\(0.0%\)"/>
    <numFmt numFmtId="192" formatCode="\•\ \ @"/>
    <numFmt numFmtId="193" formatCode="_(_(\•_ #0_)_%;[Red]_(_(\•_ \-#0\)_%;[Green]_(_(\•_ #0_)_%;_(_(\•_ @_)_%"/>
    <numFmt numFmtId="194" formatCode="_(_(_•_ \•_ #0_)_%;[Red]_(_(_•_ \•_ \-#0\)_%;[Green]_(_(_•_ \•_ #0_)_%;_(_(_•_ \•_ @_)_%"/>
    <numFmt numFmtId="195" formatCode="_(_(_•_ _•_ \•_ #0_)_%;[Red]_(_(_•_ _•_ \•_ \-#0\)_%;[Green]_(_(_•_ _•_ \•_ #0_)_%;_(_(_•_ \•_ @_)_%"/>
    <numFmt numFmtId="196" formatCode="#,##0,_);\(#,##0,\)"/>
    <numFmt numFmtId="197" formatCode="0.0,_);\(0.0,\)"/>
    <numFmt numFmtId="198" formatCode="0.00,_);\(0.00,\)"/>
    <numFmt numFmtId="199" formatCode="_(_(_$* #,##0.0_)_%;[Red]_(\(_$* #,##0.0\)_%;[Green]_(_(_$* #,##0.0_)_%;_(@_)_%"/>
    <numFmt numFmtId="200" formatCode="_(_(_$* #,##0.00_)_%;[Red]_(\(_$* #,##0.00\)_%;[Green]_(_(_$* #,##0.00_)_%;_(@_)_%"/>
    <numFmt numFmtId="201" formatCode="_(_(_$* #,##0.000_)_%;[Red]_(\(_$* #,##0.000\)_%;[Green]_(_(_$* #,##0.000_)_%;_(@_)_%"/>
    <numFmt numFmtId="202" formatCode="_._.* #,##0.0_)_%;_._.* \(#,##0.0\)_%;_._.* \ ?_)_%"/>
    <numFmt numFmtId="203" formatCode="_._.* #,##0.00_)_%;_._.* \(#,##0.00\)_%;_._.* \ ?_)_%"/>
    <numFmt numFmtId="204" formatCode="_._.* #,##0.000_)_%;_._.* \(#,##0.000\)_%;_._.* \ ?_)_%"/>
    <numFmt numFmtId="205" formatCode="_._.* #,##0.0000_)_%;_._.* \(#,##0.0000\)_%;_._.* \ ?_)_%"/>
    <numFmt numFmtId="206" formatCode="_(_(&quot;$&quot;* #,##0.0_)_%;[Red]_(\(&quot;$&quot;* #,##0.0\)_%;[Green]_(_(&quot;$&quot;* #,##0.0_)_%;_(@_)_%"/>
    <numFmt numFmtId="207" formatCode="_(_(&quot;$&quot;* #,##0.00_)_%;[Red]_(\(&quot;$&quot;* #,##0.00\)_%;[Green]_(_(&quot;$&quot;* #,##0.00_)_%;_(@_)_%"/>
    <numFmt numFmtId="208" formatCode="_(_(&quot;$&quot;* #,##0.000_)_%;[Red]_(\(&quot;$&quot;* #,##0.000\)_%;[Green]_(_(&quot;$&quot;* #,##0.000_)_%;_(@_)_%"/>
    <numFmt numFmtId="209" formatCode="_._.&quot;$&quot;* #,##0.0_)_%;_._.&quot;$&quot;* \(#,##0.0\)_%;_._.&quot;$&quot;* \ ?_)_%"/>
    <numFmt numFmtId="210" formatCode="_._.&quot;$&quot;* #,##0.00_)_%;_._.&quot;$&quot;* \(#,##0.00\)_%;_._.&quot;$&quot;* \ ?_)_%"/>
    <numFmt numFmtId="211" formatCode="_._.&quot;$&quot;* #,##0.000_)_%;_._.&quot;$&quot;* \(#,##0.000\)_%;_._.&quot;$&quot;* \ ?_)_%"/>
    <numFmt numFmtId="212" formatCode="_._.&quot;$&quot;* #,##0.0000_)_%;_._.&quot;$&quot;* \(#,##0.0000\)_%;_._.&quot;$&quot;* \ ?_)_%"/>
    <numFmt numFmtId="213" formatCode="&quot;$&quot;#,##0,_);\(&quot;$&quot;#,##0,\)"/>
    <numFmt numFmtId="214" formatCode="&quot;$&quot;0.0,_);\(&quot;$&quot;0.0,\)"/>
    <numFmt numFmtId="215" formatCode="&quot;$&quot;0.00,_);\(&quot;$&quot;0.00,\)"/>
    <numFmt numFmtId="216" formatCode="_(* dd\-mmm\-yy_)_%"/>
    <numFmt numFmtId="217" formatCode="_(* dd\ mmmm\ yyyy_)_%"/>
    <numFmt numFmtId="218" formatCode="_(* mmmm\ dd\,\ yyyy_)_%"/>
    <numFmt numFmtId="219" formatCode="_(* dd\.mm\.yyyy_)_%"/>
    <numFmt numFmtId="220" formatCode="_(* mm/dd/yyyy_)_%"/>
    <numFmt numFmtId="221" formatCode="m/d/yy;@"/>
    <numFmt numFmtId="222" formatCode="#,##0.0\x_);\(#,##0.0\x\)"/>
    <numFmt numFmtId="223" formatCode="#,##0.00\x_);\(#,##0.00\x\)"/>
    <numFmt numFmtId="224" formatCode="[$€-2]\ #,##0_);\([$€-2]\ #,##0\)"/>
    <numFmt numFmtId="225" formatCode="[$€-2]\ #,##0.0_);\([$€-2]\ #,##0.0\)"/>
    <numFmt numFmtId="226" formatCode="_([$€-2]* #,##0.00_);_([$€-2]* \(#,##0.00\);_([$€-2]* &quot;-&quot;??_)"/>
    <numFmt numFmtId="227" formatCode="General_)_%"/>
    <numFmt numFmtId="228" formatCode="_(_(#0_)_%;[Red]_(_(\-#0\)_%;[Green]_(_(#0_)_%;_(_(@_)_%"/>
    <numFmt numFmtId="229" formatCode="_(_(_•_ #0_)_%;[Red]_(_(_•_ \-#0\)_%;[Green]_(_(_•_ #0_)_%;_(_(_•_ @_)_%"/>
    <numFmt numFmtId="230" formatCode="_(_(_•_ _•_ #0_)_%;[Red]_(_(_•_ _•_ \-#0\)_%;[Green]_(_(_•_ _•_ #0_)_%;_(_(_•_ _•_ @_)_%"/>
    <numFmt numFmtId="231" formatCode="_(_(_•_ _•_ _•_ #0_)_%;[Red]_(_(_•_ _•_ _•_ \-#0\)_%;[Green]_(_(_•_ _•_ _•_ #0_)_%;_(_(_•_ _•_ _•_ @_)_%"/>
    <numFmt numFmtId="232" formatCode="#,##0\x;\(#,##0\x\)"/>
    <numFmt numFmtId="233" formatCode="0.0\x;\(0.0\x\)"/>
    <numFmt numFmtId="234" formatCode="#,##0.00\x;\(#,##0.00\x\)"/>
    <numFmt numFmtId="235" formatCode="#,##0.000\x;\(#,##0.000\x\)"/>
    <numFmt numFmtId="236" formatCode="0.0_);\(0.0\)"/>
    <numFmt numFmtId="237" formatCode="0%;\(0%\)"/>
    <numFmt numFmtId="238" formatCode="0.00\ \x_);\(0.00\ \x\)"/>
    <numFmt numFmtId="239" formatCode="_(* #,##0_);_(* \(#,##0\);_(* &quot;-&quot;????_);_(@_)"/>
    <numFmt numFmtId="240" formatCode="0__"/>
    <numFmt numFmtId="241" formatCode="h:mmAM/PM"/>
    <numFmt numFmtId="242" formatCode="0&quot; E&quot;"/>
    <numFmt numFmtId="243" formatCode="yyyy"/>
    <numFmt numFmtId="244" formatCode="0.0%;\(0.0%\)"/>
    <numFmt numFmtId="245" formatCode="0.00%_);\(0.00%\)"/>
    <numFmt numFmtId="246" formatCode="0.000%_);\(0.000%\)"/>
    <numFmt numFmtId="247" formatCode="_(0_)%;\(0\)%;\ \ ?_)%"/>
    <numFmt numFmtId="248" formatCode="_._._(* 0_)%;_._.* \(0\)%;_._._(* \ ?_)%"/>
    <numFmt numFmtId="249" formatCode="0%_);\(0%\)"/>
    <numFmt numFmtId="250" formatCode="_(* #,##0_)_%;[Red]_(* \(#,##0\)_%;[Green]_(* 0_)_%;_(@_)_%"/>
    <numFmt numFmtId="251" formatCode="_(* #,##0.0%_);[Red]_(* \-#,##0.0%_);[Green]_(* 0.0%_);_(@_)_%"/>
    <numFmt numFmtId="252" formatCode="_(* #,##0.00%_);[Red]_(* \-#,##0.00%_);[Green]_(* 0.00%_);_(@_)_%"/>
    <numFmt numFmtId="253" formatCode="_(* #,##0.000%_);[Red]_(* \-#,##0.000%_);[Green]_(* 0.000%_);_(@_)_%"/>
    <numFmt numFmtId="254" formatCode="_(0.0_)%;\(0.0\)%;\ \ ?_)%"/>
    <numFmt numFmtId="255" formatCode="_._._(* 0.0_)%;_._.* \(0.0\)%;_._._(* \ ?_)%"/>
    <numFmt numFmtId="256" formatCode="_(0.00_)%;\(0.00\)%;\ \ ?_)%"/>
    <numFmt numFmtId="257" formatCode="_._._(* 0.00_)%;_._.* \(0.00\)%;_._._(* \ ?_)%"/>
    <numFmt numFmtId="258" formatCode="_(0.000_)%;\(0.000\)%;\ \ ?_)%"/>
    <numFmt numFmtId="259" formatCode="_._._(* 0.000_)%;_._.* \(0.000\)%;_._._(* \ ?_)%"/>
    <numFmt numFmtId="260" formatCode="_(0.0000_)%;\(0.0000\)%;\ \ ?_)%"/>
    <numFmt numFmtId="261" formatCode="_._._(* 0.0000_)%;_._.* \(0.0000\)%;_._._(* \ ?_)%"/>
    <numFmt numFmtId="262" formatCode="mmmm\ dd\,\ yy"/>
    <numFmt numFmtId="263" formatCode="0.0\x"/>
    <numFmt numFmtId="264" formatCode="_(* #,##0_);_(* \(#,##0\);_(* \ ?_)"/>
    <numFmt numFmtId="265" formatCode="_(* #,##0.0_);_(* \(#,##0.0\);_(* \ ?_)"/>
    <numFmt numFmtId="266" formatCode="_(* #,##0.00_);_(* \(#,##0.00\);_(* \ ?_)"/>
    <numFmt numFmtId="267" formatCode="_(* #,##0.000_);_(* \(#,##0.000\);_(* \ ?_)"/>
    <numFmt numFmtId="268" formatCode="_(&quot;$&quot;* #,##0_);_(&quot;$&quot;* \(#,##0\);_(&quot;$&quot;* \ ?_)"/>
    <numFmt numFmtId="269" formatCode="_(&quot;$&quot;* #,##0.0_);_(&quot;$&quot;* \(#,##0.0\);_(&quot;$&quot;* \ ?_)"/>
    <numFmt numFmtId="270" formatCode="_(&quot;$&quot;* #,##0.00_);_(&quot;$&quot;* \(#,##0.00\);_(&quot;$&quot;* \ ?_)"/>
    <numFmt numFmtId="271" formatCode="_(&quot;$&quot;* #,##0.000_);_(&quot;$&quot;* \(#,##0.000\);_(&quot;$&quot;* \ ?_)"/>
    <numFmt numFmtId="272" formatCode="0000&quot;A&quot;"/>
    <numFmt numFmtId="273" formatCode="0&quot;E&quot;"/>
    <numFmt numFmtId="274" formatCode="0000&quot;E&quot;"/>
    <numFmt numFmtId="275" formatCode="0.0"/>
    <numFmt numFmtId="276" formatCode="_(* #,##0.000_);_(* \(#,##0.000\);_(* &quot;-&quot;??_);_(@_)"/>
    <numFmt numFmtId="277" formatCode="&quot;$&quot;#,##0.0000"/>
    <numFmt numFmtId="278" formatCode="0.0000%"/>
    <numFmt numFmtId="279" formatCode="0.00000000%"/>
    <numFmt numFmtId="280" formatCode="m/d/yyyy;@"/>
  </numFmts>
  <fonts count="147">
    <font>
      <sz val="12"/>
      <name val="Arial MT"/>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8"/>
      <name val="Arial"/>
      <family val="2"/>
    </font>
    <font>
      <b/>
      <sz val="14"/>
      <name val="Arial"/>
      <family val="2"/>
    </font>
    <font>
      <sz val="10"/>
      <name val="Arial"/>
      <family val="2"/>
    </font>
    <font>
      <b/>
      <i/>
      <sz val="14"/>
      <name val="Arial"/>
      <family val="2"/>
    </font>
    <font>
      <b/>
      <sz val="12"/>
      <name val="Arial"/>
      <family val="2"/>
    </font>
    <font>
      <b/>
      <sz val="11"/>
      <name val="Arial"/>
      <family val="2"/>
    </font>
    <font>
      <b/>
      <sz val="24"/>
      <name val="Arial Narrow"/>
      <family val="2"/>
    </font>
    <font>
      <b/>
      <i/>
      <sz val="12"/>
      <name val="Arial"/>
      <family val="2"/>
    </font>
    <font>
      <i/>
      <sz val="12"/>
      <name val="Arial"/>
      <family val="2"/>
    </font>
    <font>
      <sz val="12"/>
      <name val="Arial"/>
      <family val="2"/>
    </font>
    <font>
      <sz val="9"/>
      <name val="Arial"/>
      <family val="2"/>
    </font>
    <font>
      <i/>
      <sz val="10"/>
      <name val="Arial"/>
      <family val="2"/>
    </font>
    <font>
      <sz val="10"/>
      <name val="Arial"/>
      <family val="2"/>
    </font>
    <font>
      <sz val="9"/>
      <color indexed="18"/>
      <name val="Arial"/>
      <family val="2"/>
    </font>
    <font>
      <i/>
      <sz val="10"/>
      <color indexed="18"/>
      <name val="Arial"/>
      <family val="2"/>
    </font>
    <font>
      <sz val="10"/>
      <color indexed="18"/>
      <name val="Arial"/>
      <family val="2"/>
    </font>
    <font>
      <sz val="8"/>
      <color indexed="18"/>
      <name val="Arial"/>
      <family val="2"/>
    </font>
    <font>
      <i/>
      <sz val="9"/>
      <color indexed="18"/>
      <name val="Arial"/>
      <family val="2"/>
    </font>
    <font>
      <b/>
      <sz val="18"/>
      <name val="Arial"/>
      <family val="2"/>
    </font>
    <font>
      <b/>
      <sz val="12"/>
      <name val="Arial"/>
      <family val="2"/>
    </font>
    <font>
      <b/>
      <sz val="14"/>
      <name val="Book Antiqua"/>
      <family val="1"/>
    </font>
    <font>
      <i/>
      <sz val="10"/>
      <name val="Book Antiqua"/>
      <family val="1"/>
    </font>
    <font>
      <sz val="12"/>
      <name val="Arial MT"/>
    </font>
    <font>
      <sz val="10"/>
      <name val="MS Sans Serif"/>
      <family val="2"/>
    </font>
    <font>
      <b/>
      <sz val="10"/>
      <name val="MS Sans Serif"/>
      <family val="2"/>
    </font>
    <font>
      <sz val="8"/>
      <color indexed="38"/>
      <name val="Arial"/>
      <family val="2"/>
    </font>
    <font>
      <b/>
      <sz val="9"/>
      <name val="Arial"/>
      <family val="2"/>
    </font>
    <font>
      <b/>
      <sz val="10"/>
      <name val="Arial"/>
      <family val="2"/>
    </font>
    <font>
      <b/>
      <i/>
      <sz val="16"/>
      <name val="Arial"/>
      <family val="2"/>
    </font>
    <font>
      <b/>
      <sz val="12"/>
      <color indexed="32"/>
      <name val="Arial"/>
      <family val="2"/>
    </font>
    <font>
      <i/>
      <sz val="11"/>
      <name val="Arial"/>
      <family val="2"/>
    </font>
    <font>
      <sz val="11"/>
      <name val="Arial"/>
      <family val="2"/>
    </font>
    <font>
      <sz val="12"/>
      <name val="Times New Roman"/>
      <family val="1"/>
    </font>
    <font>
      <b/>
      <sz val="10"/>
      <color indexed="10"/>
      <name val="Arial"/>
      <family val="2"/>
    </font>
    <font>
      <sz val="10"/>
      <color indexed="12"/>
      <name val="Arial"/>
      <family val="2"/>
    </font>
    <font>
      <b/>
      <sz val="10"/>
      <color indexed="8"/>
      <name val="Arial"/>
      <family val="2"/>
    </font>
    <font>
      <sz val="10"/>
      <name val="Arial"/>
      <family val="2"/>
    </font>
    <font>
      <b/>
      <sz val="10"/>
      <color indexed="12"/>
      <name val="Arial"/>
      <family val="2"/>
    </font>
    <font>
      <sz val="11"/>
      <name val="Times New Roman"/>
      <family val="1"/>
    </font>
    <font>
      <b/>
      <i/>
      <sz val="12"/>
      <name val="Times New Roman"/>
      <family val="1"/>
    </font>
    <font>
      <sz val="10"/>
      <name val="C Helvetica Condensed"/>
    </font>
    <font>
      <sz val="10"/>
      <color indexed="12"/>
      <name val="Times New Roman"/>
      <family val="1"/>
    </font>
    <font>
      <sz val="10"/>
      <name val="Times New Roman"/>
      <family val="1"/>
    </font>
    <font>
      <b/>
      <sz val="10"/>
      <color indexed="8"/>
      <name val="Times New Roman"/>
      <family val="1"/>
    </font>
    <font>
      <sz val="9"/>
      <color indexed="12"/>
      <name val="Arial"/>
      <family val="2"/>
    </font>
    <font>
      <sz val="9"/>
      <name val="Times New Roman"/>
      <family val="1"/>
    </font>
    <font>
      <sz val="12"/>
      <name val="Helv"/>
    </font>
    <font>
      <u val="singleAccounting"/>
      <sz val="11"/>
      <name val="Times New Roman"/>
      <family val="1"/>
    </font>
    <font>
      <sz val="8"/>
      <name val="Times New Roman"/>
      <family val="1"/>
    </font>
    <font>
      <b/>
      <sz val="10"/>
      <name val="Times New Roman"/>
      <family val="1"/>
    </font>
    <font>
      <i/>
      <sz val="8"/>
      <name val="Arial"/>
      <family val="2"/>
    </font>
    <font>
      <sz val="8"/>
      <color indexed="22"/>
      <name val="Arial"/>
      <family val="2"/>
    </font>
    <font>
      <sz val="10"/>
      <name val="Book Antiqua"/>
      <family val="1"/>
    </font>
    <font>
      <b/>
      <i/>
      <sz val="14"/>
      <name val="Tms Rmn"/>
    </font>
    <font>
      <sz val="10"/>
      <color indexed="42"/>
      <name val="Arial"/>
      <family val="2"/>
    </font>
    <font>
      <sz val="10"/>
      <color indexed="46"/>
      <name val="Arial"/>
      <family val="2"/>
    </font>
    <font>
      <b/>
      <sz val="10"/>
      <color indexed="22"/>
      <name val="Arial"/>
      <family val="2"/>
    </font>
    <font>
      <u/>
      <sz val="10"/>
      <color indexed="12"/>
      <name val="Arial"/>
      <family val="2"/>
    </font>
    <font>
      <sz val="10"/>
      <color indexed="12"/>
      <name val="Book Antiqua"/>
      <family val="1"/>
    </font>
    <font>
      <i/>
      <sz val="16"/>
      <name val="Times New Roman"/>
      <family val="1"/>
    </font>
    <font>
      <sz val="7"/>
      <name val="Small Fonts"/>
      <family val="2"/>
    </font>
    <font>
      <u/>
      <sz val="10"/>
      <name val="Times New Roman"/>
      <family val="1"/>
    </font>
    <font>
      <sz val="10"/>
      <color indexed="40"/>
      <name val="Arial"/>
      <family val="2"/>
    </font>
    <font>
      <sz val="10"/>
      <color indexed="8"/>
      <name val="Times New Roman"/>
      <family val="1"/>
    </font>
    <font>
      <sz val="10"/>
      <name val="Futura UBS Bk"/>
      <family val="2"/>
    </font>
    <font>
      <sz val="10"/>
      <color indexed="8"/>
      <name val="MS Sans Serif"/>
      <family val="2"/>
    </font>
    <font>
      <sz val="10"/>
      <color indexed="8"/>
      <name val="Arial"/>
      <family val="2"/>
    </font>
    <font>
      <b/>
      <sz val="9"/>
      <name val="Times New Roman"/>
      <family val="1"/>
    </font>
    <font>
      <i/>
      <sz val="8"/>
      <name val="Times New Roman"/>
      <family val="1"/>
    </font>
    <font>
      <sz val="10"/>
      <color indexed="21"/>
      <name val="Arial"/>
      <family val="2"/>
    </font>
    <font>
      <b/>
      <sz val="8"/>
      <name val="Arial"/>
      <family val="2"/>
    </font>
    <font>
      <strike/>
      <sz val="10"/>
      <name val="Times New Roman"/>
      <family val="1"/>
    </font>
    <font>
      <sz val="10"/>
      <color indexed="40"/>
      <name val="Times New Roman"/>
      <family val="1"/>
    </font>
    <font>
      <sz val="10"/>
      <color indexed="10"/>
      <name val="Times New Roman"/>
      <family val="1"/>
    </font>
    <font>
      <sz val="10"/>
      <color indexed="17"/>
      <name val="Times New Roman"/>
      <family val="1"/>
    </font>
    <font>
      <b/>
      <u/>
      <sz val="10"/>
      <name val="Times New Roman"/>
      <family val="1"/>
    </font>
    <font>
      <sz val="10"/>
      <color indexed="8"/>
      <name val="Times New Roman"/>
      <family val="1"/>
    </font>
    <font>
      <sz val="10"/>
      <color indexed="10"/>
      <name val="Times New Roman"/>
      <family val="1"/>
    </font>
    <font>
      <vertAlign val="superscript"/>
      <sz val="10"/>
      <name val="Times New Roman"/>
      <family val="1"/>
    </font>
    <font>
      <b/>
      <i/>
      <strike/>
      <sz val="10"/>
      <name val="Times New Roman"/>
      <family val="1"/>
    </font>
    <font>
      <strike/>
      <sz val="10"/>
      <color indexed="10"/>
      <name val="Times New Roman"/>
      <family val="1"/>
    </font>
    <font>
      <sz val="10"/>
      <color indexed="8"/>
      <name val="Arial"/>
      <family val="2"/>
    </font>
    <font>
      <sz val="9"/>
      <name val="Helv"/>
    </font>
    <font>
      <sz val="10"/>
      <name val="Arial Narrow"/>
      <family val="2"/>
    </font>
    <font>
      <sz val="11"/>
      <color theme="1"/>
      <name val="Calibri"/>
      <family val="2"/>
      <scheme val="minor"/>
    </font>
    <font>
      <vertAlign val="superscript"/>
      <sz val="10"/>
      <color theme="1"/>
      <name val="Times New Roman"/>
      <family val="1"/>
    </font>
    <font>
      <sz val="12"/>
      <name val="Arial"/>
      <family val="2"/>
    </font>
    <font>
      <sz val="9"/>
      <color indexed="40"/>
      <name val="Times New Roman"/>
      <family val="1"/>
    </font>
    <font>
      <vertAlign val="superscript"/>
      <sz val="8"/>
      <name val="Times New Roman"/>
      <family val="1"/>
    </font>
    <font>
      <sz val="10"/>
      <color theme="1"/>
      <name val="Arial"/>
      <family val="2"/>
    </font>
    <font>
      <sz val="11"/>
      <color indexed="8"/>
      <name val="Arial Narrow"/>
      <family val="2"/>
    </font>
    <font>
      <sz val="11"/>
      <color indexed="9"/>
      <name val="Arial Narrow"/>
      <family val="2"/>
    </font>
    <font>
      <sz val="11"/>
      <color indexed="20"/>
      <name val="Arial Narrow"/>
      <family val="2"/>
    </font>
    <font>
      <b/>
      <sz val="11"/>
      <color indexed="52"/>
      <name val="Arial Narrow"/>
      <family val="2"/>
    </font>
    <font>
      <b/>
      <sz val="11"/>
      <color indexed="9"/>
      <name val="Arial Narrow"/>
      <family val="2"/>
    </font>
    <font>
      <i/>
      <sz val="11"/>
      <color indexed="23"/>
      <name val="Arial Narrow"/>
      <family val="2"/>
    </font>
    <font>
      <sz val="11"/>
      <color indexed="17"/>
      <name val="Arial Narrow"/>
      <family val="2"/>
    </font>
    <font>
      <b/>
      <sz val="11"/>
      <color indexed="56"/>
      <name val="Arial Narrow"/>
      <family val="2"/>
    </font>
    <font>
      <sz val="11"/>
      <color indexed="62"/>
      <name val="Arial Narrow"/>
      <family val="2"/>
    </font>
    <font>
      <sz val="11"/>
      <color indexed="52"/>
      <name val="Arial Narrow"/>
      <family val="2"/>
    </font>
    <font>
      <sz val="11"/>
      <color indexed="60"/>
      <name val="Arial Narrow"/>
      <family val="2"/>
    </font>
    <font>
      <b/>
      <sz val="11"/>
      <color indexed="63"/>
      <name val="Arial Narrow"/>
      <family val="2"/>
    </font>
    <font>
      <b/>
      <sz val="18"/>
      <color indexed="56"/>
      <name val="Cambria"/>
      <family val="2"/>
    </font>
    <font>
      <sz val="11"/>
      <color indexed="10"/>
      <name val="Arial Narrow"/>
      <family val="2"/>
    </font>
    <font>
      <sz val="10"/>
      <name val="Arial"/>
      <family val="2"/>
    </font>
    <font>
      <i/>
      <sz val="10"/>
      <name val="Times New Roman"/>
      <family val="1"/>
    </font>
    <font>
      <sz val="12"/>
      <name val="Arial Narrow"/>
      <family val="2"/>
    </font>
    <font>
      <sz val="11"/>
      <name val="Arial Narrow"/>
      <family val="2"/>
    </font>
    <font>
      <sz val="9"/>
      <name val="Arial Narrow"/>
      <family val="2"/>
    </font>
    <font>
      <b/>
      <sz val="12"/>
      <name val="Times New Roman"/>
      <family val="1"/>
    </font>
    <font>
      <u/>
      <sz val="12"/>
      <name val="Times New Roman"/>
      <family val="1"/>
    </font>
    <font>
      <sz val="12"/>
      <color rgb="FF0000FF"/>
      <name val="Times New Roman"/>
      <family val="1"/>
    </font>
    <font>
      <sz val="11"/>
      <color theme="1"/>
      <name val="Times New Roman"/>
      <family val="1"/>
    </font>
    <font>
      <sz val="12"/>
      <color indexed="10"/>
      <name val="Times New Roman"/>
      <family val="1"/>
    </font>
    <font>
      <b/>
      <sz val="11"/>
      <name val="Times New Roman"/>
      <family val="1"/>
    </font>
    <font>
      <sz val="12"/>
      <color rgb="FFFF0000"/>
      <name val="Times New Roman"/>
      <family val="1"/>
    </font>
    <font>
      <sz val="10"/>
      <name val="Arial MT"/>
    </font>
    <font>
      <sz val="10"/>
      <name val="Arial"/>
      <family val="2"/>
    </font>
    <font>
      <b/>
      <sz val="16"/>
      <name val="Arial"/>
      <family val="2"/>
    </font>
    <font>
      <b/>
      <sz val="14"/>
      <name val="Times New Roman"/>
      <family val="1"/>
    </font>
    <font>
      <b/>
      <u/>
      <sz val="10"/>
      <name val="Arial"/>
      <family val="2"/>
    </font>
    <font>
      <sz val="10"/>
      <color rgb="FF0000FF"/>
      <name val="Arial"/>
      <family val="2"/>
    </font>
    <font>
      <u/>
      <sz val="10"/>
      <name val="Arial"/>
      <family val="2"/>
    </font>
    <font>
      <sz val="10"/>
      <color indexed="10"/>
      <name val="Arial"/>
      <family val="2"/>
    </font>
    <font>
      <b/>
      <sz val="12"/>
      <name val="Arial MT"/>
    </font>
    <font>
      <b/>
      <i/>
      <sz val="10"/>
      <name val="Arial"/>
      <family val="2"/>
    </font>
    <font>
      <sz val="14"/>
      <name val="Arial"/>
      <family val="2"/>
    </font>
    <font>
      <sz val="14"/>
      <color theme="1"/>
      <name val="Arial"/>
      <family val="2"/>
    </font>
    <font>
      <strike/>
      <sz val="10"/>
      <name val="Arial"/>
      <family val="2"/>
    </font>
    <font>
      <sz val="10"/>
      <color rgb="FFFF0000"/>
      <name val="Arial"/>
      <family val="2"/>
    </font>
    <font>
      <b/>
      <u val="singleAccounting"/>
      <sz val="10"/>
      <name val="Arial"/>
      <family val="2"/>
    </font>
    <font>
      <sz val="10"/>
      <color theme="1"/>
      <name val="Times New Roman"/>
      <family val="1"/>
    </font>
  </fonts>
  <fills count="41">
    <fill>
      <patternFill patternType="none"/>
    </fill>
    <fill>
      <patternFill patternType="gray125"/>
    </fill>
    <fill>
      <patternFill patternType="solid">
        <fgColor indexed="53"/>
        <bgColor indexed="64"/>
      </patternFill>
    </fill>
    <fill>
      <patternFill patternType="solid">
        <fgColor indexed="39"/>
        <bgColor indexed="64"/>
      </patternFill>
    </fill>
    <fill>
      <patternFill patternType="solid">
        <fgColor indexed="46"/>
        <bgColor indexed="64"/>
      </patternFill>
    </fill>
    <fill>
      <patternFill patternType="solid">
        <fgColor indexed="27"/>
        <bgColor indexed="64"/>
      </patternFill>
    </fill>
    <fill>
      <patternFill patternType="solid">
        <fgColor indexed="38"/>
        <bgColor indexed="64"/>
      </patternFill>
    </fill>
    <fill>
      <patternFill patternType="solid">
        <fgColor indexed="13"/>
        <bgColor indexed="64"/>
      </patternFill>
    </fill>
    <fill>
      <patternFill patternType="solid">
        <fgColor indexed="26"/>
        <bgColor indexed="64"/>
      </patternFill>
    </fill>
    <fill>
      <patternFill patternType="solid">
        <fgColor indexed="22"/>
        <bgColor indexed="64"/>
      </patternFill>
    </fill>
    <fill>
      <patternFill patternType="lightGray">
        <fgColor indexed="38"/>
        <bgColor indexed="23"/>
      </patternFill>
    </fill>
    <fill>
      <patternFill patternType="solid">
        <fgColor indexed="9"/>
        <bgColor indexed="64"/>
      </patternFill>
    </fill>
    <fill>
      <patternFill patternType="mediumGray">
        <fgColor indexed="22"/>
      </patternFill>
    </fill>
    <fill>
      <patternFill patternType="solid">
        <fgColor indexed="26"/>
        <bgColor indexed="9"/>
      </patternFill>
    </fill>
    <fill>
      <patternFill patternType="solid">
        <fgColor indexed="43"/>
        <bgColor indexed="64"/>
      </patternFill>
    </fill>
    <fill>
      <patternFill patternType="solid">
        <fgColor theme="1"/>
        <bgColor indexed="64"/>
      </patternFill>
    </fill>
    <fill>
      <patternFill patternType="solid">
        <fgColor rgb="FFFFFF9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theme="4" tint="0.79998168889431442"/>
        <bgColor indexed="64"/>
      </patternFill>
    </fill>
  </fills>
  <borders count="36">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right/>
      <top/>
      <bottom style="hair">
        <color indexed="20"/>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ck">
        <color auto="1"/>
      </top>
      <bottom/>
      <diagonal/>
    </border>
    <border>
      <left/>
      <right/>
      <top style="medium">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top/>
      <bottom style="medium">
        <color auto="1"/>
      </bottom>
      <diagonal/>
    </border>
  </borders>
  <cellStyleXfs count="1504">
    <xf numFmtId="174" fontId="0" fillId="0" borderId="0" applyProtection="0"/>
    <xf numFmtId="0" fontId="17" fillId="0" borderId="0"/>
    <xf numFmtId="185" fontId="55" fillId="0" borderId="0" applyFont="0" applyFill="0" applyBorder="0" applyAlignment="0" applyProtection="0"/>
    <xf numFmtId="186" fontId="55" fillId="0" borderId="0" applyFont="0" applyFill="0" applyBorder="0" applyAlignment="0" applyProtection="0"/>
    <xf numFmtId="187" fontId="55" fillId="0" borderId="0" applyFont="0" applyFill="0" applyBorder="0" applyAlignment="0" applyProtection="0"/>
    <xf numFmtId="188" fontId="55" fillId="0" borderId="0" applyFont="0" applyFill="0" applyBorder="0" applyAlignment="0" applyProtection="0"/>
    <xf numFmtId="189" fontId="55" fillId="0" borderId="0" applyFont="0" applyFill="0" applyBorder="0" applyAlignment="0" applyProtection="0"/>
    <xf numFmtId="190" fontId="55" fillId="0" borderId="0" applyFont="0" applyFill="0" applyBorder="0" applyAlignment="0" applyProtection="0"/>
    <xf numFmtId="0" fontId="25" fillId="0" borderId="0"/>
    <xf numFmtId="191" fontId="17" fillId="2" borderId="0" applyNumberFormat="0" applyFill="0" applyBorder="0" applyAlignment="0" applyProtection="0">
      <alignment horizontal="right" vertical="center"/>
    </xf>
    <xf numFmtId="191" fontId="49" fillId="0" borderId="0" applyNumberFormat="0" applyFill="0" applyBorder="0" applyAlignment="0" applyProtection="0"/>
    <xf numFmtId="0" fontId="17" fillId="0" borderId="1" applyNumberFormat="0" applyFont="0" applyFill="0" applyAlignment="0" applyProtection="0"/>
    <xf numFmtId="192" fontId="47" fillId="0" borderId="0" applyFont="0" applyFill="0" applyBorder="0" applyAlignment="0" applyProtection="0"/>
    <xf numFmtId="193" fontId="55" fillId="0" borderId="0" applyFont="0" applyFill="0" applyBorder="0" applyProtection="0">
      <alignment horizontal="left"/>
    </xf>
    <xf numFmtId="194" fontId="55" fillId="0" borderId="0" applyFont="0" applyFill="0" applyBorder="0" applyProtection="0">
      <alignment horizontal="left"/>
    </xf>
    <xf numFmtId="195" fontId="55" fillId="0" borderId="0" applyFont="0" applyFill="0" applyBorder="0" applyProtection="0">
      <alignment horizontal="left"/>
    </xf>
    <xf numFmtId="37" fontId="56" fillId="0" borderId="0" applyFont="0" applyFill="0" applyBorder="0" applyAlignment="0" applyProtection="0">
      <alignment vertical="center"/>
      <protection locked="0"/>
    </xf>
    <xf numFmtId="196" fontId="57" fillId="0" borderId="0" applyFont="0" applyFill="0" applyBorder="0" applyAlignment="0" applyProtection="0"/>
    <xf numFmtId="0" fontId="58" fillId="0" borderId="0"/>
    <xf numFmtId="0" fontId="58" fillId="0" borderId="0"/>
    <xf numFmtId="174" fontId="15" fillId="0" borderId="0" applyFill="0"/>
    <xf numFmtId="174" fontId="15" fillId="0" borderId="0">
      <alignment horizontal="center"/>
    </xf>
    <xf numFmtId="0" fontId="15" fillId="0" borderId="0" applyFill="0">
      <alignment horizontal="center"/>
    </xf>
    <xf numFmtId="174" fontId="16" fillId="0" borderId="2" applyFill="0"/>
    <xf numFmtId="0" fontId="17" fillId="0" borderId="0" applyFont="0" applyAlignment="0"/>
    <xf numFmtId="0" fontId="18" fillId="0" borderId="0" applyFill="0">
      <alignment vertical="top"/>
    </xf>
    <xf numFmtId="0" fontId="16" fillId="0" borderId="0" applyFill="0">
      <alignment horizontal="left" vertical="top"/>
    </xf>
    <xf numFmtId="174" fontId="19" fillId="0" borderId="3" applyFill="0"/>
    <xf numFmtId="0" fontId="17" fillId="0" borderId="0" applyNumberFormat="0" applyFont="0" applyAlignment="0"/>
    <xf numFmtId="0" fontId="18" fillId="0" borderId="0" applyFill="0">
      <alignment wrapText="1"/>
    </xf>
    <xf numFmtId="0" fontId="16" fillId="0" borderId="0" applyFill="0">
      <alignment horizontal="left" vertical="top" wrapText="1"/>
    </xf>
    <xf numFmtId="174" fontId="20" fillId="0" borderId="0" applyFill="0"/>
    <xf numFmtId="0" fontId="21" fillId="0" borderId="0" applyNumberFormat="0" applyFont="0" applyAlignment="0">
      <alignment horizontal="center"/>
    </xf>
    <xf numFmtId="0" fontId="22" fillId="0" borderId="0" applyFill="0">
      <alignment vertical="top" wrapText="1"/>
    </xf>
    <xf numFmtId="0" fontId="19" fillId="0" borderId="0" applyFill="0">
      <alignment horizontal="left" vertical="top" wrapText="1"/>
    </xf>
    <xf numFmtId="174" fontId="17" fillId="0" borderId="0" applyFill="0"/>
    <xf numFmtId="0" fontId="21" fillId="0" borderId="0" applyNumberFormat="0" applyFont="0" applyAlignment="0">
      <alignment horizontal="center"/>
    </xf>
    <xf numFmtId="0" fontId="23" fillId="0" borderId="0" applyFill="0">
      <alignment vertical="center" wrapText="1"/>
    </xf>
    <xf numFmtId="0" fontId="24" fillId="0" borderId="0">
      <alignment horizontal="left" vertical="center" wrapText="1"/>
    </xf>
    <xf numFmtId="174" fontId="25" fillId="0" borderId="0" applyFill="0"/>
    <xf numFmtId="0" fontId="21" fillId="0" borderId="0" applyNumberFormat="0" applyFont="0" applyAlignment="0">
      <alignment horizontal="center"/>
    </xf>
    <xf numFmtId="0" fontId="26" fillId="0" borderId="0" applyFill="0">
      <alignment horizontal="center" vertical="center" wrapText="1"/>
    </xf>
    <xf numFmtId="0" fontId="27" fillId="0" borderId="0" applyFill="0">
      <alignment horizontal="center" vertical="center" wrapText="1"/>
    </xf>
    <xf numFmtId="0" fontId="17" fillId="0" borderId="0" applyFill="0">
      <alignment horizontal="center" vertical="center" wrapText="1"/>
    </xf>
    <xf numFmtId="174" fontId="28" fillId="0" borderId="0" applyFill="0"/>
    <xf numFmtId="0" fontId="21" fillId="0" borderId="0" applyNumberFormat="0" applyFont="0" applyAlignment="0">
      <alignment horizontal="center"/>
    </xf>
    <xf numFmtId="0" fontId="29" fillId="0" borderId="0" applyFill="0">
      <alignment horizontal="center" vertical="center" wrapText="1"/>
    </xf>
    <xf numFmtId="0" fontId="30" fillId="0" borderId="0" applyFill="0">
      <alignment horizontal="center" vertical="center" wrapText="1"/>
    </xf>
    <xf numFmtId="174" fontId="31" fillId="0" borderId="0" applyFill="0"/>
    <xf numFmtId="0" fontId="21" fillId="0" borderId="0" applyNumberFormat="0" applyFont="0" applyAlignment="0">
      <alignment horizontal="center"/>
    </xf>
    <xf numFmtId="0" fontId="32" fillId="0" borderId="0">
      <alignment horizontal="center" wrapText="1"/>
    </xf>
    <xf numFmtId="0" fontId="28" fillId="0" borderId="0" applyFill="0">
      <alignment horizontal="center" wrapText="1"/>
    </xf>
    <xf numFmtId="179" fontId="59" fillId="0" borderId="0" applyFont="0" applyFill="0" applyBorder="0" applyAlignment="0" applyProtection="0">
      <protection locked="0"/>
    </xf>
    <xf numFmtId="197" fontId="59" fillId="0" borderId="0" applyFont="0" applyFill="0" applyBorder="0" applyAlignment="0" applyProtection="0">
      <protection locked="0"/>
    </xf>
    <xf numFmtId="39" fontId="17" fillId="0" borderId="0" applyFont="0" applyFill="0" applyBorder="0" applyAlignment="0" applyProtection="0"/>
    <xf numFmtId="198" fontId="60" fillId="0" borderId="0" applyFont="0" applyFill="0" applyBorder="0" applyAlignment="0" applyProtection="0"/>
    <xf numFmtId="182" fontId="57" fillId="0" borderId="0" applyFont="0" applyFill="0" applyBorder="0" applyAlignment="0" applyProtection="0"/>
    <xf numFmtId="0" fontId="17" fillId="0" borderId="1" applyNumberFormat="0" applyFont="0" applyFill="0" applyBorder="0" applyProtection="0">
      <alignment horizontal="centerContinuous" vertical="center"/>
    </xf>
    <xf numFmtId="0" fontId="41" fillId="0" borderId="0" applyFill="0" applyBorder="0" applyProtection="0">
      <alignment horizontal="center"/>
      <protection locked="0"/>
    </xf>
    <xf numFmtId="43" fontId="17" fillId="0" borderId="0" applyFont="0" applyFill="0" applyBorder="0" applyAlignment="0" applyProtection="0"/>
    <xf numFmtId="0" fontId="17"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41" fontId="17" fillId="0" borderId="0" applyFont="0" applyFill="0" applyBorder="0" applyAlignment="0" applyProtection="0"/>
    <xf numFmtId="199" fontId="55" fillId="0" borderId="0" applyFont="0" applyFill="0" applyBorder="0" applyAlignment="0" applyProtection="0"/>
    <xf numFmtId="200" fontId="55" fillId="0" borderId="0" applyFont="0" applyFill="0" applyBorder="0" applyAlignment="0" applyProtection="0"/>
    <xf numFmtId="201" fontId="55" fillId="0" borderId="0" applyFont="0" applyFill="0" applyBorder="0" applyAlignment="0" applyProtection="0"/>
    <xf numFmtId="202" fontId="53" fillId="0" borderId="0" applyFont="0" applyFill="0" applyBorder="0" applyAlignment="0" applyProtection="0"/>
    <xf numFmtId="203" fontId="62" fillId="0" borderId="0" applyFont="0" applyFill="0" applyBorder="0" applyAlignment="0" applyProtection="0"/>
    <xf numFmtId="204" fontId="62" fillId="0" borderId="0" applyFont="0" applyFill="0" applyBorder="0" applyAlignment="0" applyProtection="0"/>
    <xf numFmtId="205" fontId="20" fillId="0" borderId="0" applyFont="0" applyFill="0" applyBorder="0" applyAlignment="0" applyProtection="0">
      <protection locked="0"/>
    </xf>
    <xf numFmtId="43" fontId="13" fillId="0" borderId="0" applyFont="0" applyFill="0" applyBorder="0" applyAlignment="0" applyProtection="0"/>
    <xf numFmtId="43" fontId="37" fillId="0" borderId="0" applyFont="0" applyFill="0" applyBorder="0" applyAlignment="0" applyProtection="0"/>
    <xf numFmtId="43" fontId="27" fillId="0" borderId="0" applyFont="0" applyFill="0" applyBorder="0" applyAlignment="0" applyProtection="0"/>
    <xf numFmtId="43" fontId="17" fillId="0" borderId="0" applyFont="0" applyFill="0" applyBorder="0" applyAlignment="0" applyProtection="0"/>
    <xf numFmtId="43" fontId="5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96" fillId="0" borderId="0" applyFont="0" applyFill="0" applyBorder="0" applyAlignment="0" applyProtection="0"/>
    <xf numFmtId="37" fontId="63" fillId="0" borderId="0" applyFill="0" applyBorder="0" applyAlignment="0" applyProtection="0"/>
    <xf numFmtId="3" fontId="17" fillId="0" borderId="0" applyFont="0" applyFill="0" applyBorder="0" applyAlignment="0" applyProtection="0"/>
    <xf numFmtId="0" fontId="16" fillId="0" borderId="0" applyFill="0" applyBorder="0" applyAlignment="0" applyProtection="0">
      <protection locked="0"/>
    </xf>
    <xf numFmtId="0" fontId="17" fillId="0" borderId="4"/>
    <xf numFmtId="44" fontId="17" fillId="0" borderId="0" applyFont="0" applyFill="0" applyBorder="0" applyAlignment="0" applyProtection="0"/>
    <xf numFmtId="206" fontId="55" fillId="0" borderId="0" applyFont="0" applyFill="0" applyBorder="0" applyAlignment="0" applyProtection="0"/>
    <xf numFmtId="207" fontId="55" fillId="0" borderId="0" applyFont="0" applyFill="0" applyBorder="0" applyAlignment="0" applyProtection="0"/>
    <xf numFmtId="208" fontId="55" fillId="0" borderId="0" applyFont="0" applyFill="0" applyBorder="0" applyAlignment="0" applyProtection="0"/>
    <xf numFmtId="209" fontId="62" fillId="0" borderId="0" applyFont="0" applyFill="0" applyBorder="0" applyAlignment="0" applyProtection="0"/>
    <xf numFmtId="210" fontId="62" fillId="0" borderId="0" applyFont="0" applyFill="0" applyBorder="0" applyAlignment="0" applyProtection="0"/>
    <xf numFmtId="211" fontId="62" fillId="0" borderId="0" applyFont="0" applyFill="0" applyBorder="0" applyAlignment="0" applyProtection="0"/>
    <xf numFmtId="212" fontId="20" fillId="0" borderId="0" applyFont="0" applyFill="0" applyBorder="0" applyAlignment="0" applyProtection="0">
      <protection locked="0"/>
    </xf>
    <xf numFmtId="44" fontId="27" fillId="0" borderId="0" applyFont="0" applyFill="0" applyBorder="0" applyAlignment="0" applyProtection="0"/>
    <xf numFmtId="44" fontId="17" fillId="0" borderId="0" applyFont="0" applyFill="0" applyBorder="0" applyAlignment="0" applyProtection="0"/>
    <xf numFmtId="44" fontId="51"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5" fontId="63" fillId="0" borderId="0" applyFill="0" applyBorder="0" applyAlignment="0" applyProtection="0"/>
    <xf numFmtId="5" fontId="17" fillId="0" borderId="0" applyFont="0" applyFill="0" applyBorder="0" applyAlignment="0" applyProtection="0"/>
    <xf numFmtId="5" fontId="17" fillId="0" borderId="0" applyFont="0" applyFill="0" applyBorder="0" applyAlignment="0" applyProtection="0"/>
    <xf numFmtId="213" fontId="57" fillId="0" borderId="0" applyFont="0" applyFill="0" applyBorder="0" applyAlignment="0" applyProtection="0"/>
    <xf numFmtId="181" fontId="17" fillId="0" borderId="0" applyFont="0" applyFill="0" applyBorder="0" applyAlignment="0" applyProtection="0"/>
    <xf numFmtId="214" fontId="59" fillId="0" borderId="0" applyFont="0" applyFill="0" applyBorder="0" applyAlignment="0" applyProtection="0">
      <protection locked="0"/>
    </xf>
    <xf numFmtId="7" fontId="15" fillId="0" borderId="0" applyFont="0" applyFill="0" applyBorder="0" applyAlignment="0" applyProtection="0"/>
    <xf numFmtId="215" fontId="60" fillId="0" borderId="0" applyFont="0" applyFill="0" applyBorder="0" applyAlignment="0" applyProtection="0"/>
    <xf numFmtId="180" fontId="64" fillId="0" borderId="0" applyFont="0" applyFill="0" applyBorder="0" applyAlignment="0" applyProtection="0"/>
    <xf numFmtId="0" fontId="65" fillId="3" borderId="5" applyNumberFormat="0" applyFont="0" applyFill="0" applyAlignment="0" applyProtection="0">
      <alignment horizontal="left" indent="1"/>
    </xf>
    <xf numFmtId="14" fontId="17" fillId="0" borderId="0" applyFont="0" applyFill="0" applyBorder="0" applyAlignment="0" applyProtection="0"/>
    <xf numFmtId="216" fontId="55" fillId="0" borderId="0" applyFont="0" applyFill="0" applyBorder="0" applyProtection="0"/>
    <xf numFmtId="217" fontId="55" fillId="0" borderId="0" applyFont="0" applyFill="0" applyBorder="0" applyProtection="0"/>
    <xf numFmtId="218" fontId="55" fillId="0" borderId="0" applyFont="0" applyFill="0" applyBorder="0" applyAlignment="0" applyProtection="0"/>
    <xf numFmtId="219" fontId="55" fillId="0" borderId="0" applyFont="0" applyFill="0" applyBorder="0" applyAlignment="0" applyProtection="0"/>
    <xf numFmtId="220" fontId="55" fillId="0" borderId="0" applyFont="0" applyFill="0" applyBorder="0" applyAlignment="0" applyProtection="0"/>
    <xf numFmtId="221" fontId="66" fillId="0" borderId="0" applyFont="0" applyFill="0" applyBorder="0" applyAlignment="0" applyProtection="0"/>
    <xf numFmtId="5" fontId="67" fillId="0" borderId="0" applyBorder="0"/>
    <xf numFmtId="181" fontId="67" fillId="0" borderId="0" applyBorder="0"/>
    <xf numFmtId="7" fontId="67" fillId="0" borderId="0" applyBorder="0"/>
    <xf numFmtId="37" fontId="67" fillId="0" borderId="0" applyBorder="0"/>
    <xf numFmtId="179" fontId="67" fillId="0" borderId="0" applyBorder="0"/>
    <xf numFmtId="222" fontId="67" fillId="0" borderId="0" applyBorder="0"/>
    <xf numFmtId="39" fontId="67" fillId="0" borderId="0" applyBorder="0"/>
    <xf numFmtId="223" fontId="67" fillId="0" borderId="0" applyBorder="0"/>
    <xf numFmtId="7" fontId="17" fillId="0" borderId="0" applyFont="0" applyFill="0" applyBorder="0" applyAlignment="0" applyProtection="0"/>
    <xf numFmtId="224" fontId="57" fillId="0" borderId="0" applyFont="0" applyFill="0" applyBorder="0" applyAlignment="0" applyProtection="0"/>
    <xf numFmtId="225" fontId="57" fillId="0" borderId="0" applyFont="0" applyFill="0" applyAlignment="0" applyProtection="0"/>
    <xf numFmtId="224" fontId="57" fillId="0" borderId="0" applyFont="0" applyFill="0" applyBorder="0" applyAlignment="0" applyProtection="0"/>
    <xf numFmtId="226" fontId="15" fillId="0" borderId="0" applyFont="0" applyFill="0" applyBorder="0" applyAlignment="0" applyProtection="0"/>
    <xf numFmtId="2" fontId="17" fillId="0" borderId="0" applyFont="0" applyFill="0" applyBorder="0" applyAlignment="0" applyProtection="0"/>
    <xf numFmtId="0" fontId="68" fillId="0" borderId="0"/>
    <xf numFmtId="179" fontId="69" fillId="0" borderId="0" applyNumberFormat="0" applyFill="0" applyBorder="0" applyAlignment="0" applyProtection="0"/>
    <xf numFmtId="0" fontId="15" fillId="0" borderId="0" applyFont="0" applyFill="0" applyBorder="0" applyAlignment="0" applyProtection="0"/>
    <xf numFmtId="0" fontId="55" fillId="0" borderId="0" applyFont="0" applyFill="0" applyBorder="0" applyProtection="0">
      <alignment horizontal="center" wrapText="1"/>
    </xf>
    <xf numFmtId="227" fontId="55" fillId="0" borderId="0" applyFont="0" applyFill="0" applyBorder="0" applyProtection="0">
      <alignment horizontal="right"/>
    </xf>
    <xf numFmtId="0" fontId="69" fillId="0" borderId="0" applyNumberFormat="0" applyFill="0" applyBorder="0" applyAlignment="0" applyProtection="0"/>
    <xf numFmtId="0" fontId="70" fillId="4" borderId="0" applyNumberFormat="0" applyFill="0" applyBorder="0" applyAlignment="0" applyProtection="0"/>
    <xf numFmtId="0" fontId="19" fillId="0" borderId="6" applyNumberFormat="0" applyAlignment="0" applyProtection="0">
      <alignment horizontal="left" vertical="center"/>
    </xf>
    <xf numFmtId="0" fontId="19" fillId="0" borderId="7">
      <alignment horizontal="left" vertical="center"/>
    </xf>
    <xf numFmtId="14" fontId="42" fillId="5" borderId="8">
      <alignment horizontal="center" vertical="center" wrapText="1"/>
    </xf>
    <xf numFmtId="0" fontId="33" fillId="0" borderId="0" applyFont="0" applyFill="0" applyBorder="0" applyAlignment="0" applyProtection="0"/>
    <xf numFmtId="0" fontId="34" fillId="0" borderId="0" applyFont="0" applyFill="0" applyBorder="0" applyAlignment="0" applyProtection="0"/>
    <xf numFmtId="0" fontId="19" fillId="0" borderId="0" applyFont="0" applyFill="0" applyBorder="0" applyAlignment="0" applyProtection="0"/>
    <xf numFmtId="0" fontId="41" fillId="0" borderId="0" applyFill="0" applyAlignment="0" applyProtection="0">
      <protection locked="0"/>
    </xf>
    <xf numFmtId="0" fontId="41" fillId="0" borderId="1" applyFill="0" applyAlignment="0" applyProtection="0">
      <protection locked="0"/>
    </xf>
    <xf numFmtId="0" fontId="35" fillId="0" borderId="8"/>
    <xf numFmtId="0" fontId="36" fillId="0" borderId="0"/>
    <xf numFmtId="0" fontId="71" fillId="0" borderId="1" applyNumberFormat="0" applyFill="0" applyAlignment="0" applyProtection="0"/>
    <xf numFmtId="0" fontId="66" fillId="6" borderId="0" applyNumberFormat="0" applyFont="0" applyBorder="0" applyAlignment="0" applyProtection="0"/>
    <xf numFmtId="0" fontId="72" fillId="0" borderId="0" applyNumberFormat="0" applyFill="0" applyBorder="0" applyAlignment="0" applyProtection="0">
      <alignment vertical="top"/>
      <protection locked="0"/>
    </xf>
    <xf numFmtId="0" fontId="52" fillId="7" borderId="9" applyNumberFormat="0" applyAlignment="0" applyProtection="0"/>
    <xf numFmtId="228" fontId="55" fillId="0" borderId="0" applyFont="0" applyFill="0" applyBorder="0" applyProtection="0">
      <alignment horizontal="left"/>
    </xf>
    <xf numFmtId="229" fontId="55" fillId="0" borderId="0" applyFont="0" applyFill="0" applyBorder="0" applyProtection="0">
      <alignment horizontal="left"/>
    </xf>
    <xf numFmtId="230" fontId="55" fillId="0" borderId="0" applyFont="0" applyFill="0" applyBorder="0" applyProtection="0">
      <alignment horizontal="left"/>
    </xf>
    <xf numFmtId="231" fontId="55" fillId="0" borderId="0" applyFont="0" applyFill="0" applyBorder="0" applyProtection="0">
      <alignment horizontal="left"/>
    </xf>
    <xf numFmtId="10" fontId="15" fillId="8" borderId="9" applyNumberFormat="0" applyBorder="0" applyAlignment="0" applyProtection="0"/>
    <xf numFmtId="5" fontId="73" fillId="0" borderId="0" applyBorder="0"/>
    <xf numFmtId="181" fontId="73" fillId="0" borderId="0" applyBorder="0"/>
    <xf numFmtId="7" fontId="73" fillId="0" borderId="0" applyBorder="0"/>
    <xf numFmtId="37" fontId="73" fillId="0" borderId="0" applyBorder="0"/>
    <xf numFmtId="179" fontId="73" fillId="0" borderId="0" applyBorder="0"/>
    <xf numFmtId="222" fontId="73" fillId="0" borderId="0" applyBorder="0"/>
    <xf numFmtId="39" fontId="73" fillId="0" borderId="0" applyBorder="0"/>
    <xf numFmtId="223" fontId="73" fillId="0" borderId="0" applyBorder="0"/>
    <xf numFmtId="0" fontId="66" fillId="0" borderId="10" applyNumberFormat="0" applyFont="0" applyFill="0" applyAlignment="0" applyProtection="0"/>
    <xf numFmtId="0" fontId="74" fillId="0" borderId="0"/>
    <xf numFmtId="0" fontId="15" fillId="9" borderId="0"/>
    <xf numFmtId="232" fontId="17" fillId="0" borderId="0" applyFont="0" applyFill="0" applyBorder="0" applyAlignment="0" applyProtection="0"/>
    <xf numFmtId="233" fontId="17" fillId="0" borderId="0" applyFont="0" applyFill="0" applyBorder="0" applyAlignment="0" applyProtection="0"/>
    <xf numFmtId="234" fontId="17" fillId="0" borderId="0" applyFont="0" applyFill="0" applyBorder="0" applyAlignment="0" applyProtection="0"/>
    <xf numFmtId="235" fontId="17" fillId="0" borderId="0" applyFont="0" applyFill="0" applyBorder="0" applyAlignment="0" applyProtection="0"/>
    <xf numFmtId="0" fontId="17" fillId="0" borderId="0" applyFont="0" applyFill="0" applyBorder="0" applyAlignment="0" applyProtection="0">
      <alignment horizontal="right"/>
    </xf>
    <xf numFmtId="236" fontId="17" fillId="0" borderId="0" applyFont="0" applyFill="0" applyBorder="0" applyAlignment="0" applyProtection="0"/>
    <xf numFmtId="37" fontId="75" fillId="0" borderId="0"/>
    <xf numFmtId="0" fontId="57" fillId="0" borderId="0"/>
    <xf numFmtId="0" fontId="99" fillId="0" borderId="0"/>
    <xf numFmtId="7" fontId="97" fillId="0" borderId="0"/>
    <xf numFmtId="0" fontId="17" fillId="0" borderId="0"/>
    <xf numFmtId="0" fontId="53" fillId="0" borderId="0"/>
    <xf numFmtId="0" fontId="27" fillId="0" borderId="0"/>
    <xf numFmtId="0" fontId="17" fillId="0" borderId="0"/>
    <xf numFmtId="0" fontId="17" fillId="0" borderId="0"/>
    <xf numFmtId="0" fontId="51" fillId="0" borderId="0"/>
    <xf numFmtId="0" fontId="17" fillId="0" borderId="0"/>
    <xf numFmtId="0" fontId="17" fillId="0" borderId="0"/>
    <xf numFmtId="0" fontId="17"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0" fontId="99" fillId="0" borderId="0"/>
    <xf numFmtId="174" fontId="37" fillId="0" borderId="0" applyProtection="0"/>
    <xf numFmtId="0" fontId="99" fillId="0" borderId="0"/>
    <xf numFmtId="0" fontId="99" fillId="0" borderId="0"/>
    <xf numFmtId="0" fontId="99" fillId="0" borderId="0"/>
    <xf numFmtId="0" fontId="99" fillId="0" borderId="0"/>
    <xf numFmtId="0" fontId="37" fillId="0" borderId="0" applyProtection="0"/>
    <xf numFmtId="174" fontId="37" fillId="0" borderId="0" applyProtection="0"/>
    <xf numFmtId="174" fontId="37" fillId="0" borderId="0" applyProtection="0"/>
    <xf numFmtId="174" fontId="37" fillId="0" borderId="0" applyProtection="0"/>
    <xf numFmtId="174" fontId="37" fillId="0" borderId="0" applyProtection="0"/>
    <xf numFmtId="0" fontId="17" fillId="0" borderId="0"/>
    <xf numFmtId="0" fontId="47" fillId="10" borderId="0" applyNumberFormat="0" applyFont="0" applyBorder="0" applyAlignment="0"/>
    <xf numFmtId="237" fontId="17" fillId="0" borderId="0" applyFont="0" applyFill="0" applyBorder="0" applyAlignment="0" applyProtection="0"/>
    <xf numFmtId="238" fontId="76"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9" fontId="17" fillId="0" borderId="0"/>
    <xf numFmtId="240" fontId="57" fillId="0" borderId="0"/>
    <xf numFmtId="240" fontId="57" fillId="0" borderId="0"/>
    <xf numFmtId="238" fontId="76" fillId="0" borderId="0"/>
    <xf numFmtId="0" fontId="57" fillId="0" borderId="0"/>
    <xf numFmtId="238" fontId="63" fillId="0" borderId="0"/>
    <xf numFmtId="239" fontId="17" fillId="0" borderId="0"/>
    <xf numFmtId="240" fontId="57" fillId="0" borderId="0"/>
    <xf numFmtId="240" fontId="57" fillId="0" borderId="0"/>
    <xf numFmtId="0" fontId="57" fillId="0" borderId="0"/>
    <xf numFmtId="0" fontId="57"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0" fontId="57" fillId="0" borderId="0"/>
    <xf numFmtId="237" fontId="17" fillId="0" borderId="0" applyFont="0" applyFill="0" applyBorder="0" applyAlignment="0" applyProtection="0"/>
    <xf numFmtId="237" fontId="17" fillId="0" borderId="0" applyFont="0" applyFill="0" applyBorder="0" applyAlignment="0" applyProtection="0"/>
    <xf numFmtId="237" fontId="17" fillId="0" borderId="0" applyFont="0" applyFill="0" applyBorder="0" applyAlignment="0" applyProtection="0"/>
    <xf numFmtId="238" fontId="76" fillId="0" borderId="0"/>
    <xf numFmtId="238" fontId="76" fillId="0" borderId="0"/>
    <xf numFmtId="237" fontId="17" fillId="0" borderId="0" applyFont="0" applyFill="0" applyBorder="0" applyAlignment="0" applyProtection="0"/>
    <xf numFmtId="238" fontId="76" fillId="0" borderId="0"/>
    <xf numFmtId="238" fontId="76" fillId="0" borderId="0"/>
    <xf numFmtId="241" fontId="57" fillId="0" borderId="0"/>
    <xf numFmtId="170" fontId="57" fillId="0" borderId="0"/>
    <xf numFmtId="242" fontId="57" fillId="0" borderId="0"/>
    <xf numFmtId="241" fontId="57" fillId="0" borderId="0"/>
    <xf numFmtId="170" fontId="57" fillId="0" borderId="0"/>
    <xf numFmtId="243" fontId="57" fillId="0" borderId="0"/>
    <xf numFmtId="243" fontId="57" fillId="0" borderId="0"/>
    <xf numFmtId="178" fontId="57" fillId="0" borderId="0"/>
    <xf numFmtId="242" fontId="57" fillId="0" borderId="0"/>
    <xf numFmtId="169" fontId="57" fillId="0" borderId="0"/>
    <xf numFmtId="178" fontId="57" fillId="0" borderId="0"/>
    <xf numFmtId="178" fontId="57" fillId="0" borderId="0"/>
    <xf numFmtId="244" fontId="25" fillId="11" borderId="0" applyFont="0" applyFill="0" applyBorder="0" applyAlignment="0" applyProtection="0"/>
    <xf numFmtId="245" fontId="25" fillId="11" borderId="0" applyFont="0" applyFill="0" applyBorder="0" applyAlignment="0" applyProtection="0"/>
    <xf numFmtId="246" fontId="17" fillId="0" borderId="0" applyFont="0" applyFill="0" applyBorder="0" applyAlignment="0" applyProtection="0"/>
    <xf numFmtId="9" fontId="17" fillId="0" borderId="0" applyFont="0" applyFill="0" applyBorder="0" applyAlignment="0" applyProtection="0"/>
    <xf numFmtId="247" fontId="62" fillId="0" borderId="0" applyFont="0" applyFill="0" applyBorder="0" applyAlignment="0" applyProtection="0"/>
    <xf numFmtId="248" fontId="53" fillId="0" borderId="0" applyFont="0" applyFill="0" applyBorder="0" applyAlignment="0" applyProtection="0"/>
    <xf numFmtId="249" fontId="17" fillId="0" borderId="0" applyFont="0" applyFill="0" applyBorder="0" applyAlignment="0" applyProtection="0"/>
    <xf numFmtId="250" fontId="55" fillId="0" borderId="0" applyFont="0" applyFill="0" applyBorder="0" applyAlignment="0" applyProtection="0"/>
    <xf numFmtId="251" fontId="55" fillId="0" borderId="0" applyFont="0" applyFill="0" applyBorder="0" applyAlignment="0" applyProtection="0"/>
    <xf numFmtId="252" fontId="55" fillId="0" borderId="0" applyFont="0" applyFill="0" applyBorder="0" applyAlignment="0" applyProtection="0"/>
    <xf numFmtId="253" fontId="55" fillId="0" borderId="0" applyFont="0" applyFill="0" applyBorder="0" applyAlignment="0" applyProtection="0"/>
    <xf numFmtId="254" fontId="62" fillId="0" borderId="0" applyFont="0" applyFill="0" applyBorder="0" applyAlignment="0" applyProtection="0"/>
    <xf numFmtId="255" fontId="53" fillId="0" borderId="0" applyFont="0" applyFill="0" applyBorder="0" applyAlignment="0" applyProtection="0"/>
    <xf numFmtId="256" fontId="62" fillId="0" borderId="0" applyFont="0" applyFill="0" applyBorder="0" applyAlignment="0" applyProtection="0"/>
    <xf numFmtId="257" fontId="53" fillId="0" borderId="0" applyFont="0" applyFill="0" applyBorder="0" applyAlignment="0" applyProtection="0"/>
    <xf numFmtId="258" fontId="62" fillId="0" borderId="0" applyFont="0" applyFill="0" applyBorder="0" applyAlignment="0" applyProtection="0"/>
    <xf numFmtId="259" fontId="53" fillId="0" borderId="0" applyFont="0" applyFill="0" applyBorder="0" applyAlignment="0" applyProtection="0"/>
    <xf numFmtId="260" fontId="20" fillId="0" borderId="0" applyFont="0" applyFill="0" applyBorder="0" applyAlignment="0" applyProtection="0">
      <protection locked="0"/>
    </xf>
    <xf numFmtId="261" fontId="53" fillId="0" borderId="0" applyFont="0" applyFill="0" applyBorder="0" applyAlignment="0" applyProtection="0"/>
    <xf numFmtId="9" fontId="27" fillId="0" borderId="0" applyFont="0" applyFill="0" applyBorder="0" applyAlignment="0" applyProtection="0"/>
    <xf numFmtId="9" fontId="17" fillId="0" borderId="0" applyFont="0" applyFill="0" applyBorder="0" applyAlignment="0" applyProtection="0"/>
    <xf numFmtId="9" fontId="51"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13" fillId="0" borderId="0" applyFont="0" applyFill="0" applyBorder="0" applyAlignment="0" applyProtection="0"/>
    <xf numFmtId="9" fontId="17" fillId="0" borderId="0" applyFont="0" applyFill="0" applyBorder="0" applyAlignment="0" applyProtection="0"/>
    <xf numFmtId="191" fontId="63" fillId="0" borderId="0" applyFill="0" applyBorder="0" applyAlignment="0" applyProtection="0"/>
    <xf numFmtId="9" fontId="67" fillId="0" borderId="0" applyBorder="0"/>
    <xf numFmtId="171" fontId="67" fillId="0" borderId="0" applyBorder="0"/>
    <xf numFmtId="10" fontId="67" fillId="0" borderId="0" applyBorder="0"/>
    <xf numFmtId="0" fontId="38" fillId="0" borderId="0" applyNumberFormat="0" applyFont="0" applyFill="0" applyBorder="0" applyAlignment="0" applyProtection="0">
      <alignment horizontal="left"/>
    </xf>
    <xf numFmtId="15" fontId="38" fillId="0" borderId="0" applyFont="0" applyFill="0" applyBorder="0" applyAlignment="0" applyProtection="0"/>
    <xf numFmtId="4" fontId="38" fillId="0" borderId="0" applyFont="0" applyFill="0" applyBorder="0" applyAlignment="0" applyProtection="0"/>
    <xf numFmtId="3" fontId="17" fillId="0" borderId="0">
      <alignment horizontal="left" vertical="top"/>
    </xf>
    <xf numFmtId="0" fontId="39" fillId="0" borderId="8">
      <alignment horizontal="center"/>
    </xf>
    <xf numFmtId="3" fontId="38" fillId="0" borderId="0" applyFont="0" applyFill="0" applyBorder="0" applyAlignment="0" applyProtection="0"/>
    <xf numFmtId="0" fontId="38" fillId="12" borderId="0" applyNumberFormat="0" applyFont="0" applyBorder="0" applyAlignment="0" applyProtection="0"/>
    <xf numFmtId="3" fontId="17" fillId="0" borderId="0">
      <alignment horizontal="right" vertical="top"/>
    </xf>
    <xf numFmtId="41" fontId="24" fillId="9" borderId="11" applyFill="0"/>
    <xf numFmtId="0" fontId="40" fillId="0" borderId="0">
      <alignment horizontal="left" indent="7"/>
    </xf>
    <xf numFmtId="41" fontId="24" fillId="0" borderId="11" applyFill="0">
      <alignment horizontal="left" indent="2"/>
    </xf>
    <xf numFmtId="174" fontId="41" fillId="0" borderId="1" applyFill="0">
      <alignment horizontal="right"/>
    </xf>
    <xf numFmtId="0" fontId="42" fillId="0" borderId="9" applyNumberFormat="0" applyFont="0" applyBorder="0">
      <alignment horizontal="right"/>
    </xf>
    <xf numFmtId="0" fontId="43" fillId="0" borderId="0" applyFill="0"/>
    <xf numFmtId="0" fontId="19" fillId="0" borderId="0" applyFill="0"/>
    <xf numFmtId="4" fontId="41" fillId="0" borderId="1" applyFill="0"/>
    <xf numFmtId="0" fontId="17" fillId="0" borderId="0" applyNumberFormat="0" applyFont="0" applyBorder="0" applyAlignment="0"/>
    <xf numFmtId="0" fontId="22" fillId="0" borderId="0" applyFill="0">
      <alignment horizontal="left" indent="1"/>
    </xf>
    <xf numFmtId="0" fontId="44" fillId="0" borderId="0" applyFill="0">
      <alignment horizontal="left" indent="1"/>
    </xf>
    <xf numFmtId="4" fontId="25" fillId="0" borderId="0" applyFill="0"/>
    <xf numFmtId="0" fontId="17" fillId="0" borderId="0" applyNumberFormat="0" applyFont="0" applyFill="0" applyBorder="0" applyAlignment="0"/>
    <xf numFmtId="0" fontId="22" fillId="0" borderId="0" applyFill="0">
      <alignment horizontal="left" indent="2"/>
    </xf>
    <xf numFmtId="0" fontId="19" fillId="0" borderId="0" applyFill="0">
      <alignment horizontal="left" indent="2"/>
    </xf>
    <xf numFmtId="4" fontId="25" fillId="0" borderId="0" applyFill="0"/>
    <xf numFmtId="0" fontId="17" fillId="0" borderId="0" applyNumberFormat="0" applyFont="0" applyBorder="0" applyAlignment="0"/>
    <xf numFmtId="0" fontId="45" fillId="0" borderId="0">
      <alignment horizontal="left" indent="3"/>
    </xf>
    <xf numFmtId="0" fontId="46" fillId="0" borderId="0" applyFill="0">
      <alignment horizontal="left" indent="3"/>
    </xf>
    <xf numFmtId="4" fontId="25" fillId="0" borderId="0" applyFill="0"/>
    <xf numFmtId="0" fontId="17" fillId="0" borderId="0" applyNumberFormat="0" applyFont="0" applyBorder="0" applyAlignment="0"/>
    <xf numFmtId="0" fontId="26" fillId="0" borderId="0">
      <alignment horizontal="left" indent="4"/>
    </xf>
    <xf numFmtId="0" fontId="27" fillId="0" borderId="0" applyFill="0">
      <alignment horizontal="left" indent="4"/>
    </xf>
    <xf numFmtId="0" fontId="17" fillId="0" borderId="0" applyFill="0">
      <alignment horizontal="left" indent="4"/>
    </xf>
    <xf numFmtId="4" fontId="28" fillId="0" borderId="0" applyFill="0"/>
    <xf numFmtId="0" fontId="17" fillId="0" borderId="0" applyNumberFormat="0" applyFont="0" applyBorder="0" applyAlignment="0"/>
    <xf numFmtId="0" fontId="29" fillId="0" borderId="0">
      <alignment horizontal="left" indent="5"/>
    </xf>
    <xf numFmtId="0" fontId="30" fillId="0" borderId="0" applyFill="0">
      <alignment horizontal="left" indent="5"/>
    </xf>
    <xf numFmtId="4" fontId="31" fillId="0" borderId="0" applyFill="0"/>
    <xf numFmtId="0" fontId="17" fillId="0" borderId="0" applyNumberFormat="0" applyFont="0" applyFill="0" applyBorder="0" applyAlignment="0"/>
    <xf numFmtId="0" fontId="32" fillId="0" borderId="0" applyFill="0">
      <alignment horizontal="left" indent="6"/>
    </xf>
    <xf numFmtId="0" fontId="28" fillId="0" borderId="0" applyFill="0">
      <alignment horizontal="left" indent="6"/>
    </xf>
    <xf numFmtId="0" fontId="66" fillId="0" borderId="12" applyNumberFormat="0" applyFont="0" applyFill="0" applyAlignment="0" applyProtection="0"/>
    <xf numFmtId="0" fontId="77" fillId="0" borderId="0" applyNumberFormat="0" applyFill="0" applyBorder="0" applyAlignment="0" applyProtection="0"/>
    <xf numFmtId="0" fontId="78" fillId="0" borderId="0"/>
    <xf numFmtId="0" fontId="78" fillId="0" borderId="0"/>
    <xf numFmtId="0" fontId="54" fillId="0" borderId="8">
      <alignment horizontal="right"/>
    </xf>
    <xf numFmtId="0" fontId="16" fillId="13" borderId="0"/>
    <xf numFmtId="262" fontId="64" fillId="0" borderId="0">
      <alignment horizontal="center"/>
    </xf>
    <xf numFmtId="263" fontId="79" fillId="0" borderId="0">
      <alignment horizontal="center"/>
    </xf>
    <xf numFmtId="0" fontId="80" fillId="0" borderId="0" applyNumberFormat="0" applyFill="0" applyBorder="0" applyAlignment="0" applyProtection="0"/>
    <xf numFmtId="0" fontId="81" fillId="0" borderId="0" applyNumberFormat="0" applyBorder="0" applyAlignment="0"/>
    <xf numFmtId="0" fontId="50" fillId="0" borderId="0" applyNumberFormat="0" applyBorder="0" applyAlignment="0"/>
    <xf numFmtId="0" fontId="17" fillId="9" borderId="4" applyNumberFormat="0" applyFont="0" applyAlignment="0"/>
    <xf numFmtId="0" fontId="66" fillId="3" borderId="0" applyNumberFormat="0" applyFont="0" applyBorder="0" applyAlignment="0" applyProtection="0"/>
    <xf numFmtId="244" fontId="82" fillId="0" borderId="7" applyNumberFormat="0" applyFont="0" applyFill="0" applyAlignment="0" applyProtection="0"/>
    <xf numFmtId="0" fontId="48" fillId="0" borderId="0" applyFill="0" applyBorder="0" applyProtection="0">
      <alignment horizontal="left" vertical="top"/>
    </xf>
    <xf numFmtId="0" fontId="83" fillId="0" borderId="0" applyAlignment="0">
      <alignment horizontal="centerContinuous"/>
    </xf>
    <xf numFmtId="0" fontId="17" fillId="0" borderId="3" applyNumberFormat="0" applyFont="0" applyFill="0" applyAlignment="0" applyProtection="0"/>
    <xf numFmtId="0" fontId="17" fillId="0" borderId="0" applyFont="0" applyFill="0" applyBorder="0" applyAlignment="0" applyProtection="0"/>
    <xf numFmtId="0" fontId="84" fillId="0" borderId="0" applyNumberFormat="0" applyFill="0" applyBorder="0" applyAlignment="0" applyProtection="0"/>
    <xf numFmtId="264" fontId="53" fillId="0" borderId="0" applyFont="0" applyFill="0" applyBorder="0" applyAlignment="0" applyProtection="0"/>
    <xf numFmtId="265" fontId="53" fillId="0" borderId="0" applyFont="0" applyFill="0" applyBorder="0" applyAlignment="0" applyProtection="0"/>
    <xf numFmtId="266" fontId="53" fillId="0" borderId="0" applyFont="0" applyFill="0" applyBorder="0" applyAlignment="0" applyProtection="0"/>
    <xf numFmtId="267" fontId="53" fillId="0" borderId="0" applyFont="0" applyFill="0" applyBorder="0" applyAlignment="0" applyProtection="0"/>
    <xf numFmtId="268" fontId="53" fillId="0" borderId="0" applyFont="0" applyFill="0" applyBorder="0" applyAlignment="0" applyProtection="0"/>
    <xf numFmtId="269" fontId="53" fillId="0" borderId="0" applyFont="0" applyFill="0" applyBorder="0" applyAlignment="0" applyProtection="0"/>
    <xf numFmtId="270" fontId="53" fillId="0" borderId="0" applyFont="0" applyFill="0" applyBorder="0" applyAlignment="0" applyProtection="0"/>
    <xf numFmtId="271" fontId="53" fillId="0" borderId="0" applyFont="0" applyFill="0" applyBorder="0" applyAlignment="0" applyProtection="0"/>
    <xf numFmtId="272" fontId="85" fillId="3" borderId="13" applyFont="0" applyFill="0" applyBorder="0" applyAlignment="0" applyProtection="0"/>
    <xf numFmtId="272" fontId="57" fillId="0" borderId="0" applyFont="0" applyFill="0" applyBorder="0" applyAlignment="0" applyProtection="0"/>
    <xf numFmtId="273" fontId="60" fillId="0" borderId="0" applyFont="0" applyFill="0" applyBorder="0" applyAlignment="0" applyProtection="0"/>
    <xf numFmtId="274" fontId="64" fillId="0" borderId="7" applyFont="0" applyFill="0" applyBorder="0" applyAlignment="0" applyProtection="0">
      <alignment horizontal="right"/>
      <protection locked="0"/>
    </xf>
    <xf numFmtId="43" fontId="13" fillId="0" borderId="0" applyFont="0" applyFill="0" applyBorder="0" applyAlignment="0" applyProtection="0"/>
    <xf numFmtId="0" fontId="101" fillId="0" borderId="0"/>
    <xf numFmtId="43" fontId="81" fillId="0" borderId="0" applyFont="0" applyFill="0" applyBorder="0" applyAlignment="0" applyProtection="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2"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4" fillId="0" borderId="0"/>
    <xf numFmtId="0" fontId="11" fillId="0" borderId="0"/>
    <xf numFmtId="0" fontId="11" fillId="0" borderId="0"/>
    <xf numFmtId="0" fontId="11" fillId="0" borderId="0"/>
    <xf numFmtId="0" fontId="11"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38"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7" fillId="0" borderId="0"/>
    <xf numFmtId="0" fontId="17" fillId="0" borderId="0"/>
    <xf numFmtId="0" fontId="17" fillId="0" borderId="0"/>
    <xf numFmtId="0" fontId="17" fillId="0" borderId="0"/>
    <xf numFmtId="0" fontId="17" fillId="0" borderId="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3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17" fillId="0" borderId="0"/>
    <xf numFmtId="0" fontId="17" fillId="0" borderId="0"/>
    <xf numFmtId="0" fontId="17" fillId="0" borderId="0"/>
    <xf numFmtId="0" fontId="105" fillId="17" borderId="0" applyNumberFormat="0" applyBorder="0" applyAlignment="0" applyProtection="0"/>
    <xf numFmtId="0" fontId="105" fillId="18" borderId="0" applyNumberFormat="0" applyBorder="0" applyAlignment="0" applyProtection="0"/>
    <xf numFmtId="0" fontId="105" fillId="19" borderId="0" applyNumberFormat="0" applyBorder="0" applyAlignment="0" applyProtection="0"/>
    <xf numFmtId="0" fontId="105" fillId="20" borderId="0" applyNumberFormat="0" applyBorder="0" applyAlignment="0" applyProtection="0"/>
    <xf numFmtId="0" fontId="105" fillId="21" borderId="0" applyNumberFormat="0" applyBorder="0" applyAlignment="0" applyProtection="0"/>
    <xf numFmtId="0" fontId="105" fillId="22" borderId="0" applyNumberFormat="0" applyBorder="0" applyAlignment="0" applyProtection="0"/>
    <xf numFmtId="0" fontId="105" fillId="23" borderId="0" applyNumberFormat="0" applyBorder="0" applyAlignment="0" applyProtection="0"/>
    <xf numFmtId="0" fontId="105" fillId="24" borderId="0" applyNumberFormat="0" applyBorder="0" applyAlignment="0" applyProtection="0"/>
    <xf numFmtId="0" fontId="105" fillId="25" borderId="0" applyNumberFormat="0" applyBorder="0" applyAlignment="0" applyProtection="0"/>
    <xf numFmtId="0" fontId="105" fillId="20" borderId="0" applyNumberFormat="0" applyBorder="0" applyAlignment="0" applyProtection="0"/>
    <xf numFmtId="0" fontId="105" fillId="23" borderId="0" applyNumberFormat="0" applyBorder="0" applyAlignment="0" applyProtection="0"/>
    <xf numFmtId="0" fontId="105" fillId="26" borderId="0" applyNumberFormat="0" applyBorder="0" applyAlignment="0" applyProtection="0"/>
    <xf numFmtId="0" fontId="106" fillId="27" borderId="0" applyNumberFormat="0" applyBorder="0" applyAlignment="0" applyProtection="0"/>
    <xf numFmtId="0" fontId="106" fillId="24" borderId="0" applyNumberFormat="0" applyBorder="0" applyAlignment="0" applyProtection="0"/>
    <xf numFmtId="0" fontId="106" fillId="25"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0" borderId="0" applyNumberFormat="0" applyBorder="0" applyAlignment="0" applyProtection="0"/>
    <xf numFmtId="0" fontId="106" fillId="31" borderId="0" applyNumberFormat="0" applyBorder="0" applyAlignment="0" applyProtection="0"/>
    <xf numFmtId="0" fontId="106" fillId="32" borderId="0" applyNumberFormat="0" applyBorder="0" applyAlignment="0" applyProtection="0"/>
    <xf numFmtId="0" fontId="106" fillId="33" borderId="0" applyNumberFormat="0" applyBorder="0" applyAlignment="0" applyProtection="0"/>
    <xf numFmtId="0" fontId="106" fillId="28" borderId="0" applyNumberFormat="0" applyBorder="0" applyAlignment="0" applyProtection="0"/>
    <xf numFmtId="0" fontId="106" fillId="29" borderId="0" applyNumberFormat="0" applyBorder="0" applyAlignment="0" applyProtection="0"/>
    <xf numFmtId="0" fontId="106" fillId="34" borderId="0" applyNumberFormat="0" applyBorder="0" applyAlignment="0" applyProtection="0"/>
    <xf numFmtId="0" fontId="107" fillId="18" borderId="0" applyNumberFormat="0" applyBorder="0" applyAlignment="0" applyProtection="0"/>
    <xf numFmtId="0" fontId="108" fillId="35" borderId="25" applyNumberFormat="0" applyAlignment="0" applyProtection="0"/>
    <xf numFmtId="0" fontId="109" fillId="36" borderId="26" applyNumberFormat="0" applyAlignment="0" applyProtection="0"/>
    <xf numFmtId="9"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0" fontId="110" fillId="0" borderId="0" applyNumberFormat="0" applyFill="0" applyBorder="0" applyAlignment="0" applyProtection="0"/>
    <xf numFmtId="0" fontId="111" fillId="19" borderId="0" applyNumberFormat="0" applyBorder="0" applyAlignment="0" applyProtection="0"/>
    <xf numFmtId="43" fontId="38" fillId="0" borderId="0" applyFont="0" applyFill="0" applyBorder="0" applyAlignment="0" applyProtection="0"/>
    <xf numFmtId="0" fontId="112" fillId="0" borderId="27" applyNumberFormat="0" applyFill="0" applyAlignment="0" applyProtection="0"/>
    <xf numFmtId="0" fontId="112" fillId="0" borderId="0" applyNumberFormat="0" applyFill="0" applyBorder="0" applyAlignment="0" applyProtection="0"/>
    <xf numFmtId="0" fontId="113" fillId="22" borderId="25" applyNumberFormat="0" applyAlignment="0" applyProtection="0"/>
    <xf numFmtId="0" fontId="114" fillId="0" borderId="28" applyNumberFormat="0" applyFill="0" applyAlignment="0" applyProtection="0"/>
    <xf numFmtId="0" fontId="115" fillId="37" borderId="0" applyNumberFormat="0" applyBorder="0" applyAlignment="0" applyProtection="0"/>
    <xf numFmtId="43" fontId="10" fillId="0" borderId="0" applyFont="0" applyFill="0" applyBorder="0" applyAlignment="0" applyProtection="0"/>
    <xf numFmtId="0" fontId="17" fillId="0" borderId="0"/>
    <xf numFmtId="0" fontId="17" fillId="0" borderId="0"/>
    <xf numFmtId="0" fontId="17" fillId="0" borderId="0"/>
    <xf numFmtId="43" fontId="10" fillId="0" borderId="0" applyFont="0" applyFill="0" applyBorder="0" applyAlignment="0" applyProtection="0"/>
    <xf numFmtId="0" fontId="37" fillId="38" borderId="29" applyNumberFormat="0" applyFont="0" applyAlignment="0" applyProtection="0"/>
    <xf numFmtId="0" fontId="116" fillId="35" borderId="30" applyNumberFormat="0" applyAlignment="0" applyProtection="0"/>
    <xf numFmtId="9" fontId="17"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3" fontId="3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37" fillId="0" borderId="0" applyFont="0" applyFill="0" applyBorder="0" applyAlignment="0" applyProtection="0"/>
    <xf numFmtId="0" fontId="117" fillId="0" borderId="0" applyNumberFormat="0" applyFill="0" applyBorder="0" applyAlignment="0" applyProtection="0"/>
    <xf numFmtId="0" fontId="118" fillId="0" borderId="0" applyNumberFormat="0" applyFill="0" applyBorder="0" applyAlignment="0" applyProtection="0"/>
    <xf numFmtId="0" fontId="10" fillId="0" borderId="0"/>
    <xf numFmtId="0" fontId="10" fillId="0" borderId="0"/>
    <xf numFmtId="0" fontId="17" fillId="0" borderId="0"/>
    <xf numFmtId="0" fontId="98" fillId="0" borderId="0">
      <alignment vertical="top"/>
    </xf>
    <xf numFmtId="0" fontId="10" fillId="0" borderId="0"/>
    <xf numFmtId="174" fontId="37" fillId="0" borderId="0" applyProtection="0"/>
    <xf numFmtId="174" fontId="37" fillId="0" borderId="0" applyProtection="0"/>
    <xf numFmtId="0" fontId="17" fillId="0" borderId="0"/>
    <xf numFmtId="44" fontId="37" fillId="0" borderId="0" applyFont="0" applyFill="0" applyBorder="0" applyAlignment="0" applyProtection="0"/>
    <xf numFmtId="0" fontId="10" fillId="0" borderId="0"/>
    <xf numFmtId="174" fontId="37" fillId="0" borderId="0" applyProtection="0"/>
    <xf numFmtId="9" fontId="3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37" fillId="0" borderId="0" applyFont="0" applyFill="0" applyBorder="0" applyAlignment="0" applyProtection="0"/>
    <xf numFmtId="0" fontId="9" fillId="0" borderId="0"/>
    <xf numFmtId="0" fontId="9" fillId="0" borderId="0"/>
    <xf numFmtId="0" fontId="9" fillId="0" borderId="0"/>
    <xf numFmtId="0" fontId="9" fillId="0" borderId="0"/>
    <xf numFmtId="9" fontId="37" fillId="0" borderId="0" applyFont="0" applyFill="0" applyBorder="0" applyAlignment="0" applyProtection="0"/>
    <xf numFmtId="0" fontId="119" fillId="0" borderId="0"/>
    <xf numFmtId="9" fontId="119" fillId="0" borderId="0" applyFont="0" applyFill="0" applyBorder="0" applyAlignment="0" applyProtection="0"/>
    <xf numFmtId="0" fontId="113" fillId="22" borderId="25" applyNumberFormat="0" applyAlignment="0" applyProtection="0"/>
    <xf numFmtId="43" fontId="119" fillId="0" borderId="0" applyFont="0" applyFill="0" applyBorder="0" applyAlignment="0" applyProtection="0"/>
    <xf numFmtId="43"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4" fontId="119" fillId="0" borderId="0" applyFont="0" applyFill="0" applyBorder="0" applyAlignment="0" applyProtection="0"/>
    <xf numFmtId="43" fontId="119" fillId="0" borderId="0" applyFont="0" applyFill="0" applyBorder="0" applyAlignment="0" applyProtection="0"/>
    <xf numFmtId="0" fontId="113" fillId="22" borderId="25" applyNumberFormat="0" applyAlignment="0" applyProtection="0"/>
    <xf numFmtId="0" fontId="119" fillId="0" borderId="0"/>
    <xf numFmtId="9" fontId="119" fillId="0" borderId="0" applyFont="0" applyFill="0" applyBorder="0" applyAlignment="0" applyProtection="0"/>
    <xf numFmtId="9" fontId="119" fillId="0" borderId="0" applyFont="0" applyFill="0" applyBorder="0" applyAlignment="0" applyProtection="0"/>
    <xf numFmtId="0" fontId="119"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43" fontId="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0" fontId="7" fillId="0" borderId="0"/>
    <xf numFmtId="0" fontId="7" fillId="0" borderId="0"/>
    <xf numFmtId="0" fontId="7" fillId="0" borderId="0"/>
    <xf numFmtId="44" fontId="37" fillId="0" borderId="0" applyFont="0" applyFill="0" applyBorder="0" applyAlignment="0" applyProtection="0"/>
    <xf numFmtId="0" fontId="7" fillId="0" borderId="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44"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9" fontId="37" fillId="0" borderId="0" applyFont="0" applyFill="0" applyBorder="0" applyAlignment="0" applyProtection="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17" fillId="0" borderId="0"/>
    <xf numFmtId="9"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0" fontId="17" fillId="0" borderId="0"/>
    <xf numFmtId="9" fontId="17" fillId="0" borderId="0" applyFont="0" applyFill="0" applyBorder="0" applyAlignment="0" applyProtection="0"/>
    <xf numFmtId="9" fontId="17" fillId="0" borderId="0" applyFont="0" applyFill="0" applyBorder="0" applyAlignment="0" applyProtection="0"/>
    <xf numFmtId="0" fontId="17"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43" fontId="6" fillId="0" borderId="0" applyFont="0" applyFill="0" applyBorder="0" applyAlignment="0" applyProtection="0"/>
    <xf numFmtId="43" fontId="6" fillId="0" borderId="0" applyFon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43" fontId="4"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13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3" fillId="0" borderId="0" applyFont="0" applyFill="0" applyBorder="0" applyAlignment="0" applyProtection="0"/>
    <xf numFmtId="43" fontId="3" fillId="0" borderId="0" applyFont="0" applyFill="0" applyBorder="0" applyAlignment="0" applyProtection="0"/>
    <xf numFmtId="0" fontId="3" fillId="0" borderId="0"/>
    <xf numFmtId="0" fontId="3" fillId="0" borderId="0"/>
    <xf numFmtId="0" fontId="3" fillId="0" borderId="0"/>
    <xf numFmtId="0" fontId="3" fillId="0" borderId="0"/>
    <xf numFmtId="0" fontId="17" fillId="0" borderId="0"/>
    <xf numFmtId="0" fontId="17" fillId="0" borderId="0"/>
    <xf numFmtId="0" fontId="2" fillId="0" borderId="0"/>
    <xf numFmtId="41" fontId="2"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41" fontId="17" fillId="0" borderId="0" applyFont="0" applyFill="0" applyBorder="0" applyAlignment="0" applyProtection="0"/>
    <xf numFmtId="0" fontId="1" fillId="0" borderId="0"/>
    <xf numFmtId="41" fontId="1" fillId="0" borderId="0" applyFont="0" applyFill="0" applyBorder="0" applyAlignment="0" applyProtection="0"/>
    <xf numFmtId="41" fontId="37" fillId="0" borderId="0" applyFont="0" applyFill="0" applyBorder="0" applyAlignment="0" applyProtection="0"/>
  </cellStyleXfs>
  <cellXfs count="1276">
    <xf numFmtId="174" fontId="0" fillId="0" borderId="0" xfId="0" applyAlignment="1"/>
    <xf numFmtId="0" fontId="57" fillId="0" borderId="0" xfId="211" applyFont="1"/>
    <xf numFmtId="0" fontId="64" fillId="0" borderId="0" xfId="211" applyFont="1" applyAlignment="1">
      <alignment horizontal="centerContinuous"/>
    </xf>
    <xf numFmtId="0" fontId="64" fillId="0" borderId="0" xfId="211" applyFont="1" applyAlignment="1">
      <alignment horizontal="center" wrapText="1"/>
    </xf>
    <xf numFmtId="0" fontId="64" fillId="0" borderId="0" xfId="206" applyFont="1" applyFill="1" applyBorder="1" applyAlignment="1">
      <alignment horizontal="center" wrapText="1"/>
    </xf>
    <xf numFmtId="0" fontId="57" fillId="0" borderId="0" xfId="211" quotePrefix="1" applyFont="1" applyAlignment="1">
      <alignment horizontal="left"/>
    </xf>
    <xf numFmtId="0" fontId="57" fillId="0" borderId="0" xfId="211" applyFont="1" applyAlignment="1">
      <alignment horizontal="right"/>
    </xf>
    <xf numFmtId="37" fontId="57" fillId="0" borderId="0" xfId="211" applyNumberFormat="1" applyFont="1"/>
    <xf numFmtId="0" fontId="64" fillId="0" borderId="0" xfId="211" applyFont="1" applyAlignment="1">
      <alignment horizontal="centerContinuous" wrapText="1"/>
    </xf>
    <xf numFmtId="0" fontId="64" fillId="0" borderId="0" xfId="211" applyFont="1" applyAlignment="1">
      <alignment horizontal="center"/>
    </xf>
    <xf numFmtId="174" fontId="57" fillId="0" borderId="0" xfId="0" applyFont="1" applyAlignment="1">
      <alignment wrapText="1"/>
    </xf>
    <xf numFmtId="0" fontId="87" fillId="0" borderId="0" xfId="0" applyNumberFormat="1" applyFont="1" applyAlignment="1">
      <alignment horizontal="center"/>
    </xf>
    <xf numFmtId="174" fontId="87" fillId="0" borderId="0" xfId="0" applyFont="1" applyAlignment="1"/>
    <xf numFmtId="174" fontId="57" fillId="0" borderId="0" xfId="0" applyFont="1" applyAlignment="1"/>
    <xf numFmtId="174" fontId="57" fillId="0" borderId="0" xfId="207" applyFont="1" applyAlignment="1"/>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3" fontId="57" fillId="0" borderId="0" xfId="201" applyNumberFormat="1" applyFont="1" applyFill="1" applyBorder="1" applyAlignment="1">
      <alignment horizontal="center"/>
    </xf>
    <xf numFmtId="0" fontId="57" fillId="0" borderId="0" xfId="201" applyNumberFormat="1" applyFont="1" applyFill="1" applyBorder="1" applyProtection="1">
      <protection locked="0"/>
    </xf>
    <xf numFmtId="174" fontId="57" fillId="0" borderId="0" xfId="201" applyFont="1" applyFill="1" applyBorder="1" applyAlignment="1"/>
    <xf numFmtId="0" fontId="57" fillId="0" borderId="0" xfId="201" applyNumberFormat="1" applyFont="1" applyFill="1" applyBorder="1"/>
    <xf numFmtId="43" fontId="57" fillId="0" borderId="0" xfId="59" applyFont="1" applyAlignment="1"/>
    <xf numFmtId="0" fontId="57" fillId="0" borderId="0" xfId="210" applyNumberFormat="1" applyFont="1" applyAlignment="1" applyProtection="1">
      <protection locked="0"/>
    </xf>
    <xf numFmtId="3" fontId="57" fillId="0" borderId="0" xfId="210" applyNumberFormat="1" applyFont="1" applyAlignment="1"/>
    <xf numFmtId="3" fontId="57" fillId="0" borderId="8" xfId="210" applyNumberFormat="1" applyFont="1" applyBorder="1" applyAlignment="1">
      <alignment horizontal="center"/>
    </xf>
    <xf numFmtId="0" fontId="57" fillId="0" borderId="0" xfId="210" applyNumberFormat="1" applyFont="1" applyAlignment="1"/>
    <xf numFmtId="3" fontId="57" fillId="0" borderId="0" xfId="210" applyNumberFormat="1" applyFont="1" applyAlignment="1">
      <alignment horizontal="center"/>
    </xf>
    <xf numFmtId="0" fontId="57" fillId="0" borderId="8" xfId="210" applyNumberFormat="1" applyFont="1" applyBorder="1" applyAlignment="1" applyProtection="1">
      <alignment horizontal="center"/>
      <protection locked="0"/>
    </xf>
    <xf numFmtId="174" fontId="57" fillId="0" borderId="0" xfId="210" applyFont="1" applyFill="1" applyAlignment="1"/>
    <xf numFmtId="169" fontId="57" fillId="0" borderId="0" xfId="210" applyNumberFormat="1" applyFont="1" applyAlignment="1"/>
    <xf numFmtId="174" fontId="57" fillId="0" borderId="0" xfId="210" applyFont="1" applyAlignment="1"/>
    <xf numFmtId="3" fontId="57" fillId="0" borderId="0" xfId="210" applyNumberFormat="1" applyFont="1" applyFill="1" applyAlignment="1"/>
    <xf numFmtId="166" fontId="57" fillId="0" borderId="0" xfId="210" applyNumberFormat="1" applyFont="1" applyAlignment="1">
      <alignment horizontal="center"/>
    </xf>
    <xf numFmtId="164" fontId="57" fillId="0" borderId="0" xfId="210" applyNumberFormat="1" applyFont="1" applyAlignment="1">
      <alignment horizontal="left"/>
    </xf>
    <xf numFmtId="0" fontId="57" fillId="0" borderId="0" xfId="210" applyNumberFormat="1" applyFont="1" applyFill="1" applyAlignment="1"/>
    <xf numFmtId="164" fontId="57" fillId="0" borderId="0" xfId="210" applyNumberFormat="1" applyFont="1" applyFill="1" applyAlignment="1">
      <alignment horizontal="left"/>
    </xf>
    <xf numFmtId="175" fontId="57" fillId="0" borderId="0" xfId="59" applyNumberFormat="1" applyFont="1" applyBorder="1" applyAlignment="1"/>
    <xf numFmtId="10" fontId="57" fillId="0" borderId="0" xfId="210" applyNumberFormat="1" applyFont="1" applyFill="1" applyAlignment="1">
      <alignment horizontal="left"/>
    </xf>
    <xf numFmtId="3" fontId="57" fillId="0" borderId="0" xfId="188" applyNumberFormat="1" applyFont="1" applyAlignment="1"/>
    <xf numFmtId="166" fontId="57" fillId="0" borderId="0" xfId="188" applyNumberFormat="1" applyFont="1" applyAlignment="1"/>
    <xf numFmtId="0" fontId="57" fillId="0" borderId="0" xfId="188" applyFont="1" applyAlignment="1"/>
    <xf numFmtId="164" fontId="57" fillId="0" borderId="0" xfId="210" applyNumberFormat="1" applyFont="1" applyFill="1" applyAlignment="1" applyProtection="1">
      <alignment horizontal="left"/>
      <protection locked="0"/>
    </xf>
    <xf numFmtId="174" fontId="57" fillId="0" borderId="1" xfId="201" applyFont="1" applyFill="1" applyBorder="1" applyAlignment="1"/>
    <xf numFmtId="175" fontId="57" fillId="0" borderId="0" xfId="59" applyNumberFormat="1" applyFont="1" applyFill="1" applyBorder="1" applyAlignment="1"/>
    <xf numFmtId="43" fontId="57" fillId="0" borderId="0" xfId="59" applyFont="1" applyFill="1" applyBorder="1" applyAlignment="1"/>
    <xf numFmtId="174" fontId="88" fillId="0" borderId="0" xfId="201" applyFont="1" applyFill="1" applyBorder="1" applyAlignment="1"/>
    <xf numFmtId="174" fontId="57" fillId="0" borderId="0" xfId="201" applyFont="1" applyFill="1" applyBorder="1" applyAlignment="1">
      <alignment horizontal="center"/>
    </xf>
    <xf numFmtId="174" fontId="57" fillId="0" borderId="0" xfId="201" applyFont="1" applyFill="1" applyBorder="1" applyAlignment="1">
      <alignment horizontal="right"/>
    </xf>
    <xf numFmtId="0" fontId="57" fillId="0" borderId="0" xfId="188" applyFont="1" applyFill="1"/>
    <xf numFmtId="0" fontId="57" fillId="0" borderId="0" xfId="201" applyNumberFormat="1" applyFont="1" applyFill="1" applyAlignment="1">
      <alignment horizontal="right"/>
    </xf>
    <xf numFmtId="0" fontId="89" fillId="0" borderId="0" xfId="201" applyNumberFormat="1" applyFont="1" applyFill="1" applyBorder="1"/>
    <xf numFmtId="0" fontId="89" fillId="0" borderId="0" xfId="201" applyNumberFormat="1" applyFont="1" applyFill="1" applyBorder="1" applyAlignment="1">
      <alignment horizontal="center"/>
    </xf>
    <xf numFmtId="49" fontId="57" fillId="0" borderId="0" xfId="201" applyNumberFormat="1" applyFont="1" applyFill="1" applyBorder="1"/>
    <xf numFmtId="3" fontId="57" fillId="0" borderId="0" xfId="201" applyNumberFormat="1" applyFont="1" applyFill="1" applyBorder="1"/>
    <xf numFmtId="0" fontId="57" fillId="0" borderId="0" xfId="201" applyNumberFormat="1" applyFont="1" applyFill="1" applyBorder="1" applyAlignment="1">
      <alignment horizontal="center"/>
    </xf>
    <xf numFmtId="49" fontId="57" fillId="0" borderId="0" xfId="201" applyNumberFormat="1" applyFont="1" applyFill="1" applyBorder="1" applyAlignment="1">
      <alignment horizontal="center"/>
    </xf>
    <xf numFmtId="0" fontId="57" fillId="0" borderId="0" xfId="201" applyNumberFormat="1" applyFont="1" applyFill="1" applyBorder="1" applyAlignment="1"/>
    <xf numFmtId="3" fontId="64" fillId="0" borderId="0" xfId="201" applyNumberFormat="1" applyFont="1" applyFill="1" applyBorder="1" applyAlignment="1">
      <alignment horizontal="center"/>
    </xf>
    <xf numFmtId="174" fontId="64" fillId="0" borderId="0" xfId="201" applyFont="1" applyFill="1" applyBorder="1" applyAlignment="1">
      <alignment horizontal="center"/>
    </xf>
    <xf numFmtId="0" fontId="64" fillId="0" borderId="0" xfId="201" applyNumberFormat="1" applyFont="1" applyFill="1" applyBorder="1" applyAlignment="1" applyProtection="1">
      <alignment horizontal="center"/>
      <protection locked="0"/>
    </xf>
    <xf numFmtId="0" fontId="64" fillId="0" borderId="0" xfId="201" applyNumberFormat="1" applyFont="1" applyFill="1" applyBorder="1" applyAlignment="1">
      <alignment horizontal="center"/>
    </xf>
    <xf numFmtId="0" fontId="64" fillId="0" borderId="0" xfId="201" applyNumberFormat="1" applyFont="1" applyFill="1" applyBorder="1" applyAlignment="1"/>
    <xf numFmtId="0" fontId="90"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alignment horizontal="left"/>
    </xf>
    <xf numFmtId="10" fontId="91" fillId="0" borderId="0" xfId="265" applyNumberFormat="1" applyFont="1" applyFill="1" applyBorder="1" applyAlignment="1"/>
    <xf numFmtId="10" fontId="64" fillId="0" borderId="0" xfId="201" applyNumberFormat="1" applyFont="1" applyFill="1" applyBorder="1" applyAlignment="1"/>
    <xf numFmtId="3" fontId="64" fillId="0" borderId="0" xfId="201" applyNumberFormat="1" applyFont="1" applyFill="1" applyBorder="1" applyAlignment="1"/>
    <xf numFmtId="165" fontId="64" fillId="0" borderId="0" xfId="201" applyNumberFormat="1" applyFont="1" applyFill="1" applyBorder="1" applyAlignment="1"/>
    <xf numFmtId="10" fontId="57" fillId="0" borderId="0" xfId="201" applyNumberFormat="1" applyFont="1" applyFill="1" applyBorder="1" applyAlignment="1"/>
    <xf numFmtId="49" fontId="64" fillId="0" borderId="0" xfId="201" applyNumberFormat="1" applyFont="1" applyFill="1" applyBorder="1" applyAlignment="1">
      <alignment horizontal="center"/>
    </xf>
    <xf numFmtId="174" fontId="64" fillId="0" borderId="0" xfId="201" applyFont="1" applyFill="1" applyBorder="1" applyAlignment="1"/>
    <xf numFmtId="3" fontId="64" fillId="0" borderId="0" xfId="201" applyNumberFormat="1" applyFont="1" applyFill="1" applyBorder="1" applyAlignment="1">
      <alignment horizontal="left"/>
    </xf>
    <xf numFmtId="10" fontId="64" fillId="0" borderId="0" xfId="265" applyNumberFormat="1" applyFont="1" applyFill="1" applyBorder="1" applyAlignment="1"/>
    <xf numFmtId="0" fontId="57" fillId="0" borderId="0" xfId="201" applyNumberFormat="1" applyFont="1" applyFill="1" applyBorder="1" applyAlignment="1">
      <alignment horizontal="fill"/>
    </xf>
    <xf numFmtId="174" fontId="92" fillId="0" borderId="0" xfId="201" applyFont="1" applyFill="1" applyBorder="1" applyAlignment="1"/>
    <xf numFmtId="3" fontId="92" fillId="0" borderId="0" xfId="201" applyNumberFormat="1" applyFont="1" applyFill="1" applyBorder="1" applyAlignment="1"/>
    <xf numFmtId="164" fontId="57" fillId="0" borderId="0" xfId="201" applyNumberFormat="1" applyFont="1" applyFill="1" applyBorder="1" applyAlignment="1">
      <alignment horizontal="left"/>
    </xf>
    <xf numFmtId="164" fontId="57" fillId="0" borderId="0" xfId="201" applyNumberFormat="1" applyFont="1" applyFill="1" applyBorder="1" applyAlignment="1">
      <alignment horizontal="center"/>
    </xf>
    <xf numFmtId="170" fontId="57" fillId="0" borderId="0" xfId="201" applyNumberFormat="1" applyFont="1" applyFill="1" applyBorder="1" applyAlignment="1"/>
    <xf numFmtId="0" fontId="92" fillId="0" borderId="0" xfId="201" applyNumberFormat="1" applyFont="1" applyFill="1" applyBorder="1"/>
    <xf numFmtId="177" fontId="64" fillId="0" borderId="0" xfId="201" applyNumberFormat="1" applyFont="1" applyFill="1" applyBorder="1" applyAlignment="1">
      <alignment horizontal="center"/>
    </xf>
    <xf numFmtId="174" fontId="64" fillId="0" borderId="7" xfId="201" applyFont="1" applyFill="1" applyBorder="1" applyAlignment="1"/>
    <xf numFmtId="0" fontId="64" fillId="0" borderId="7" xfId="201" applyNumberFormat="1" applyFont="1" applyFill="1" applyBorder="1" applyAlignment="1">
      <alignment horizontal="center" wrapText="1"/>
    </xf>
    <xf numFmtId="174" fontId="64" fillId="0" borderId="9" xfId="201" applyFont="1" applyFill="1" applyBorder="1" applyAlignment="1">
      <alignment horizontal="center" wrapText="1"/>
    </xf>
    <xf numFmtId="3" fontId="64" fillId="0" borderId="9" xfId="201" applyNumberFormat="1" applyFont="1" applyFill="1" applyBorder="1" applyAlignment="1">
      <alignment horizontal="center" wrapText="1"/>
    </xf>
    <xf numFmtId="0" fontId="57" fillId="0" borderId="7" xfId="201" applyNumberFormat="1" applyFont="1" applyFill="1" applyBorder="1"/>
    <xf numFmtId="0" fontId="57" fillId="0" borderId="7" xfId="201" applyNumberFormat="1" applyFont="1" applyFill="1" applyBorder="1" applyAlignment="1">
      <alignment horizontal="center"/>
    </xf>
    <xf numFmtId="0" fontId="57" fillId="0" borderId="9" xfId="201" applyNumberFormat="1" applyFont="1" applyFill="1" applyBorder="1" applyAlignment="1">
      <alignment horizontal="center"/>
    </xf>
    <xf numFmtId="3" fontId="57" fillId="0" borderId="9" xfId="201" applyNumberFormat="1" applyFont="1" applyFill="1" applyBorder="1" applyAlignment="1">
      <alignment horizontal="center" wrapText="1"/>
    </xf>
    <xf numFmtId="3" fontId="57" fillId="0" borderId="7" xfId="201" applyNumberFormat="1" applyFont="1" applyFill="1" applyBorder="1" applyAlignment="1">
      <alignment horizontal="center"/>
    </xf>
    <xf numFmtId="0" fontId="57" fillId="0" borderId="11" xfId="201" applyNumberFormat="1" applyFont="1" applyFill="1" applyBorder="1"/>
    <xf numFmtId="3" fontId="57" fillId="0" borderId="11" xfId="201" applyNumberFormat="1"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49" fontId="87" fillId="0" borderId="0" xfId="0" applyNumberFormat="1" applyFont="1" applyAlignment="1">
      <alignment horizontal="center"/>
    </xf>
    <xf numFmtId="3" fontId="87" fillId="0" borderId="0" xfId="210" applyNumberFormat="1" applyFont="1" applyAlignment="1"/>
    <xf numFmtId="3" fontId="57" fillId="0" borderId="0" xfId="210" applyNumberFormat="1" applyFont="1" applyAlignment="1">
      <alignment wrapText="1"/>
    </xf>
    <xf numFmtId="0" fontId="57" fillId="0" borderId="0" xfId="192" applyFont="1"/>
    <xf numFmtId="43" fontId="57" fillId="0" borderId="0" xfId="192" applyNumberFormat="1" applyFont="1"/>
    <xf numFmtId="0" fontId="57" fillId="0" borderId="0" xfId="188" applyFont="1"/>
    <xf numFmtId="0" fontId="57" fillId="0" borderId="0" xfId="188" applyFont="1" applyAlignment="1">
      <alignment horizontal="right"/>
    </xf>
    <xf numFmtId="0" fontId="57" fillId="0" borderId="0" xfId="210" applyNumberFormat="1" applyFont="1" applyAlignment="1" applyProtection="1">
      <alignment horizontal="center"/>
      <protection locked="0"/>
    </xf>
    <xf numFmtId="0" fontId="57" fillId="0" borderId="0" xfId="210" applyNumberFormat="1" applyFont="1" applyFill="1" applyAlignment="1" applyProtection="1">
      <protection locked="0"/>
    </xf>
    <xf numFmtId="0" fontId="57" fillId="0" borderId="0" xfId="210" applyNumberFormat="1" applyFont="1" applyFill="1" applyProtection="1">
      <protection locked="0"/>
    </xf>
    <xf numFmtId="0" fontId="57" fillId="14" borderId="0" xfId="188" applyFont="1" applyFill="1"/>
    <xf numFmtId="0" fontId="57" fillId="0" borderId="0" xfId="210" applyNumberFormat="1" applyFont="1" applyProtection="1">
      <protection locked="0"/>
    </xf>
    <xf numFmtId="0" fontId="57" fillId="0" borderId="0" xfId="210" applyNumberFormat="1" applyFont="1"/>
    <xf numFmtId="0" fontId="94" fillId="0" borderId="0" xfId="210" applyNumberFormat="1" applyFont="1"/>
    <xf numFmtId="49" fontId="57" fillId="0" borderId="0" xfId="210" applyNumberFormat="1" applyFont="1" applyAlignment="1"/>
    <xf numFmtId="49" fontId="57" fillId="0" borderId="0" xfId="210" applyNumberFormat="1" applyFont="1" applyAlignment="1">
      <alignment horizontal="center"/>
    </xf>
    <xf numFmtId="0" fontId="57" fillId="0" borderId="0" xfId="210" applyNumberFormat="1" applyFont="1" applyAlignment="1">
      <alignment horizontal="center"/>
    </xf>
    <xf numFmtId="49" fontId="57" fillId="0" borderId="0" xfId="210" applyNumberFormat="1" applyFont="1"/>
    <xf numFmtId="3" fontId="57" fillId="0" borderId="0" xfId="210" applyNumberFormat="1" applyFont="1"/>
    <xf numFmtId="42" fontId="57" fillId="0" borderId="0" xfId="188" applyNumberFormat="1" applyFont="1"/>
    <xf numFmtId="0" fontId="57" fillId="0" borderId="0" xfId="210" applyNumberFormat="1" applyFont="1" applyFill="1"/>
    <xf numFmtId="0" fontId="57" fillId="0" borderId="8" xfId="210" applyNumberFormat="1" applyFont="1" applyBorder="1" applyAlignment="1" applyProtection="1">
      <alignment horizontal="centerContinuous"/>
      <protection locked="0"/>
    </xf>
    <xf numFmtId="3" fontId="57" fillId="0" borderId="0" xfId="210" applyNumberFormat="1" applyFont="1" applyFill="1" applyBorder="1"/>
    <xf numFmtId="3" fontId="57" fillId="0" borderId="0" xfId="210" applyNumberFormat="1" applyFont="1" applyAlignment="1">
      <alignment horizontal="left"/>
    </xf>
    <xf numFmtId="166" fontId="57" fillId="0" borderId="0" xfId="210" applyNumberFormat="1" applyFont="1" applyAlignment="1"/>
    <xf numFmtId="174" fontId="88" fillId="0" borderId="0" xfId="0" applyFont="1" applyAlignment="1"/>
    <xf numFmtId="0" fontId="57" fillId="0" borderId="0" xfId="206" applyNumberFormat="1" applyFont="1" applyAlignment="1" applyProtection="1">
      <alignment horizontal="center"/>
      <protection locked="0"/>
    </xf>
    <xf numFmtId="0" fontId="57" fillId="0" borderId="0" xfId="206" applyNumberFormat="1" applyFont="1" applyAlignment="1"/>
    <xf numFmtId="0" fontId="57" fillId="0" borderId="0" xfId="206" applyNumberFormat="1" applyFont="1"/>
    <xf numFmtId="0" fontId="57" fillId="0" borderId="0" xfId="206" applyNumberFormat="1" applyFont="1" applyBorder="1" applyAlignment="1"/>
    <xf numFmtId="0" fontId="57" fillId="0" borderId="0" xfId="210" applyNumberFormat="1" applyFont="1" applyFill="1" applyBorder="1"/>
    <xf numFmtId="0" fontId="57" fillId="0" borderId="0" xfId="206" applyFont="1" applyAlignment="1"/>
    <xf numFmtId="3" fontId="57" fillId="0" borderId="0" xfId="206" applyNumberFormat="1" applyFont="1" applyAlignment="1"/>
    <xf numFmtId="42" fontId="57" fillId="0" borderId="18" xfId="206" applyNumberFormat="1" applyFont="1" applyBorder="1" applyAlignment="1" applyProtection="1">
      <alignment horizontal="right"/>
      <protection locked="0"/>
    </xf>
    <xf numFmtId="0" fontId="57" fillId="0" borderId="0" xfId="210" applyNumberFormat="1" applyFont="1" applyFill="1" applyBorder="1" applyAlignment="1" applyProtection="1">
      <alignment horizontal="center"/>
      <protection locked="0"/>
    </xf>
    <xf numFmtId="174" fontId="57" fillId="0" borderId="0" xfId="210" applyFont="1" applyFill="1" applyBorder="1" applyAlignment="1"/>
    <xf numFmtId="0" fontId="57" fillId="0" borderId="0" xfId="210" applyNumberFormat="1" applyFont="1" applyFill="1" applyBorder="1" applyProtection="1">
      <protection locked="0"/>
    </xf>
    <xf numFmtId="0" fontId="57" fillId="0" borderId="0" xfId="210" applyNumberFormat="1" applyFont="1" applyFill="1" applyBorder="1" applyAlignment="1"/>
    <xf numFmtId="173" fontId="57" fillId="0" borderId="0" xfId="210" applyNumberFormat="1" applyFont="1" applyFill="1" applyProtection="1">
      <protection locked="0"/>
    </xf>
    <xf numFmtId="173" fontId="57" fillId="0" borderId="0" xfId="210" applyNumberFormat="1" applyFont="1" applyProtection="1">
      <protection locked="0"/>
    </xf>
    <xf numFmtId="169" fontId="57" fillId="0" borderId="0" xfId="210" applyNumberFormat="1" applyFont="1"/>
    <xf numFmtId="0" fontId="57" fillId="0" borderId="0" xfId="210" applyNumberFormat="1" applyFont="1" applyAlignment="1">
      <alignment horizontal="right"/>
    </xf>
    <xf numFmtId="0" fontId="86" fillId="0" borderId="0" xfId="210" applyNumberFormat="1" applyFont="1" applyAlignment="1"/>
    <xf numFmtId="3" fontId="64" fillId="0" borderId="0" xfId="210" applyNumberFormat="1" applyFont="1" applyAlignment="1">
      <alignment horizontal="center"/>
    </xf>
    <xf numFmtId="0" fontId="64" fillId="0" borderId="0" xfId="210" applyNumberFormat="1" applyFont="1" applyAlignment="1" applyProtection="1">
      <alignment horizontal="center"/>
      <protection locked="0"/>
    </xf>
    <xf numFmtId="174" fontId="64" fillId="0" borderId="0" xfId="210" applyFont="1" applyAlignment="1">
      <alignment horizontal="center"/>
    </xf>
    <xf numFmtId="3" fontId="64" fillId="0" borderId="0" xfId="210" applyNumberFormat="1" applyFont="1" applyAlignment="1"/>
    <xf numFmtId="0" fontId="64" fillId="0" borderId="0" xfId="210" applyNumberFormat="1" applyFont="1" applyAlignment="1"/>
    <xf numFmtId="175" fontId="57" fillId="14" borderId="0" xfId="59" applyNumberFormat="1" applyFont="1" applyFill="1" applyAlignment="1"/>
    <xf numFmtId="175" fontId="57" fillId="0" borderId="8" xfId="59" applyNumberFormat="1" applyFont="1" applyBorder="1" applyAlignment="1"/>
    <xf numFmtId="43" fontId="57" fillId="0" borderId="0" xfId="59" applyFont="1" applyAlignment="1">
      <alignment horizontal="center"/>
    </xf>
    <xf numFmtId="164" fontId="57" fillId="0" borderId="0" xfId="210" applyNumberFormat="1" applyFont="1" applyAlignment="1">
      <alignment horizontal="center"/>
    </xf>
    <xf numFmtId="184" fontId="57" fillId="0" borderId="0" xfId="59" applyNumberFormat="1" applyFont="1" applyAlignment="1"/>
    <xf numFmtId="3" fontId="57" fillId="0" borderId="0" xfId="206" applyNumberFormat="1" applyFont="1" applyBorder="1" applyAlignment="1"/>
    <xf numFmtId="3" fontId="57" fillId="0" borderId="0" xfId="206" applyNumberFormat="1" applyFont="1" applyFill="1" applyBorder="1" applyAlignment="1"/>
    <xf numFmtId="0" fontId="57" fillId="0" borderId="0" xfId="206" applyFont="1" applyFill="1" applyBorder="1" applyAlignment="1"/>
    <xf numFmtId="3" fontId="57" fillId="0" borderId="0" xfId="206" applyNumberFormat="1" applyFont="1" applyFill="1" applyAlignment="1"/>
    <xf numFmtId="184" fontId="57" fillId="0" borderId="0" xfId="59" applyNumberFormat="1" applyFont="1" applyBorder="1" applyAlignment="1"/>
    <xf numFmtId="3" fontId="57" fillId="0" borderId="0" xfId="210" quotePrefix="1" applyNumberFormat="1" applyFont="1" applyAlignment="1">
      <alignment horizontal="left"/>
    </xf>
    <xf numFmtId="175" fontId="57" fillId="0" borderId="0" xfId="59" applyNumberFormat="1" applyFont="1" applyFill="1" applyAlignment="1"/>
    <xf numFmtId="3" fontId="57" fillId="0" borderId="0" xfId="188" applyNumberFormat="1" applyFont="1" applyFill="1" applyAlignment="1"/>
    <xf numFmtId="0" fontId="57" fillId="0" borderId="0" xfId="188" applyNumberFormat="1" applyFont="1"/>
    <xf numFmtId="175" fontId="57" fillId="0" borderId="18" xfId="59" applyNumberFormat="1" applyFont="1" applyBorder="1" applyAlignment="1"/>
    <xf numFmtId="164" fontId="57" fillId="0" borderId="0" xfId="188" applyNumberFormat="1" applyFont="1" applyAlignment="1">
      <alignment horizontal="center"/>
    </xf>
    <xf numFmtId="3" fontId="57" fillId="0" borderId="0" xfId="188" applyNumberFormat="1" applyFont="1" applyBorder="1" applyAlignment="1"/>
    <xf numFmtId="3" fontId="57" fillId="0" borderId="0" xfId="210" applyNumberFormat="1" applyFont="1" applyAlignment="1">
      <alignment horizontal="right"/>
    </xf>
    <xf numFmtId="0" fontId="57" fillId="0" borderId="0" xfId="206" applyNumberFormat="1" applyFont="1" applyFill="1" applyAlignment="1"/>
    <xf numFmtId="172" fontId="57" fillId="0" borderId="0" xfId="210" applyNumberFormat="1" applyFont="1" applyFill="1" applyAlignment="1">
      <alignment horizontal="left"/>
    </xf>
    <xf numFmtId="183" fontId="57" fillId="0" borderId="0" xfId="59" applyNumberFormat="1" applyFont="1" applyAlignment="1"/>
    <xf numFmtId="183" fontId="57" fillId="0" borderId="0" xfId="59" applyNumberFormat="1" applyFont="1" applyFill="1" applyAlignment="1"/>
    <xf numFmtId="183" fontId="57" fillId="0" borderId="0" xfId="59" applyNumberFormat="1" applyFont="1" applyFill="1" applyBorder="1" applyAlignment="1"/>
    <xf numFmtId="175" fontId="57" fillId="0" borderId="8" xfId="59" applyNumberFormat="1" applyFont="1" applyFill="1" applyBorder="1" applyAlignment="1"/>
    <xf numFmtId="0" fontId="57" fillId="0" borderId="0" xfId="210" applyNumberFormat="1" applyFont="1" applyAlignment="1">
      <alignment wrapText="1"/>
    </xf>
    <xf numFmtId="0" fontId="57" fillId="0" borderId="0" xfId="210" quotePrefix="1" applyNumberFormat="1" applyFont="1" applyAlignment="1">
      <alignment horizontal="left"/>
    </xf>
    <xf numFmtId="175" fontId="57" fillId="0" borderId="0" xfId="59" applyNumberFormat="1" applyFont="1" applyFill="1" applyAlignment="1">
      <alignment horizontal="right"/>
    </xf>
    <xf numFmtId="167" fontId="57" fillId="0" borderId="0" xfId="210" applyNumberFormat="1" applyFont="1" applyAlignment="1"/>
    <xf numFmtId="166" fontId="57" fillId="0" borderId="0" xfId="188" applyNumberFormat="1" applyFont="1" applyAlignment="1">
      <alignment horizontal="center"/>
    </xf>
    <xf numFmtId="164" fontId="57" fillId="0" borderId="0" xfId="210" applyNumberFormat="1" applyFont="1" applyAlignment="1" applyProtection="1">
      <alignment horizontal="left"/>
      <protection locked="0"/>
    </xf>
    <xf numFmtId="175" fontId="57" fillId="0" borderId="14" xfId="59" applyNumberFormat="1" applyFont="1" applyBorder="1" applyAlignment="1"/>
    <xf numFmtId="0" fontId="87" fillId="0" borderId="0" xfId="210" applyNumberFormat="1" applyFont="1" applyAlignment="1" applyProtection="1">
      <alignment horizontal="center"/>
      <protection locked="0"/>
    </xf>
    <xf numFmtId="0" fontId="57" fillId="0" borderId="8" xfId="210" applyNumberFormat="1" applyFont="1" applyFill="1" applyBorder="1" applyProtection="1">
      <protection locked="0"/>
    </xf>
    <xf numFmtId="0" fontId="57" fillId="0" borderId="8" xfId="210" applyNumberFormat="1" applyFont="1" applyFill="1" applyBorder="1"/>
    <xf numFmtId="3" fontId="57" fillId="0" borderId="0" xfId="210" applyNumberFormat="1" applyFont="1" applyFill="1" applyAlignment="1">
      <alignment horizontal="center"/>
    </xf>
    <xf numFmtId="49" fontId="57" fillId="0" borderId="0" xfId="210" applyNumberFormat="1" applyFont="1" applyFill="1"/>
    <xf numFmtId="49" fontId="57" fillId="0" borderId="0" xfId="210" applyNumberFormat="1" applyFont="1" applyFill="1" applyAlignment="1"/>
    <xf numFmtId="49" fontId="57" fillId="0" borderId="0" xfId="210" applyNumberFormat="1" applyFont="1" applyFill="1" applyAlignment="1">
      <alignment horizontal="center"/>
    </xf>
    <xf numFmtId="183" fontId="57" fillId="0" borderId="0" xfId="59" applyNumberFormat="1" applyFont="1" applyFill="1" applyAlignment="1">
      <alignment horizontal="right"/>
    </xf>
    <xf numFmtId="3" fontId="57" fillId="0" borderId="8" xfId="210" applyNumberFormat="1" applyFont="1" applyBorder="1" applyAlignment="1"/>
    <xf numFmtId="43" fontId="57" fillId="0" borderId="0" xfId="59" applyNumberFormat="1" applyFont="1" applyAlignment="1"/>
    <xf numFmtId="4" fontId="57" fillId="0" borderId="0" xfId="210" applyNumberFormat="1" applyFont="1" applyAlignment="1"/>
    <xf numFmtId="3" fontId="57" fillId="0" borderId="0" xfId="188" applyNumberFormat="1" applyFont="1" applyBorder="1" applyAlignment="1">
      <alignment horizontal="center"/>
    </xf>
    <xf numFmtId="0" fontId="57" fillId="0" borderId="8" xfId="188" applyNumberFormat="1" applyFont="1" applyBorder="1" applyAlignment="1">
      <alignment horizontal="center"/>
    </xf>
    <xf numFmtId="0" fontId="57" fillId="0" borderId="0" xfId="188" applyNumberFormat="1" applyFont="1" applyAlignment="1">
      <alignment horizontal="center"/>
    </xf>
    <xf numFmtId="3" fontId="57" fillId="0" borderId="0" xfId="210" quotePrefix="1" applyNumberFormat="1" applyFont="1" applyAlignment="1"/>
    <xf numFmtId="175" fontId="57" fillId="0" borderId="0" xfId="59" applyNumberFormat="1" applyFont="1" applyFill="1" applyAlignment="1">
      <alignment horizontal="center"/>
    </xf>
    <xf numFmtId="0" fontId="57" fillId="0" borderId="0" xfId="210" applyNumberFormat="1" applyFont="1" applyBorder="1" applyAlignment="1" applyProtection="1">
      <alignment horizontal="center"/>
      <protection locked="0"/>
    </xf>
    <xf numFmtId="174" fontId="57" fillId="0" borderId="0" xfId="210" applyFont="1" applyFill="1" applyAlignment="1" applyProtection="1"/>
    <xf numFmtId="170" fontId="57" fillId="0" borderId="0" xfId="210" applyNumberFormat="1" applyFont="1" applyFill="1" applyBorder="1" applyProtection="1"/>
    <xf numFmtId="168" fontId="57" fillId="0" borderId="0" xfId="210" applyNumberFormat="1" applyFont="1" applyProtection="1">
      <protection locked="0"/>
    </xf>
    <xf numFmtId="1" fontId="57" fillId="0" borderId="0" xfId="210" applyNumberFormat="1" applyFont="1" applyFill="1" applyProtection="1"/>
    <xf numFmtId="1" fontId="57" fillId="0" borderId="0" xfId="210" applyNumberFormat="1" applyFont="1" applyFill="1" applyAlignment="1" applyProtection="1"/>
    <xf numFmtId="0" fontId="57" fillId="0" borderId="0" xfId="210" applyNumberFormat="1" applyFont="1" applyAlignment="1" applyProtection="1">
      <alignment horizontal="left"/>
      <protection locked="0"/>
    </xf>
    <xf numFmtId="3" fontId="57" fillId="0" borderId="0" xfId="210" applyNumberFormat="1" applyFont="1" applyAlignment="1" applyProtection="1"/>
    <xf numFmtId="3" fontId="57" fillId="0" borderId="0" xfId="210" applyNumberFormat="1" applyFont="1" applyFill="1" applyAlignment="1" applyProtection="1"/>
    <xf numFmtId="174" fontId="57" fillId="0" borderId="0" xfId="210" applyNumberFormat="1" applyFont="1" applyAlignment="1" applyProtection="1">
      <protection locked="0"/>
    </xf>
    <xf numFmtId="170" fontId="57" fillId="0" borderId="0" xfId="210" applyNumberFormat="1" applyFont="1" applyFill="1" applyBorder="1" applyAlignment="1" applyProtection="1"/>
    <xf numFmtId="170" fontId="57" fillId="0" borderId="0" xfId="210" applyNumberFormat="1" applyFont="1" applyProtection="1">
      <protection locked="0"/>
    </xf>
    <xf numFmtId="3" fontId="57" fillId="0" borderId="0" xfId="210" applyNumberFormat="1" applyFont="1" applyAlignment="1">
      <alignment vertical="top" wrapText="1"/>
    </xf>
    <xf numFmtId="0" fontId="57" fillId="0" borderId="0" xfId="210" applyNumberFormat="1" applyFont="1" applyAlignment="1" applyProtection="1">
      <alignment vertical="top" wrapText="1"/>
      <protection locked="0"/>
    </xf>
    <xf numFmtId="174" fontId="86" fillId="0" borderId="15" xfId="201" applyFont="1" applyFill="1" applyBorder="1" applyAlignment="1"/>
    <xf numFmtId="174" fontId="86" fillId="0" borderId="1" xfId="201" applyFont="1" applyFill="1" applyBorder="1" applyAlignment="1"/>
    <xf numFmtId="177" fontId="64" fillId="0" borderId="0" xfId="201" quotePrefix="1" applyNumberFormat="1" applyFont="1" applyFill="1" applyBorder="1" applyAlignment="1">
      <alignment horizontal="center"/>
    </xf>
    <xf numFmtId="174" fontId="57" fillId="0" borderId="0" xfId="210" applyFont="1" applyAlignment="1">
      <alignment horizontal="center"/>
    </xf>
    <xf numFmtId="174" fontId="57" fillId="0" borderId="0" xfId="201" applyFont="1" applyFill="1" applyBorder="1" applyAlignment="1">
      <alignment horizontal="left"/>
    </xf>
    <xf numFmtId="0" fontId="57" fillId="0" borderId="0" xfId="210" applyNumberFormat="1" applyFont="1" applyFill="1" applyAlignment="1">
      <alignment horizontal="center"/>
    </xf>
    <xf numFmtId="10" fontId="57" fillId="0" borderId="0" xfId="265" applyNumberFormat="1" applyFont="1" applyAlignment="1"/>
    <xf numFmtId="0" fontId="57" fillId="0" borderId="0" xfId="187" applyFont="1" applyFill="1" applyBorder="1" applyAlignment="1">
      <alignment horizontal="center"/>
    </xf>
    <xf numFmtId="174" fontId="57" fillId="0" borderId="0" xfId="0" applyFont="1" applyFill="1" applyAlignment="1"/>
    <xf numFmtId="174" fontId="57" fillId="0" borderId="0" xfId="0" applyFont="1" applyAlignment="1">
      <alignment horizontal="center"/>
    </xf>
    <xf numFmtId="174" fontId="57" fillId="0" borderId="0" xfId="0" applyFont="1" applyAlignment="1">
      <alignment horizontal="right"/>
    </xf>
    <xf numFmtId="0" fontId="57" fillId="0" borderId="0" xfId="0" applyNumberFormat="1" applyFont="1" applyAlignment="1">
      <alignment horizontal="center"/>
    </xf>
    <xf numFmtId="0" fontId="57" fillId="0" borderId="0" xfId="0" applyNumberFormat="1" applyFont="1" applyAlignment="1">
      <alignment horizontal="center" wrapText="1"/>
    </xf>
    <xf numFmtId="0" fontId="86" fillId="0" borderId="0" xfId="0" applyNumberFormat="1" applyFont="1" applyAlignment="1">
      <alignment horizontal="center"/>
    </xf>
    <xf numFmtId="174" fontId="86" fillId="0" borderId="0" xfId="0" applyFont="1" applyAlignment="1">
      <alignment horizontal="center"/>
    </xf>
    <xf numFmtId="44" fontId="86" fillId="0" borderId="0" xfId="0" applyNumberFormat="1" applyFont="1" applyBorder="1" applyAlignment="1"/>
    <xf numFmtId="0" fontId="57" fillId="0" borderId="22" xfId="201" applyNumberFormat="1" applyFont="1" applyFill="1" applyBorder="1"/>
    <xf numFmtId="0" fontId="57" fillId="0" borderId="7" xfId="201" applyNumberFormat="1" applyFont="1" applyFill="1" applyBorder="1" applyAlignment="1">
      <alignment horizontal="center" wrapText="1"/>
    </xf>
    <xf numFmtId="174" fontId="47" fillId="0" borderId="0" xfId="0" applyFont="1" applyAlignment="1"/>
    <xf numFmtId="43" fontId="47" fillId="0" borderId="0" xfId="59" applyFont="1" applyAlignment="1"/>
    <xf numFmtId="175" fontId="47" fillId="0" borderId="0" xfId="59" applyNumberFormat="1" applyFont="1" applyAlignment="1" applyProtection="1">
      <alignment horizontal="center"/>
      <protection locked="0"/>
    </xf>
    <xf numFmtId="0" fontId="47" fillId="0" borderId="0" xfId="210" applyNumberFormat="1" applyFont="1" applyAlignment="1" applyProtection="1">
      <protection locked="0"/>
    </xf>
    <xf numFmtId="3" fontId="47" fillId="0" borderId="0" xfId="210" applyNumberFormat="1" applyFont="1" applyAlignment="1"/>
    <xf numFmtId="3" fontId="47" fillId="0" borderId="8" xfId="210" applyNumberFormat="1" applyFont="1" applyBorder="1" applyAlignment="1">
      <alignment horizontal="center"/>
    </xf>
    <xf numFmtId="170" fontId="47" fillId="0" borderId="0" xfId="0" applyNumberFormat="1" applyFont="1" applyAlignment="1"/>
    <xf numFmtId="0" fontId="47" fillId="0" borderId="0" xfId="210" applyNumberFormat="1" applyFont="1" applyAlignment="1"/>
    <xf numFmtId="3" fontId="47" fillId="0" borderId="0" xfId="210" applyNumberFormat="1" applyFont="1" applyAlignment="1">
      <alignment horizontal="center"/>
    </xf>
    <xf numFmtId="0" fontId="47" fillId="0" borderId="8" xfId="210" applyNumberFormat="1" applyFont="1" applyBorder="1" applyAlignment="1" applyProtection="1">
      <alignment horizontal="center"/>
      <protection locked="0"/>
    </xf>
    <xf numFmtId="174" fontId="47" fillId="0" borderId="0" xfId="210" applyFont="1" applyFill="1" applyAlignment="1"/>
    <xf numFmtId="174" fontId="47" fillId="0" borderId="0" xfId="210" applyFont="1" applyAlignment="1"/>
    <xf numFmtId="43" fontId="47" fillId="0" borderId="0" xfId="59" applyFont="1" applyFill="1" applyAlignment="1">
      <alignment horizontal="center"/>
    </xf>
    <xf numFmtId="3" fontId="47" fillId="0" borderId="0" xfId="210" applyNumberFormat="1" applyFont="1" applyFill="1" applyAlignment="1"/>
    <xf numFmtId="166" fontId="47" fillId="0" borderId="0" xfId="210" applyNumberFormat="1" applyFont="1" applyAlignment="1">
      <alignment horizontal="center"/>
    </xf>
    <xf numFmtId="164" fontId="47" fillId="0" borderId="0" xfId="210" applyNumberFormat="1" applyFont="1" applyAlignment="1">
      <alignment horizontal="left"/>
    </xf>
    <xf numFmtId="0" fontId="47" fillId="0" borderId="0" xfId="210" applyNumberFormat="1" applyFont="1" applyFill="1" applyAlignment="1"/>
    <xf numFmtId="164" fontId="47" fillId="0" borderId="0" xfId="210" applyNumberFormat="1" applyFont="1" applyFill="1" applyAlignment="1">
      <alignment horizontal="left"/>
    </xf>
    <xf numFmtId="43" fontId="47" fillId="0" borderId="0" xfId="59" applyFont="1" applyFill="1" applyAlignment="1">
      <alignment horizontal="right"/>
    </xf>
    <xf numFmtId="175" fontId="47" fillId="0" borderId="0" xfId="59" applyNumberFormat="1" applyFont="1" applyBorder="1" applyAlignment="1"/>
    <xf numFmtId="10" fontId="47" fillId="0" borderId="0" xfId="210" applyNumberFormat="1" applyFont="1" applyFill="1" applyAlignment="1">
      <alignment horizontal="left"/>
    </xf>
    <xf numFmtId="3" fontId="47" fillId="0" borderId="0" xfId="188" applyNumberFormat="1" applyFont="1" applyAlignment="1"/>
    <xf numFmtId="166" fontId="47" fillId="0" borderId="0" xfId="188" applyNumberFormat="1" applyFont="1" applyAlignment="1"/>
    <xf numFmtId="0" fontId="47" fillId="0" borderId="0" xfId="188" applyFont="1" applyAlignment="1"/>
    <xf numFmtId="164" fontId="47" fillId="0" borderId="0" xfId="210" applyNumberFormat="1" applyFont="1" applyFill="1" applyAlignment="1" applyProtection="1">
      <alignment horizontal="left"/>
      <protection locked="0"/>
    </xf>
    <xf numFmtId="0" fontId="57" fillId="0" borderId="0" xfId="211" applyFont="1" applyAlignment="1">
      <alignment horizontal="center"/>
    </xf>
    <xf numFmtId="49" fontId="57" fillId="0" borderId="0" xfId="0" applyNumberFormat="1" applyFont="1" applyAlignment="1">
      <alignment horizontal="center"/>
    </xf>
    <xf numFmtId="0" fontId="57" fillId="0" borderId="0" xfId="210" applyNumberFormat="1" applyFont="1" applyFill="1" applyAlignment="1" applyProtection="1">
      <alignment vertical="top"/>
      <protection locked="0"/>
    </xf>
    <xf numFmtId="0" fontId="57" fillId="0" borderId="0" xfId="188" applyNumberFormat="1" applyFont="1" applyAlignment="1">
      <alignment vertical="top"/>
    </xf>
    <xf numFmtId="0" fontId="57" fillId="0" borderId="0" xfId="210" applyNumberFormat="1" applyFont="1" applyAlignment="1" applyProtection="1">
      <alignment vertical="top"/>
      <protection locked="0"/>
    </xf>
    <xf numFmtId="170" fontId="57" fillId="0" borderId="0" xfId="210" applyNumberFormat="1" applyFont="1" applyFill="1" applyBorder="1" applyAlignment="1" applyProtection="1">
      <alignment vertical="top"/>
    </xf>
    <xf numFmtId="3" fontId="57" fillId="0" borderId="0" xfId="210" applyNumberFormat="1" applyFont="1" applyAlignment="1" applyProtection="1">
      <alignment vertical="top"/>
    </xf>
    <xf numFmtId="3" fontId="57" fillId="0" borderId="0" xfId="210" applyNumberFormat="1" applyFont="1" applyFill="1" applyAlignment="1" applyProtection="1">
      <alignment vertical="top"/>
    </xf>
    <xf numFmtId="174" fontId="57" fillId="0" borderId="0" xfId="0" applyFont="1" applyAlignment="1">
      <alignment vertical="top"/>
    </xf>
    <xf numFmtId="1" fontId="57" fillId="0" borderId="0" xfId="0" applyNumberFormat="1" applyFont="1" applyFill="1" applyAlignment="1">
      <alignment horizontal="center"/>
    </xf>
    <xf numFmtId="49" fontId="57" fillId="0" borderId="0" xfId="0" applyNumberFormat="1" applyFont="1" applyFill="1" applyAlignment="1">
      <alignment horizontal="center"/>
    </xf>
    <xf numFmtId="175" fontId="47" fillId="0" borderId="0" xfId="59" applyNumberFormat="1" applyFont="1" applyAlignment="1"/>
    <xf numFmtId="175" fontId="57" fillId="0" borderId="0" xfId="59" applyNumberFormat="1" applyFont="1" applyAlignment="1">
      <alignment horizontal="right"/>
    </xf>
    <xf numFmtId="174" fontId="57" fillId="0" borderId="0" xfId="0" applyFont="1" applyFill="1" applyAlignment="1">
      <alignment horizontal="center"/>
    </xf>
    <xf numFmtId="175" fontId="57" fillId="0" borderId="11" xfId="59" applyNumberFormat="1" applyFont="1" applyFill="1" applyBorder="1" applyAlignment="1"/>
    <xf numFmtId="175" fontId="57" fillId="0" borderId="15" xfId="59" applyNumberFormat="1" applyFont="1" applyFill="1" applyBorder="1" applyAlignment="1"/>
    <xf numFmtId="0" fontId="57" fillId="0" borderId="0" xfId="188" applyNumberFormat="1" applyFont="1" applyFill="1" applyAlignment="1">
      <alignment vertical="top"/>
    </xf>
    <xf numFmtId="0" fontId="57" fillId="0" borderId="0" xfId="0" applyNumberFormat="1" applyFont="1" applyFill="1" applyBorder="1" applyAlignment="1">
      <alignment vertical="top"/>
    </xf>
    <xf numFmtId="3" fontId="57" fillId="0" borderId="0" xfId="210" applyNumberFormat="1" applyFont="1" applyBorder="1" applyAlignment="1">
      <alignment horizontal="center"/>
    </xf>
    <xf numFmtId="3" fontId="47" fillId="0" borderId="0" xfId="0" applyNumberFormat="1" applyFont="1" applyAlignment="1"/>
    <xf numFmtId="3" fontId="47" fillId="0" borderId="0" xfId="0" applyNumberFormat="1" applyFont="1" applyFill="1" applyAlignment="1"/>
    <xf numFmtId="0" fontId="47" fillId="0" borderId="0" xfId="0" applyNumberFormat="1" applyFont="1" applyProtection="1">
      <protection locked="0"/>
    </xf>
    <xf numFmtId="3" fontId="47" fillId="0" borderId="0" xfId="0" applyNumberFormat="1" applyFont="1" applyAlignment="1">
      <alignment horizontal="center"/>
    </xf>
    <xf numFmtId="3" fontId="57" fillId="0" borderId="0" xfId="188" applyNumberFormat="1" applyFont="1" applyAlignment="1">
      <alignment wrapText="1"/>
    </xf>
    <xf numFmtId="174" fontId="47" fillId="0" borderId="0" xfId="210" applyFont="1" applyFill="1" applyAlignment="1">
      <alignment wrapText="1"/>
    </xf>
    <xf numFmtId="175" fontId="47" fillId="0" borderId="0" xfId="59" applyNumberFormat="1" applyFont="1" applyAlignment="1">
      <alignment horizontal="left" indent="2"/>
    </xf>
    <xf numFmtId="174" fontId="57" fillId="0" borderId="0" xfId="0" applyFont="1" applyFill="1" applyBorder="1" applyAlignment="1"/>
    <xf numFmtId="175" fontId="57" fillId="0" borderId="8" xfId="59" applyNumberFormat="1" applyFont="1" applyFill="1" applyBorder="1" applyAlignment="1">
      <alignment horizontal="center"/>
    </xf>
    <xf numFmtId="0" fontId="57" fillId="0" borderId="19" xfId="201" applyNumberFormat="1" applyFont="1" applyFill="1" applyBorder="1"/>
    <xf numFmtId="175" fontId="57" fillId="14" borderId="10" xfId="59" applyNumberFormat="1" applyFont="1" applyFill="1" applyBorder="1" applyAlignment="1"/>
    <xf numFmtId="174" fontId="86" fillId="0" borderId="17" xfId="201" applyFont="1" applyFill="1" applyBorder="1" applyAlignment="1"/>
    <xf numFmtId="0" fontId="57" fillId="0" borderId="9" xfId="201" applyNumberFormat="1" applyFont="1" applyFill="1" applyBorder="1" applyAlignment="1">
      <alignment horizontal="center" wrapText="1"/>
    </xf>
    <xf numFmtId="41" fontId="57" fillId="15" borderId="0" xfId="211" applyNumberFormat="1" applyFont="1" applyFill="1"/>
    <xf numFmtId="0" fontId="57" fillId="0" borderId="0" xfId="0" applyNumberFormat="1" applyFont="1" applyAlignment="1">
      <alignment horizontal="center"/>
    </xf>
    <xf numFmtId="44" fontId="57" fillId="0" borderId="0" xfId="0" applyNumberFormat="1" applyFont="1" applyBorder="1" applyAlignment="1"/>
    <xf numFmtId="44" fontId="57" fillId="0" borderId="0" xfId="0" applyNumberFormat="1" applyFont="1" applyFill="1" applyBorder="1" applyAlignment="1"/>
    <xf numFmtId="0" fontId="57" fillId="0" borderId="0" xfId="187" applyFont="1" applyFill="1" applyBorder="1" applyAlignment="1"/>
    <xf numFmtId="174" fontId="87" fillId="0" borderId="0" xfId="0" applyFont="1" applyBorder="1" applyAlignment="1"/>
    <xf numFmtId="0" fontId="57" fillId="16" borderId="0" xfId="187" applyFont="1" applyFill="1" applyBorder="1" applyAlignment="1"/>
    <xf numFmtId="175" fontId="57" fillId="16" borderId="0" xfId="59" applyNumberFormat="1" applyFont="1" applyFill="1" applyBorder="1"/>
    <xf numFmtId="175" fontId="57" fillId="16" borderId="1" xfId="59" applyNumberFormat="1" applyFont="1" applyFill="1" applyBorder="1"/>
    <xf numFmtId="175" fontId="57" fillId="0" borderId="1" xfId="59" applyNumberFormat="1" applyFont="1" applyFill="1" applyBorder="1" applyAlignment="1">
      <alignment horizontal="center" wrapText="1"/>
    </xf>
    <xf numFmtId="175" fontId="57" fillId="0" borderId="0" xfId="59" applyNumberFormat="1" applyFont="1" applyFill="1" applyBorder="1"/>
    <xf numFmtId="174" fontId="57" fillId="0" borderId="0" xfId="0" applyFont="1" applyBorder="1" applyAlignment="1"/>
    <xf numFmtId="3" fontId="57" fillId="0" borderId="0" xfId="188" applyNumberFormat="1" applyFont="1" applyFill="1" applyAlignment="1">
      <alignment wrapText="1"/>
    </xf>
    <xf numFmtId="0" fontId="64" fillId="0" borderId="0" xfId="211" applyFont="1" applyFill="1" applyAlignment="1">
      <alignment horizontal="center" wrapText="1"/>
    </xf>
    <xf numFmtId="0" fontId="57" fillId="0" borderId="0" xfId="210" applyNumberFormat="1" applyFont="1" applyFill="1" applyAlignment="1" applyProtection="1">
      <alignment horizontal="center"/>
      <protection locked="0"/>
    </xf>
    <xf numFmtId="164" fontId="57" fillId="0" borderId="0" xfId="210" applyNumberFormat="1" applyFont="1" applyFill="1" applyAlignment="1">
      <alignment horizontal="center"/>
    </xf>
    <xf numFmtId="0" fontId="57" fillId="0" borderId="0" xfId="206" applyNumberFormat="1" applyFont="1" applyFill="1" applyAlignment="1">
      <alignment horizontal="left"/>
    </xf>
    <xf numFmtId="0" fontId="57" fillId="0" borderId="0" xfId="187" applyFont="1" applyBorder="1" applyAlignment="1">
      <alignment horizontal="center"/>
    </xf>
    <xf numFmtId="3" fontId="57" fillId="0" borderId="0" xfId="187" applyNumberFormat="1" applyFont="1" applyFill="1" applyBorder="1" applyAlignment="1"/>
    <xf numFmtId="174" fontId="64" fillId="0" borderId="1" xfId="201" applyFont="1" applyBorder="1" applyAlignment="1">
      <alignment horizontal="center" wrapText="1"/>
    </xf>
    <xf numFmtId="0" fontId="57" fillId="0" borderId="0" xfId="204" applyFont="1" applyBorder="1" applyAlignment="1"/>
    <xf numFmtId="180" fontId="57" fillId="0" borderId="0" xfId="205" applyNumberFormat="1" applyFont="1" applyFill="1" applyBorder="1" applyAlignment="1"/>
    <xf numFmtId="174" fontId="57" fillId="0" borderId="0" xfId="201" applyFont="1" applyFill="1" applyBorder="1" applyAlignment="1">
      <alignment vertical="top" wrapText="1"/>
    </xf>
    <xf numFmtId="0" fontId="90" fillId="0" borderId="0" xfId="187" applyFont="1" applyBorder="1" applyAlignment="1">
      <alignment horizontal="left"/>
    </xf>
    <xf numFmtId="0" fontId="57" fillId="0" borderId="0" xfId="187" applyFont="1" applyBorder="1" applyAlignment="1"/>
    <xf numFmtId="174" fontId="64" fillId="0" borderId="0" xfId="201" applyFont="1" applyAlignment="1">
      <alignment horizontal="center"/>
    </xf>
    <xf numFmtId="174" fontId="64" fillId="0" borderId="0" xfId="201" applyFont="1" applyAlignment="1">
      <alignment horizontal="center" wrapText="1"/>
    </xf>
    <xf numFmtId="0" fontId="64" fillId="0" borderId="0" xfId="185" applyFont="1" applyAlignment="1">
      <alignment horizontal="center"/>
    </xf>
    <xf numFmtId="0" fontId="57" fillId="0" borderId="0" xfId="187" applyFont="1" applyBorder="1"/>
    <xf numFmtId="170" fontId="57" fillId="0" borderId="0" xfId="204" applyNumberFormat="1" applyFont="1" applyFill="1" applyBorder="1" applyAlignment="1">
      <alignment horizontal="right"/>
    </xf>
    <xf numFmtId="173" fontId="57" fillId="0" borderId="0" xfId="204" applyNumberFormat="1" applyFont="1" applyFill="1" applyBorder="1" applyAlignment="1"/>
    <xf numFmtId="173" fontId="57" fillId="0" borderId="0" xfId="205" applyNumberFormat="1" applyFont="1" applyFill="1" applyBorder="1" applyAlignment="1"/>
    <xf numFmtId="0" fontId="57" fillId="0" borderId="0" xfId="204" applyFont="1" applyFill="1" applyBorder="1" applyAlignment="1"/>
    <xf numFmtId="175" fontId="57" fillId="0" borderId="0" xfId="364" applyNumberFormat="1" applyFont="1" applyFill="1" applyBorder="1" applyAlignment="1">
      <alignment horizontal="right"/>
    </xf>
    <xf numFmtId="174" fontId="64" fillId="0" borderId="0" xfId="201" applyFont="1" applyFill="1" applyBorder="1" applyAlignment="1">
      <alignment horizontal="center" wrapText="1"/>
    </xf>
    <xf numFmtId="174" fontId="57" fillId="0" borderId="0" xfId="201" applyFont="1" applyFill="1" applyBorder="1" applyAlignment="1">
      <alignment wrapText="1"/>
    </xf>
    <xf numFmtId="174" fontId="57" fillId="0" borderId="0" xfId="0" applyFont="1" applyAlignment="1"/>
    <xf numFmtId="0" fontId="57" fillId="0" borderId="0" xfId="0" applyNumberFormat="1" applyFont="1" applyFill="1" applyAlignment="1">
      <alignment horizontal="center" vertical="top"/>
    </xf>
    <xf numFmtId="3" fontId="57" fillId="0" borderId="0" xfId="188" applyNumberFormat="1" applyFont="1" applyAlignment="1">
      <alignment horizontal="center" wrapText="1"/>
    </xf>
    <xf numFmtId="1" fontId="57" fillId="0" borderId="0" xfId="0" applyNumberFormat="1" applyFont="1" applyFill="1" applyAlignment="1">
      <alignment horizontal="center" vertical="top"/>
    </xf>
    <xf numFmtId="175" fontId="57" fillId="16" borderId="0" xfId="59" applyNumberFormat="1" applyFont="1" applyFill="1" applyAlignment="1"/>
    <xf numFmtId="0" fontId="57" fillId="0" borderId="0" xfId="206" applyNumberFormat="1" applyFont="1" applyFill="1" applyAlignment="1" applyProtection="1">
      <alignment horizontal="center"/>
      <protection locked="0"/>
    </xf>
    <xf numFmtId="0" fontId="57" fillId="0" borderId="8" xfId="210" applyNumberFormat="1" applyFont="1" applyFill="1" applyBorder="1" applyAlignment="1" applyProtection="1">
      <alignment horizontal="center"/>
      <protection locked="0"/>
    </xf>
    <xf numFmtId="3" fontId="57" fillId="0" borderId="0" xfId="210" applyNumberFormat="1" applyFont="1" applyFill="1" applyAlignment="1">
      <alignment horizontal="left"/>
    </xf>
    <xf numFmtId="183" fontId="57" fillId="0" borderId="0" xfId="59" applyNumberFormat="1" applyFont="1" applyBorder="1" applyAlignment="1"/>
    <xf numFmtId="183" fontId="57" fillId="0" borderId="0" xfId="59" applyNumberFormat="1" applyFont="1" applyAlignment="1">
      <alignment horizontal="center"/>
    </xf>
    <xf numFmtId="183" fontId="57" fillId="0" borderId="0" xfId="210" applyNumberFormat="1" applyFont="1" applyAlignment="1">
      <alignment horizontal="center"/>
    </xf>
    <xf numFmtId="10" fontId="57" fillId="0" borderId="8" xfId="265" applyNumberFormat="1" applyFont="1" applyBorder="1" applyAlignment="1"/>
    <xf numFmtId="0" fontId="57" fillId="0" borderId="0" xfId="187" applyFont="1" applyFill="1"/>
    <xf numFmtId="0" fontId="57" fillId="0" borderId="0" xfId="187" applyFont="1" applyFill="1" applyBorder="1"/>
    <xf numFmtId="0" fontId="64" fillId="0" borderId="0" xfId="187" applyFont="1" applyFill="1" applyBorder="1" applyAlignment="1">
      <alignment horizontal="center"/>
    </xf>
    <xf numFmtId="43" fontId="57" fillId="0" borderId="0" xfId="187" applyNumberFormat="1" applyFont="1" applyFill="1" applyBorder="1"/>
    <xf numFmtId="0" fontId="64" fillId="0" borderId="0" xfId="187" applyFont="1" applyFill="1" applyBorder="1"/>
    <xf numFmtId="0" fontId="64" fillId="0" borderId="0" xfId="187" quotePrefix="1" applyFont="1" applyFill="1" applyBorder="1" applyAlignment="1">
      <alignment horizontal="center"/>
    </xf>
    <xf numFmtId="164" fontId="64" fillId="0" borderId="0" xfId="187" applyNumberFormat="1" applyFont="1" applyFill="1" applyBorder="1" applyAlignment="1">
      <alignment horizontal="center"/>
    </xf>
    <xf numFmtId="175" fontId="57" fillId="0" borderId="0" xfId="187" applyNumberFormat="1" applyFont="1" applyFill="1" applyBorder="1"/>
    <xf numFmtId="10" fontId="57" fillId="0" borderId="0" xfId="187" applyNumberFormat="1" applyFont="1" applyFill="1" applyBorder="1"/>
    <xf numFmtId="175" fontId="88" fillId="0" borderId="0" xfId="187" applyNumberFormat="1" applyFont="1" applyFill="1" applyBorder="1"/>
    <xf numFmtId="3" fontId="57" fillId="0" borderId="0" xfId="187" applyNumberFormat="1" applyFont="1" applyFill="1" applyBorder="1"/>
    <xf numFmtId="164" fontId="57" fillId="0" borderId="0" xfId="265" applyNumberFormat="1" applyFont="1" applyFill="1" applyBorder="1"/>
    <xf numFmtId="10" fontId="57" fillId="16" borderId="0" xfId="187" applyNumberFormat="1" applyFont="1" applyFill="1" applyBorder="1"/>
    <xf numFmtId="164" fontId="57" fillId="0" borderId="0" xfId="282" applyNumberFormat="1" applyFont="1" applyFill="1" applyBorder="1"/>
    <xf numFmtId="0" fontId="57" fillId="0" borderId="0" xfId="187" applyFont="1" applyAlignment="1">
      <alignment horizontal="center"/>
    </xf>
    <xf numFmtId="0" fontId="57" fillId="0" borderId="0" xfId="187" applyFont="1"/>
    <xf numFmtId="0" fontId="57" fillId="0" borderId="0" xfId="187" applyFont="1" applyFill="1" applyAlignment="1">
      <alignment wrapText="1"/>
    </xf>
    <xf numFmtId="0" fontId="57" fillId="0" borderId="0" xfId="187" applyFont="1" applyFill="1" applyBorder="1" applyAlignment="1">
      <alignment wrapText="1"/>
    </xf>
    <xf numFmtId="10" fontId="57" fillId="0" borderId="0" xfId="265" applyNumberFormat="1" applyFont="1" applyFill="1" applyBorder="1"/>
    <xf numFmtId="0" fontId="57" fillId="0" borderId="3" xfId="187" applyFont="1" applyFill="1" applyBorder="1"/>
    <xf numFmtId="176" fontId="57" fillId="0" borderId="0" xfId="102" applyNumberFormat="1" applyFont="1" applyFill="1" applyBorder="1" applyAlignment="1">
      <alignment horizontal="center"/>
    </xf>
    <xf numFmtId="174" fontId="57" fillId="0" borderId="0" xfId="0" applyFont="1" applyBorder="1" applyAlignment="1"/>
    <xf numFmtId="10" fontId="57" fillId="0" borderId="3" xfId="187" applyNumberFormat="1" applyFont="1" applyFill="1" applyBorder="1"/>
    <xf numFmtId="0" fontId="64" fillId="0" borderId="3" xfId="187" applyFont="1" applyFill="1" applyBorder="1"/>
    <xf numFmtId="10" fontId="64" fillId="0" borderId="3" xfId="187" applyNumberFormat="1" applyFont="1" applyFill="1" applyBorder="1"/>
    <xf numFmtId="0" fontId="57" fillId="0" borderId="1" xfId="187" applyFont="1" applyFill="1" applyBorder="1" applyAlignment="1">
      <alignment horizontal="center"/>
    </xf>
    <xf numFmtId="0" fontId="57" fillId="0" borderId="0" xfId="187" applyFont="1" applyFill="1" applyAlignment="1"/>
    <xf numFmtId="0" fontId="57" fillId="0" borderId="1" xfId="187" applyFont="1" applyFill="1" applyBorder="1" applyAlignment="1">
      <alignment horizontal="center" wrapText="1"/>
    </xf>
    <xf numFmtId="175" fontId="57" fillId="0" borderId="3" xfId="59" applyNumberFormat="1" applyFont="1" applyFill="1" applyBorder="1"/>
    <xf numFmtId="164" fontId="57" fillId="0" borderId="3" xfId="282" applyNumberFormat="1" applyFont="1" applyFill="1" applyBorder="1"/>
    <xf numFmtId="0" fontId="57" fillId="0" borderId="0" xfId="187" quotePrefix="1" applyFont="1" applyFill="1" applyBorder="1" applyAlignment="1">
      <alignment horizontal="center"/>
    </xf>
    <xf numFmtId="175" fontId="57" fillId="0" borderId="0" xfId="59" applyNumberFormat="1" applyFont="1" applyFill="1"/>
    <xf numFmtId="0" fontId="64" fillId="0" borderId="0" xfId="211" applyFont="1" applyBorder="1" applyAlignment="1">
      <alignment horizontal="center" wrapText="1"/>
    </xf>
    <xf numFmtId="0" fontId="64" fillId="0" borderId="0" xfId="211" applyFont="1" applyBorder="1" applyAlignment="1">
      <alignment horizontal="center"/>
    </xf>
    <xf numFmtId="10" fontId="64" fillId="0" borderId="0" xfId="187" applyNumberFormat="1" applyFont="1" applyFill="1" applyBorder="1"/>
    <xf numFmtId="175" fontId="57" fillId="0" borderId="23" xfId="59" applyNumberFormat="1" applyFont="1" applyBorder="1" applyAlignment="1"/>
    <xf numFmtId="10" fontId="57" fillId="0" borderId="0" xfId="265" applyNumberFormat="1" applyFont="1" applyFill="1" applyAlignment="1"/>
    <xf numFmtId="49" fontId="102" fillId="0" borderId="0" xfId="0" applyNumberFormat="1" applyFont="1" applyAlignment="1">
      <alignment horizontal="center"/>
    </xf>
    <xf numFmtId="1" fontId="60" fillId="0" borderId="0" xfId="0" applyNumberFormat="1" applyFont="1" applyFill="1" applyAlignment="1">
      <alignment horizontal="center"/>
    </xf>
    <xf numFmtId="0" fontId="60" fillId="0" borderId="1" xfId="187" applyFont="1" applyFill="1" applyBorder="1" applyAlignment="1">
      <alignment horizontal="right"/>
    </xf>
    <xf numFmtId="0" fontId="60" fillId="0" borderId="0" xfId="187" applyFont="1" applyFill="1" applyBorder="1"/>
    <xf numFmtId="0" fontId="60" fillId="0" borderId="0" xfId="187" applyFont="1" applyBorder="1" applyAlignment="1">
      <alignment horizontal="left"/>
    </xf>
    <xf numFmtId="0" fontId="60" fillId="0" borderId="0" xfId="187" applyNumberFormat="1" applyFont="1" applyFill="1" applyBorder="1" applyAlignment="1">
      <alignment horizontal="left"/>
    </xf>
    <xf numFmtId="0" fontId="60" fillId="0" borderId="0" xfId="187" applyFont="1" applyBorder="1"/>
    <xf numFmtId="0" fontId="57" fillId="0" borderId="1" xfId="187" applyFont="1" applyBorder="1" applyAlignment="1">
      <alignment horizontal="center" wrapText="1"/>
    </xf>
    <xf numFmtId="174" fontId="57" fillId="0" borderId="0" xfId="0" quotePrefix="1" applyFont="1" applyAlignment="1">
      <alignment horizontal="center"/>
    </xf>
    <xf numFmtId="174" fontId="0" fillId="0" borderId="0" xfId="0" applyAlignment="1"/>
    <xf numFmtId="0" fontId="64" fillId="0" borderId="0" xfId="211" applyFont="1" applyAlignment="1">
      <alignment horizontal="center"/>
    </xf>
    <xf numFmtId="0" fontId="57" fillId="0" borderId="0" xfId="187" applyFont="1" applyFill="1" applyBorder="1" applyAlignment="1">
      <alignment horizontal="left"/>
    </xf>
    <xf numFmtId="0" fontId="57" fillId="0" borderId="0" xfId="187" applyFont="1" applyFill="1" applyAlignment="1">
      <alignment horizontal="center"/>
    </xf>
    <xf numFmtId="0" fontId="57" fillId="0" borderId="0" xfId="187" applyFont="1" applyFill="1" applyAlignment="1">
      <alignment horizontal="left" wrapText="1"/>
    </xf>
    <xf numFmtId="0" fontId="57" fillId="0" borderId="0" xfId="0" applyNumberFormat="1" applyFont="1" applyAlignment="1">
      <alignment horizontal="center"/>
    </xf>
    <xf numFmtId="3" fontId="47" fillId="0" borderId="8" xfId="0" quotePrefix="1" applyNumberFormat="1" applyFont="1" applyBorder="1" applyAlignment="1">
      <alignment horizontal="center"/>
    </xf>
    <xf numFmtId="1" fontId="57" fillId="0" borderId="0" xfId="0" applyNumberFormat="1" applyFont="1" applyAlignment="1">
      <alignment horizontal="center"/>
    </xf>
    <xf numFmtId="171" fontId="57" fillId="14" borderId="0" xfId="265" applyNumberFormat="1" applyFont="1" applyFill="1" applyAlignment="1" applyProtection="1">
      <alignment vertical="top"/>
      <protection locked="0"/>
    </xf>
    <xf numFmtId="10" fontId="57" fillId="0" borderId="0" xfId="265" applyNumberFormat="1" applyFont="1" applyFill="1" applyAlignment="1">
      <alignment horizontal="right"/>
    </xf>
    <xf numFmtId="171" fontId="57" fillId="0" borderId="0" xfId="265" applyNumberFormat="1" applyFont="1" applyFill="1" applyBorder="1" applyAlignment="1"/>
    <xf numFmtId="276" fontId="57" fillId="0" borderId="0" xfId="59" applyNumberFormat="1" applyFont="1" applyFill="1" applyBorder="1" applyAlignment="1"/>
    <xf numFmtId="276" fontId="91" fillId="0" borderId="0" xfId="59" applyNumberFormat="1" applyFont="1" applyFill="1" applyBorder="1" applyAlignment="1"/>
    <xf numFmtId="276" fontId="64" fillId="0" borderId="0" xfId="59" applyNumberFormat="1" applyFont="1" applyFill="1" applyBorder="1" applyAlignment="1"/>
    <xf numFmtId="3" fontId="57" fillId="0" borderId="8" xfId="0" applyNumberFormat="1" applyFont="1" applyBorder="1" applyAlignment="1">
      <alignment horizontal="center"/>
    </xf>
    <xf numFmtId="1" fontId="57" fillId="0" borderId="0" xfId="0" applyNumberFormat="1" applyFont="1" applyFill="1" applyBorder="1" applyAlignment="1">
      <alignment horizontal="center"/>
    </xf>
    <xf numFmtId="0" fontId="57" fillId="0" borderId="0" xfId="210" applyNumberFormat="1" applyFont="1" applyBorder="1" applyAlignment="1" applyProtection="1">
      <protection locked="0"/>
    </xf>
    <xf numFmtId="0" fontId="64" fillId="0" borderId="0" xfId="211" applyFont="1" applyFill="1" applyBorder="1" applyAlignment="1">
      <alignment horizontal="center" wrapText="1"/>
    </xf>
    <xf numFmtId="0" fontId="57" fillId="0" borderId="1" xfId="187" applyFont="1" applyFill="1" applyBorder="1"/>
    <xf numFmtId="175" fontId="57" fillId="0" borderId="3" xfId="59" applyNumberFormat="1" applyFont="1" applyBorder="1" applyAlignment="1">
      <alignment horizontal="left"/>
    </xf>
    <xf numFmtId="0" fontId="57" fillId="0" borderId="0" xfId="187" applyFont="1" applyFill="1" applyAlignment="1">
      <alignment horizontal="right"/>
    </xf>
    <xf numFmtId="0" fontId="57" fillId="0" borderId="0" xfId="211" applyFont="1" applyAlignment="1">
      <alignment horizontal="center" wrapText="1"/>
    </xf>
    <xf numFmtId="174" fontId="57" fillId="0" borderId="0" xfId="0" applyFont="1" applyFill="1" applyAlignment="1">
      <alignment wrapText="1"/>
    </xf>
    <xf numFmtId="174" fontId="64" fillId="0" borderId="7" xfId="201" applyFont="1" applyFill="1" applyBorder="1" applyAlignment="1">
      <alignment horizontal="center" wrapText="1"/>
    </xf>
    <xf numFmtId="174" fontId="57" fillId="0" borderId="9" xfId="201" applyFont="1" applyFill="1" applyBorder="1" applyAlignment="1">
      <alignment horizontal="center"/>
    </xf>
    <xf numFmtId="43" fontId="57" fillId="16" borderId="10" xfId="59" applyFont="1" applyFill="1" applyBorder="1" applyAlignment="1">
      <alignment horizontal="left"/>
    </xf>
    <xf numFmtId="175" fontId="57" fillId="0" borderId="0" xfId="59" applyNumberFormat="1" applyFont="1" applyAlignment="1"/>
    <xf numFmtId="0" fontId="57" fillId="0" borderId="0" xfId="201" applyNumberFormat="1" applyFont="1" applyFill="1" applyBorder="1" applyAlignment="1" applyProtection="1">
      <protection locked="0"/>
    </xf>
    <xf numFmtId="0" fontId="57" fillId="0" borderId="0" xfId="201" applyNumberFormat="1" applyFont="1" applyFill="1" applyBorder="1" applyAlignment="1" applyProtection="1">
      <alignment horizontal="center"/>
      <protection locked="0"/>
    </xf>
    <xf numFmtId="3" fontId="57" fillId="0" borderId="0" xfId="201" applyNumberFormat="1" applyFont="1" applyFill="1" applyBorder="1" applyAlignment="1"/>
    <xf numFmtId="0" fontId="57" fillId="0" borderId="0" xfId="201" applyNumberFormat="1" applyFont="1" applyFill="1" applyBorder="1" applyProtection="1">
      <protection locked="0"/>
    </xf>
    <xf numFmtId="174" fontId="57" fillId="0" borderId="0" xfId="201" applyFont="1" applyFill="1" applyBorder="1" applyAlignment="1"/>
    <xf numFmtId="43" fontId="57" fillId="0" borderId="0" xfId="59" applyFont="1" applyAlignment="1"/>
    <xf numFmtId="174" fontId="57" fillId="0" borderId="15" xfId="201" applyFont="1" applyFill="1" applyBorder="1" applyAlignment="1"/>
    <xf numFmtId="0" fontId="57" fillId="0" borderId="0" xfId="210" applyNumberFormat="1" applyFont="1" applyFill="1" applyAlignment="1">
      <alignment horizontal="center"/>
    </xf>
    <xf numFmtId="174" fontId="57" fillId="0" borderId="0" xfId="0" applyFont="1"/>
    <xf numFmtId="174" fontId="57" fillId="0" borderId="0" xfId="0" applyFont="1" applyFill="1"/>
    <xf numFmtId="175" fontId="57" fillId="0" borderId="15" xfId="59" applyNumberFormat="1" applyFont="1" applyFill="1" applyBorder="1" applyAlignment="1"/>
    <xf numFmtId="174" fontId="98" fillId="0" borderId="0" xfId="201" applyFont="1" applyFill="1" applyBorder="1" applyAlignment="1"/>
    <xf numFmtId="0" fontId="57" fillId="0" borderId="0" xfId="208" applyNumberFormat="1" applyFont="1" applyFill="1" applyBorder="1" applyAlignment="1" applyProtection="1">
      <alignment horizontal="center"/>
      <protection locked="0"/>
    </xf>
    <xf numFmtId="174" fontId="57" fillId="0" borderId="19" xfId="0" applyFont="1" applyBorder="1"/>
    <xf numFmtId="174" fontId="57" fillId="0" borderId="20" xfId="0" applyFont="1" applyBorder="1"/>
    <xf numFmtId="174" fontId="57" fillId="0" borderId="22" xfId="0" applyFont="1" applyBorder="1" applyAlignment="1">
      <alignment horizontal="center"/>
    </xf>
    <xf numFmtId="174" fontId="57" fillId="0" borderId="3" xfId="0" applyFont="1" applyBorder="1"/>
    <xf numFmtId="174" fontId="57" fillId="0" borderId="15" xfId="0" applyFont="1" applyBorder="1" applyAlignment="1">
      <alignment horizontal="center"/>
    </xf>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43" fontId="57" fillId="0" borderId="0" xfId="59" applyFont="1"/>
    <xf numFmtId="174" fontId="57" fillId="0" borderId="0" xfId="201" applyFont="1" applyAlignment="1"/>
    <xf numFmtId="174" fontId="57" fillId="0" borderId="19" xfId="201" applyFont="1" applyFill="1" applyBorder="1" applyAlignment="1">
      <alignment horizontal="center"/>
    </xf>
    <xf numFmtId="174" fontId="57" fillId="0" borderId="22" xfId="201" applyFont="1" applyFill="1" applyBorder="1" applyAlignment="1">
      <alignment horizontal="center"/>
    </xf>
    <xf numFmtId="174" fontId="57" fillId="0" borderId="17" xfId="201" applyFont="1" applyFill="1" applyBorder="1" applyAlignment="1">
      <alignment horizontal="center"/>
    </xf>
    <xf numFmtId="174" fontId="57" fillId="16" borderId="11" xfId="0" applyFont="1" applyFill="1" applyBorder="1"/>
    <xf numFmtId="0" fontId="57" fillId="0" borderId="0" xfId="59" applyNumberFormat="1" applyFont="1" applyFill="1" applyAlignment="1">
      <alignment horizontal="center"/>
    </xf>
    <xf numFmtId="0" fontId="57" fillId="0" borderId="0" xfId="59" applyNumberFormat="1" applyFont="1" applyFill="1" applyBorder="1" applyAlignment="1">
      <alignment horizontal="center"/>
    </xf>
    <xf numFmtId="0" fontId="57" fillId="0" borderId="0" xfId="59" applyNumberFormat="1" applyFont="1" applyAlignment="1">
      <alignment horizontal="center"/>
    </xf>
    <xf numFmtId="174" fontId="57" fillId="0" borderId="10" xfId="0" applyFont="1" applyBorder="1" applyAlignment="1">
      <alignment horizontal="center"/>
    </xf>
    <xf numFmtId="0" fontId="64" fillId="0" borderId="0" xfId="59" applyNumberFormat="1" applyFont="1" applyFill="1" applyBorder="1" applyAlignment="1">
      <alignment horizontal="left"/>
    </xf>
    <xf numFmtId="174" fontId="57" fillId="0" borderId="19" xfId="0" applyFont="1" applyBorder="1" applyAlignment="1">
      <alignment horizontal="center"/>
    </xf>
    <xf numFmtId="174" fontId="98" fillId="0" borderId="15" xfId="201" applyFont="1" applyFill="1" applyBorder="1" applyAlignment="1">
      <alignment horizontal="center"/>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174" fontId="57" fillId="0" borderId="0" xfId="0" applyFont="1" applyFill="1" applyAlignment="1">
      <alignment horizontal="left" wrapText="1"/>
    </xf>
    <xf numFmtId="0" fontId="57" fillId="0" borderId="0" xfId="201" applyNumberFormat="1" applyFont="1" applyFill="1" applyBorder="1" applyAlignment="1" applyProtection="1">
      <alignment horizontal="center"/>
      <protection locked="0"/>
    </xf>
    <xf numFmtId="174" fontId="93" fillId="0" borderId="15" xfId="0" applyNumberFormat="1" applyFont="1" applyFill="1" applyBorder="1" applyAlignment="1" applyProtection="1">
      <alignment horizontal="center"/>
    </xf>
    <xf numFmtId="174" fontId="57" fillId="0" borderId="11" xfId="0" applyNumberFormat="1" applyFont="1" applyFill="1" applyBorder="1" applyAlignment="1" applyProtection="1">
      <alignment horizontal="center"/>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6" borderId="19" xfId="59" applyNumberFormat="1" applyFont="1" applyFill="1" applyBorder="1"/>
    <xf numFmtId="175" fontId="57" fillId="16" borderId="10" xfId="59" applyNumberFormat="1" applyFont="1" applyFill="1" applyBorder="1"/>
    <xf numFmtId="175" fontId="57" fillId="0" borderId="17" xfId="93" applyNumberFormat="1" applyFont="1" applyFill="1" applyBorder="1"/>
    <xf numFmtId="175" fontId="57" fillId="0" borderId="0" xfId="59" applyNumberFormat="1" applyFont="1"/>
    <xf numFmtId="175" fontId="57" fillId="0" borderId="12" xfId="59" applyNumberFormat="1" applyFont="1" applyBorder="1"/>
    <xf numFmtId="175" fontId="57" fillId="16" borderId="20" xfId="59" applyNumberFormat="1" applyFont="1" applyFill="1" applyBorder="1"/>
    <xf numFmtId="175" fontId="57" fillId="16" borderId="12" xfId="59" applyNumberFormat="1" applyFont="1" applyFill="1" applyBorder="1"/>
    <xf numFmtId="175" fontId="57" fillId="0" borderId="21" xfId="93" applyNumberFormat="1" applyFont="1" applyFill="1" applyBorder="1"/>
    <xf numFmtId="175" fontId="57" fillId="0" borderId="11" xfId="59" applyNumberFormat="1" applyFont="1" applyBorder="1" applyAlignment="1">
      <alignment horizontal="center"/>
    </xf>
    <xf numFmtId="175" fontId="57" fillId="16" borderId="22" xfId="59" applyNumberFormat="1" applyFont="1" applyFill="1" applyBorder="1" applyAlignment="1">
      <alignment horizontal="center"/>
    </xf>
    <xf numFmtId="175" fontId="57" fillId="0" borderId="11" xfId="59" applyNumberFormat="1" applyFont="1" applyBorder="1"/>
    <xf numFmtId="175" fontId="57" fillId="16" borderId="11" xfId="59" applyNumberFormat="1" applyFont="1" applyFill="1" applyBorder="1"/>
    <xf numFmtId="175" fontId="57" fillId="0" borderId="15" xfId="0" applyNumberFormat="1" applyFont="1" applyBorder="1"/>
    <xf numFmtId="171" fontId="57" fillId="0" borderId="22" xfId="265" applyNumberFormat="1" applyFont="1" applyBorder="1"/>
    <xf numFmtId="171" fontId="57" fillId="0" borderId="11" xfId="265" applyNumberFormat="1" applyFont="1" applyBorder="1"/>
    <xf numFmtId="171" fontId="57" fillId="0" borderId="15" xfId="265" applyNumberFormat="1" applyFont="1" applyBorder="1"/>
    <xf numFmtId="171" fontId="57" fillId="0" borderId="0" xfId="265" applyNumberFormat="1" applyFont="1"/>
    <xf numFmtId="174" fontId="57" fillId="16" borderId="11" xfId="0" applyFont="1" applyFill="1" applyBorder="1" applyAlignment="1">
      <alignment horizontal="center"/>
    </xf>
    <xf numFmtId="175" fontId="57" fillId="0" borderId="0" xfId="210" applyNumberFormat="1" applyFont="1" applyAlignment="1"/>
    <xf numFmtId="175" fontId="57" fillId="0" borderId="0" xfId="206" applyNumberFormat="1" applyFont="1" applyAlignment="1"/>
    <xf numFmtId="175" fontId="47" fillId="0" borderId="0" xfId="59" applyNumberFormat="1" applyFont="1" applyFill="1" applyAlignment="1">
      <alignment horizontal="center"/>
    </xf>
    <xf numFmtId="171" fontId="47" fillId="0" borderId="0" xfId="265" applyNumberFormat="1" applyFont="1" applyAlignment="1"/>
    <xf numFmtId="171" fontId="47" fillId="0" borderId="0" xfId="265" applyNumberFormat="1" applyFont="1" applyFill="1" applyAlignment="1">
      <alignment horizontal="right"/>
    </xf>
    <xf numFmtId="43" fontId="47" fillId="0" borderId="0" xfId="59" applyFont="1" applyFill="1" applyAlignment="1"/>
    <xf numFmtId="10" fontId="47" fillId="0" borderId="0" xfId="265" applyNumberFormat="1" applyFont="1" applyAlignment="1"/>
    <xf numFmtId="10" fontId="47" fillId="0" borderId="8" xfId="265" applyNumberFormat="1" applyFont="1" applyBorder="1" applyAlignment="1"/>
    <xf numFmtId="10" fontId="47" fillId="0" borderId="0" xfId="265" applyNumberFormat="1" applyFont="1" applyFill="1" applyAlignment="1">
      <alignment horizontal="right"/>
    </xf>
    <xf numFmtId="174" fontId="0" fillId="0" borderId="0" xfId="0" applyAlignment="1"/>
    <xf numFmtId="0" fontId="57" fillId="0" borderId="0" xfId="210" applyNumberFormat="1" applyFont="1" applyAlignment="1" applyProtection="1">
      <alignment horizontal="center"/>
      <protection locked="0"/>
    </xf>
    <xf numFmtId="175" fontId="57" fillId="0" borderId="24" xfId="59" applyNumberFormat="1" applyFont="1" applyBorder="1" applyAlignment="1">
      <alignment horizontal="fill"/>
    </xf>
    <xf numFmtId="183" fontId="57" fillId="0" borderId="0" xfId="210" applyNumberFormat="1" applyFont="1" applyAlignment="1"/>
    <xf numFmtId="183" fontId="57" fillId="0" borderId="0" xfId="188" applyNumberFormat="1" applyFont="1" applyAlignment="1"/>
    <xf numFmtId="174" fontId="57" fillId="0" borderId="0" xfId="201" applyFont="1" applyFill="1" applyBorder="1" applyAlignment="1">
      <alignment vertical="top"/>
    </xf>
    <xf numFmtId="49" fontId="57" fillId="0" borderId="0" xfId="201" applyNumberFormat="1" applyFont="1" applyFill="1" applyBorder="1" applyAlignment="1">
      <alignment horizontal="center" vertical="top"/>
    </xf>
    <xf numFmtId="175" fontId="86" fillId="0" borderId="15" xfId="59" applyNumberFormat="1" applyFont="1" applyFill="1" applyBorder="1" applyAlignment="1"/>
    <xf numFmtId="175" fontId="47" fillId="0" borderId="0" xfId="210" applyNumberFormat="1" applyFont="1" applyAlignment="1"/>
    <xf numFmtId="175" fontId="47" fillId="0" borderId="0" xfId="0" applyNumberFormat="1" applyFont="1" applyAlignment="1"/>
    <xf numFmtId="175" fontId="47" fillId="0" borderId="0" xfId="59" applyNumberFormat="1" applyFont="1" applyAlignment="1">
      <alignment horizontal="right"/>
    </xf>
    <xf numFmtId="175" fontId="47" fillId="0" borderId="0" xfId="59" applyNumberFormat="1" applyFont="1" applyFill="1" applyAlignment="1">
      <alignment horizontal="right"/>
    </xf>
    <xf numFmtId="175" fontId="47" fillId="0" borderId="1" xfId="59" applyNumberFormat="1" applyFont="1" applyBorder="1" applyAlignment="1"/>
    <xf numFmtId="0" fontId="57" fillId="0" borderId="0" xfId="210" applyNumberFormat="1" applyFont="1" applyFill="1" applyAlignment="1" applyProtection="1">
      <alignment vertical="top" wrapText="1"/>
      <protection locked="0"/>
    </xf>
    <xf numFmtId="169" fontId="57" fillId="0" borderId="0" xfId="206" applyNumberFormat="1" applyFont="1" applyAlignment="1"/>
    <xf numFmtId="0" fontId="57" fillId="0" borderId="0" xfId="188" applyNumberFormat="1" applyFont="1" applyFill="1" applyAlignment="1">
      <alignment vertical="top" wrapText="1"/>
    </xf>
    <xf numFmtId="49" fontId="57" fillId="0" borderId="0" xfId="0" applyNumberFormat="1" applyFont="1" applyFill="1" applyBorder="1" applyAlignment="1">
      <alignment horizontal="center" vertical="center" wrapText="1"/>
    </xf>
    <xf numFmtId="0" fontId="57" fillId="0" borderId="0" xfId="0" applyNumberFormat="1" applyFont="1" applyBorder="1" applyAlignment="1">
      <alignment horizontal="center" vertical="center"/>
    </xf>
    <xf numFmtId="174" fontId="57" fillId="0" borderId="1" xfId="201" applyFont="1" applyFill="1" applyBorder="1" applyAlignment="1">
      <alignment horizontal="center"/>
    </xf>
    <xf numFmtId="10" fontId="57" fillId="0" borderId="0" xfId="265" applyNumberFormat="1" applyFont="1" applyFill="1" applyBorder="1" applyAlignment="1">
      <alignment horizontal="right"/>
    </xf>
    <xf numFmtId="10" fontId="57" fillId="0" borderId="0" xfId="265" applyNumberFormat="1" applyFont="1" applyFill="1" applyBorder="1" applyAlignment="1"/>
    <xf numFmtId="170" fontId="57" fillId="16" borderId="0" xfId="201" applyNumberFormat="1" applyFont="1" applyFill="1" applyBorder="1" applyAlignment="1"/>
    <xf numFmtId="170" fontId="57" fillId="16" borderId="0" xfId="661" applyNumberFormat="1" applyFont="1" applyFill="1" applyBorder="1" applyAlignment="1">
      <alignment horizontal="right"/>
    </xf>
    <xf numFmtId="0" fontId="57" fillId="0" borderId="0" xfId="206" applyNumberFormat="1" applyFont="1" applyFill="1" applyAlignment="1"/>
    <xf numFmtId="0" fontId="57" fillId="0" borderId="0" xfId="188" quotePrefix="1" applyNumberFormat="1" applyFont="1" applyFill="1" applyAlignment="1">
      <alignment vertical="top"/>
    </xf>
    <xf numFmtId="3" fontId="57" fillId="0" borderId="0" xfId="210" applyNumberFormat="1" applyFont="1" applyFill="1" applyAlignment="1"/>
    <xf numFmtId="0" fontId="57" fillId="0" borderId="0" xfId="210" applyNumberFormat="1" applyFont="1" applyFill="1" applyAlignment="1"/>
    <xf numFmtId="3" fontId="57" fillId="0" borderId="0" xfId="188" applyNumberFormat="1" applyFont="1" applyFill="1" applyAlignment="1"/>
    <xf numFmtId="183" fontId="57" fillId="0" borderId="0" xfId="59" applyNumberFormat="1" applyFont="1" applyFill="1" applyAlignment="1"/>
    <xf numFmtId="174" fontId="57" fillId="0" borderId="0" xfId="0" applyFont="1" applyFill="1" applyAlignment="1"/>
    <xf numFmtId="0" fontId="57" fillId="0" borderId="0" xfId="206" applyNumberFormat="1" applyFont="1" applyFill="1" applyAlignment="1" applyProtection="1">
      <alignment horizontal="center"/>
      <protection locked="0"/>
    </xf>
    <xf numFmtId="175" fontId="57" fillId="0" borderId="1" xfId="59" applyNumberFormat="1" applyFont="1" applyFill="1" applyBorder="1" applyAlignment="1"/>
    <xf numFmtId="276" fontId="57" fillId="0" borderId="3" xfId="59" applyNumberFormat="1" applyFont="1" applyFill="1" applyBorder="1" applyAlignment="1"/>
    <xf numFmtId="175" fontId="57" fillId="0" borderId="22" xfId="59" applyNumberFormat="1" applyFont="1" applyFill="1" applyBorder="1" applyAlignment="1"/>
    <xf numFmtId="174" fontId="57" fillId="0" borderId="10" xfId="209" applyFont="1" applyFill="1" applyBorder="1" applyAlignment="1">
      <alignment horizontal="center"/>
    </xf>
    <xf numFmtId="175" fontId="57" fillId="0" borderId="10" xfId="59" applyNumberFormat="1" applyFont="1" applyFill="1" applyBorder="1" applyAlignment="1"/>
    <xf numFmtId="175" fontId="57" fillId="0" borderId="19" xfId="59" applyNumberFormat="1" applyFont="1" applyFill="1" applyBorder="1" applyAlignment="1"/>
    <xf numFmtId="1" fontId="57" fillId="0" borderId="10" xfId="59" applyNumberFormat="1" applyFont="1" applyFill="1" applyBorder="1" applyAlignment="1">
      <alignment horizontal="center"/>
    </xf>
    <xf numFmtId="1" fontId="57" fillId="0" borderId="19" xfId="59" applyNumberFormat="1" applyFont="1" applyFill="1" applyBorder="1" applyAlignment="1">
      <alignment horizontal="center"/>
    </xf>
    <xf numFmtId="174" fontId="57" fillId="0" borderId="3" xfId="209" applyFont="1" applyFill="1" applyBorder="1" applyAlignment="1"/>
    <xf numFmtId="174" fontId="57" fillId="0" borderId="11" xfId="0" applyFont="1" applyFill="1" applyBorder="1"/>
    <xf numFmtId="175" fontId="57" fillId="0" borderId="10" xfId="59" applyNumberFormat="1" applyFont="1" applyFill="1" applyBorder="1"/>
    <xf numFmtId="171" fontId="57" fillId="0" borderId="11" xfId="265" applyNumberFormat="1" applyFont="1" applyFill="1" applyBorder="1"/>
    <xf numFmtId="175" fontId="57" fillId="0" borderId="12" xfId="59" applyNumberFormat="1" applyFont="1" applyFill="1" applyBorder="1"/>
    <xf numFmtId="175" fontId="57" fillId="0" borderId="11" xfId="59" applyNumberFormat="1" applyFont="1" applyFill="1" applyBorder="1" applyAlignment="1">
      <alignment horizontal="center"/>
    </xf>
    <xf numFmtId="175" fontId="57" fillId="0" borderId="11" xfId="59" applyNumberFormat="1" applyFont="1" applyFill="1" applyBorder="1"/>
    <xf numFmtId="174" fontId="57" fillId="0" borderId="22" xfId="0" applyFont="1" applyFill="1" applyBorder="1"/>
    <xf numFmtId="175" fontId="57" fillId="0" borderId="19" xfId="59" applyNumberFormat="1" applyFont="1" applyFill="1" applyBorder="1"/>
    <xf numFmtId="171" fontId="57" fillId="0" borderId="22" xfId="265" applyNumberFormat="1" applyFont="1" applyFill="1" applyBorder="1"/>
    <xf numFmtId="0" fontId="57" fillId="0" borderId="1" xfId="59" applyNumberFormat="1" applyFont="1" applyBorder="1" applyAlignment="1">
      <alignment horizontal="center"/>
    </xf>
    <xf numFmtId="175" fontId="57" fillId="0" borderId="22" xfId="59" applyNumberFormat="1" applyFont="1" applyFill="1" applyBorder="1"/>
    <xf numFmtId="0" fontId="57" fillId="0" borderId="0" xfId="59" applyNumberFormat="1" applyFont="1" applyFill="1" applyBorder="1" applyAlignment="1"/>
    <xf numFmtId="176" fontId="57" fillId="0" borderId="0" xfId="93" applyNumberFormat="1" applyFont="1" applyFill="1" applyBorder="1" applyAlignment="1"/>
    <xf numFmtId="0" fontId="57" fillId="0" borderId="0" xfId="210" applyNumberFormat="1" applyFont="1" applyAlignment="1" applyProtection="1">
      <alignment horizontal="center" vertical="top"/>
      <protection locked="0"/>
    </xf>
    <xf numFmtId="174" fontId="78" fillId="0" borderId="0" xfId="625" applyFont="1" applyFill="1" applyBorder="1" applyAlignment="1"/>
    <xf numFmtId="175" fontId="57" fillId="0" borderId="3" xfId="625" applyNumberFormat="1" applyFont="1" applyFill="1" applyBorder="1"/>
    <xf numFmtId="175" fontId="57" fillId="0" borderId="22" xfId="59" applyNumberFormat="1" applyFont="1" applyBorder="1" applyAlignment="1">
      <alignment horizontal="center"/>
    </xf>
    <xf numFmtId="1" fontId="57" fillId="0" borderId="19" xfId="209" applyNumberFormat="1" applyFont="1" applyFill="1" applyBorder="1" applyAlignment="1">
      <alignment horizontal="center"/>
    </xf>
    <xf numFmtId="174" fontId="57" fillId="0" borderId="8" xfId="201" applyFont="1" applyFill="1" applyBorder="1" applyAlignment="1">
      <alignment horizontal="center"/>
    </xf>
    <xf numFmtId="0" fontId="57" fillId="0" borderId="3" xfId="59" applyNumberFormat="1" applyFont="1" applyFill="1" applyBorder="1" applyAlignment="1"/>
    <xf numFmtId="176" fontId="57" fillId="0" borderId="3" xfId="93" applyNumberFormat="1" applyFont="1" applyFill="1" applyBorder="1" applyAlignment="1"/>
    <xf numFmtId="175" fontId="57" fillId="0" borderId="3" xfId="59" applyNumberFormat="1" applyFont="1" applyFill="1" applyBorder="1" applyAlignment="1"/>
    <xf numFmtId="174" fontId="0" fillId="0" borderId="0" xfId="0" applyAlignment="1"/>
    <xf numFmtId="3" fontId="57" fillId="0" borderId="0" xfId="201" applyNumberFormat="1" applyFont="1" applyFill="1" applyBorder="1" applyAlignment="1"/>
    <xf numFmtId="174" fontId="57" fillId="0" borderId="0" xfId="201" applyFont="1" applyFill="1" applyBorder="1" applyAlignment="1"/>
    <xf numFmtId="0" fontId="57" fillId="0" borderId="0" xfId="201" applyNumberFormat="1" applyFont="1" applyFill="1" applyBorder="1"/>
    <xf numFmtId="3" fontId="57" fillId="0" borderId="0" xfId="210" applyNumberFormat="1" applyFont="1" applyAlignment="1"/>
    <xf numFmtId="0" fontId="57" fillId="0" borderId="0" xfId="210" applyNumberFormat="1" applyFont="1" applyAlignment="1"/>
    <xf numFmtId="0" fontId="57" fillId="0" borderId="0" xfId="210" applyNumberFormat="1" applyFont="1" applyFill="1" applyAlignment="1"/>
    <xf numFmtId="174" fontId="57" fillId="0" borderId="1" xfId="201" applyFont="1" applyFill="1" applyBorder="1" applyAlignment="1"/>
    <xf numFmtId="175" fontId="57" fillId="0" borderId="0" xfId="59" applyNumberFormat="1" applyFont="1" applyFill="1" applyBorder="1" applyAlignment="1"/>
    <xf numFmtId="174" fontId="57" fillId="0" borderId="0" xfId="201" applyFont="1" applyFill="1" applyBorder="1" applyAlignment="1">
      <alignment horizontal="center"/>
    </xf>
    <xf numFmtId="0" fontId="57" fillId="0" borderId="0" xfId="201" applyNumberFormat="1" applyFont="1" applyFill="1" applyBorder="1" applyAlignment="1">
      <alignment horizontal="center"/>
    </xf>
    <xf numFmtId="0" fontId="57" fillId="0" borderId="0" xfId="201" applyNumberFormat="1" applyFont="1" applyFill="1" applyBorder="1" applyAlignment="1"/>
    <xf numFmtId="0" fontId="64" fillId="0" borderId="0" xfId="201" applyNumberFormat="1" applyFont="1" applyFill="1" applyBorder="1" applyAlignment="1"/>
    <xf numFmtId="177" fontId="64" fillId="0" borderId="0" xfId="201" applyNumberFormat="1" applyFont="1" applyFill="1" applyBorder="1" applyAlignment="1">
      <alignment horizontal="center"/>
    </xf>
    <xf numFmtId="174" fontId="64" fillId="0" borderId="16" xfId="201" applyFont="1" applyFill="1" applyBorder="1" applyAlignment="1">
      <alignment horizontal="center" wrapText="1"/>
    </xf>
    <xf numFmtId="174" fontId="64" fillId="0" borderId="7" xfId="201" applyFont="1" applyFill="1" applyBorder="1" applyAlignment="1"/>
    <xf numFmtId="0" fontId="57" fillId="0" borderId="16" xfId="201" applyNumberFormat="1" applyFont="1" applyFill="1" applyBorder="1"/>
    <xf numFmtId="0" fontId="57" fillId="0" borderId="7" xfId="201" applyNumberFormat="1" applyFont="1" applyFill="1" applyBorder="1"/>
    <xf numFmtId="0" fontId="57" fillId="0" borderId="10" xfId="201" applyNumberFormat="1" applyFont="1" applyFill="1" applyBorder="1"/>
    <xf numFmtId="174" fontId="57" fillId="0" borderId="10" xfId="209" applyFont="1" applyFill="1" applyBorder="1" applyAlignment="1"/>
    <xf numFmtId="174" fontId="57" fillId="0" borderId="0" xfId="209" applyFont="1" applyFill="1" applyBorder="1" applyAlignment="1"/>
    <xf numFmtId="174" fontId="57" fillId="14" borderId="0" xfId="209" applyFont="1" applyFill="1" applyBorder="1" applyAlignment="1"/>
    <xf numFmtId="0" fontId="57" fillId="14" borderId="0" xfId="59" applyNumberFormat="1" applyFont="1" applyFill="1" applyBorder="1" applyAlignment="1"/>
    <xf numFmtId="176" fontId="57" fillId="14" borderId="0" xfId="93" applyNumberFormat="1" applyFont="1" applyFill="1" applyBorder="1" applyAlignment="1"/>
    <xf numFmtId="174" fontId="57" fillId="0" borderId="0" xfId="201" applyFont="1" applyFill="1" applyBorder="1" applyAlignment="1">
      <alignment horizontal="center" vertical="top"/>
    </xf>
    <xf numFmtId="3" fontId="57" fillId="0" borderId="0" xfId="210" applyNumberFormat="1" applyFont="1" applyAlignment="1">
      <alignment wrapText="1"/>
    </xf>
    <xf numFmtId="0" fontId="57" fillId="0" borderId="0" xfId="210" applyNumberFormat="1" applyFont="1" applyAlignment="1" applyProtection="1">
      <alignment horizontal="center"/>
      <protection locked="0"/>
    </xf>
    <xf numFmtId="0" fontId="57" fillId="0" borderId="0" xfId="210" applyNumberFormat="1" applyFont="1"/>
    <xf numFmtId="3" fontId="57" fillId="0" borderId="0" xfId="210" applyNumberFormat="1" applyFont="1"/>
    <xf numFmtId="0" fontId="57" fillId="0" borderId="0" xfId="210" applyNumberFormat="1" applyFont="1" applyFill="1"/>
    <xf numFmtId="173" fontId="57" fillId="0" borderId="0" xfId="210" applyNumberFormat="1" applyFont="1" applyFill="1" applyProtection="1">
      <protection locked="0"/>
    </xf>
    <xf numFmtId="174" fontId="64" fillId="0" borderId="0" xfId="210" applyFont="1" applyAlignment="1">
      <alignment horizontal="center"/>
    </xf>
    <xf numFmtId="175" fontId="57" fillId="14" borderId="0" xfId="59" applyNumberFormat="1" applyFont="1" applyFill="1" applyBorder="1" applyAlignment="1"/>
    <xf numFmtId="174" fontId="57" fillId="0" borderId="0" xfId="0" applyFont="1"/>
    <xf numFmtId="174" fontId="57" fillId="0" borderId="0" xfId="0" applyFont="1" applyFill="1" applyAlignment="1"/>
    <xf numFmtId="174" fontId="57" fillId="0" borderId="0" xfId="0" applyFont="1" applyFill="1"/>
    <xf numFmtId="174" fontId="57" fillId="0" borderId="0" xfId="0" applyFont="1" applyFill="1" applyAlignment="1">
      <alignment horizontal="center"/>
    </xf>
    <xf numFmtId="175" fontId="57" fillId="0" borderId="11" xfId="59" applyNumberFormat="1" applyFont="1" applyFill="1" applyBorder="1" applyAlignment="1"/>
    <xf numFmtId="174" fontId="98" fillId="0" borderId="0" xfId="201" applyFont="1" applyFill="1" applyBorder="1" applyAlignment="1"/>
    <xf numFmtId="175" fontId="57" fillId="14" borderId="10" xfId="59" applyNumberFormat="1" applyFont="1" applyFill="1" applyBorder="1" applyAlignment="1"/>
    <xf numFmtId="174" fontId="57" fillId="0" borderId="15" xfId="0" applyFont="1" applyBorder="1" applyAlignment="1">
      <alignment horizontal="center"/>
    </xf>
    <xf numFmtId="174" fontId="57" fillId="16" borderId="0" xfId="0" applyFont="1" applyFill="1"/>
    <xf numFmtId="174" fontId="57" fillId="0" borderId="22" xfId="0" applyFont="1" applyBorder="1"/>
    <xf numFmtId="174" fontId="57" fillId="0" borderId="11" xfId="0" applyFont="1" applyBorder="1"/>
    <xf numFmtId="174" fontId="57" fillId="0" borderId="9" xfId="0" applyFont="1" applyBorder="1" applyAlignment="1">
      <alignment horizontal="center"/>
    </xf>
    <xf numFmtId="174" fontId="57" fillId="0" borderId="11" xfId="0" applyFont="1" applyBorder="1" applyAlignment="1">
      <alignment horizontal="center"/>
    </xf>
    <xf numFmtId="174" fontId="57" fillId="0" borderId="15" xfId="0" applyFont="1" applyBorder="1"/>
    <xf numFmtId="174" fontId="57" fillId="0" borderId="0" xfId="201" applyFont="1" applyAlignment="1"/>
    <xf numFmtId="174" fontId="57" fillId="0" borderId="19" xfId="201" applyFont="1" applyFill="1" applyBorder="1" applyAlignment="1">
      <alignment horizontal="center"/>
    </xf>
    <xf numFmtId="174" fontId="57" fillId="0" borderId="17" xfId="201" applyFont="1" applyFill="1" applyBorder="1" applyAlignment="1">
      <alignment horizontal="center"/>
    </xf>
    <xf numFmtId="174" fontId="57" fillId="16" borderId="11" xfId="0" applyFont="1" applyFill="1" applyBorder="1"/>
    <xf numFmtId="174" fontId="0" fillId="0" borderId="0" xfId="0" applyFill="1" applyAlignment="1"/>
    <xf numFmtId="174" fontId="57" fillId="0" borderId="0" xfId="201" applyFont="1" applyFill="1" applyBorder="1" applyAlignment="1">
      <alignment wrapText="1"/>
    </xf>
    <xf numFmtId="0" fontId="57" fillId="0" borderId="0" xfId="59" applyNumberFormat="1" applyFont="1" applyFill="1" applyAlignment="1">
      <alignment horizontal="center"/>
    </xf>
    <xf numFmtId="0" fontId="57" fillId="0" borderId="0" xfId="59" applyNumberFormat="1" applyFont="1" applyAlignment="1">
      <alignment horizontal="center"/>
    </xf>
    <xf numFmtId="175" fontId="57" fillId="0" borderId="3" xfId="59" applyNumberFormat="1" applyFont="1" applyBorder="1"/>
    <xf numFmtId="175" fontId="57" fillId="0" borderId="3" xfId="59" applyNumberFormat="1" applyFont="1" applyFill="1" applyBorder="1"/>
    <xf numFmtId="276" fontId="57" fillId="0" borderId="0" xfId="59" applyNumberFormat="1" applyFont="1" applyFill="1" applyBorder="1" applyAlignment="1"/>
    <xf numFmtId="174" fontId="57" fillId="0" borderId="9" xfId="201" applyFont="1" applyFill="1" applyBorder="1" applyAlignment="1">
      <alignment horizontal="center"/>
    </xf>
    <xf numFmtId="174" fontId="57" fillId="0" borderId="0" xfId="0" applyFont="1" applyFill="1" applyAlignment="1">
      <alignment vertical="top" wrapText="1"/>
    </xf>
    <xf numFmtId="174" fontId="57" fillId="0" borderId="11" xfId="0" applyFont="1" applyFill="1" applyBorder="1" applyAlignment="1">
      <alignment horizontal="center"/>
    </xf>
    <xf numFmtId="174" fontId="57" fillId="0" borderId="22" xfId="0" applyFont="1" applyFill="1" applyBorder="1" applyAlignment="1">
      <alignment horizontal="center"/>
    </xf>
    <xf numFmtId="175" fontId="57" fillId="16" borderId="10" xfId="59" applyNumberFormat="1" applyFont="1" applyFill="1" applyBorder="1"/>
    <xf numFmtId="175" fontId="57" fillId="0" borderId="0" xfId="59" applyNumberFormat="1" applyFont="1"/>
    <xf numFmtId="175" fontId="57" fillId="16" borderId="12" xfId="59" applyNumberFormat="1" applyFont="1" applyFill="1" applyBorder="1"/>
    <xf numFmtId="175" fontId="57" fillId="0" borderId="11" xfId="59" applyNumberFormat="1" applyFont="1" applyBorder="1" applyAlignment="1">
      <alignment horizontal="center"/>
    </xf>
    <xf numFmtId="175" fontId="57" fillId="0" borderId="11" xfId="59" applyNumberFormat="1" applyFont="1" applyBorder="1"/>
    <xf numFmtId="175" fontId="57" fillId="16" borderId="11" xfId="59" applyNumberFormat="1" applyFont="1" applyFill="1" applyBorder="1"/>
    <xf numFmtId="175" fontId="57" fillId="0" borderId="15" xfId="0" applyNumberFormat="1" applyFont="1" applyBorder="1"/>
    <xf numFmtId="171" fontId="57" fillId="0" borderId="11" xfId="265" applyNumberFormat="1" applyFont="1" applyBorder="1"/>
    <xf numFmtId="174" fontId="57" fillId="16" borderId="11" xfId="0" applyFont="1" applyFill="1" applyBorder="1" applyAlignment="1">
      <alignment horizontal="center"/>
    </xf>
    <xf numFmtId="174" fontId="57" fillId="0" borderId="0" xfId="201" applyFont="1" applyFill="1" applyBorder="1" applyAlignment="1">
      <alignment vertical="top"/>
    </xf>
    <xf numFmtId="174" fontId="24" fillId="0" borderId="0" xfId="625" applyFont="1" applyFill="1" applyAlignment="1"/>
    <xf numFmtId="0" fontId="24" fillId="0" borderId="0" xfId="625" applyNumberFormat="1" applyFont="1" applyFill="1" applyProtection="1">
      <protection locked="0"/>
    </xf>
    <xf numFmtId="0" fontId="37" fillId="0" borderId="0" xfId="625" applyNumberFormat="1" applyFont="1" applyFill="1" applyAlignment="1" applyProtection="1">
      <alignment horizontal="center"/>
      <protection locked="0"/>
    </xf>
    <xf numFmtId="174" fontId="19" fillId="0" borderId="0" xfId="625" applyFont="1" applyFill="1" applyAlignment="1">
      <alignment horizontal="center"/>
    </xf>
    <xf numFmtId="0" fontId="24" fillId="0" borderId="0" xfId="625" applyNumberFormat="1" applyFont="1" applyFill="1" applyBorder="1" applyAlignment="1" applyProtection="1">
      <alignment horizontal="center"/>
      <protection locked="0"/>
    </xf>
    <xf numFmtId="0" fontId="24" fillId="0" borderId="0" xfId="0" applyNumberFormat="1" applyFont="1" applyFill="1"/>
    <xf numFmtId="1" fontId="24" fillId="0" borderId="0" xfId="625" applyNumberFormat="1" applyFont="1" applyFill="1" applyAlignment="1" applyProtection="1">
      <alignment horizontal="center"/>
      <protection locked="0"/>
    </xf>
    <xf numFmtId="174" fontId="24" fillId="0" borderId="0" xfId="625" applyFont="1" applyFill="1" applyAlignment="1" applyProtection="1">
      <protection locked="0"/>
    </xf>
    <xf numFmtId="170" fontId="24" fillId="0" borderId="0" xfId="625" applyNumberFormat="1" applyFont="1" applyFill="1" applyBorder="1" applyAlignment="1" applyProtection="1">
      <protection locked="0"/>
    </xf>
    <xf numFmtId="174" fontId="0" fillId="0" borderId="0" xfId="0" applyFill="1"/>
    <xf numFmtId="174" fontId="24" fillId="0" borderId="0" xfId="0" applyFont="1" applyFill="1"/>
    <xf numFmtId="174" fontId="47" fillId="0" borderId="0" xfId="625" applyFont="1" applyFill="1" applyAlignment="1"/>
    <xf numFmtId="0" fontId="120" fillId="0" borderId="0" xfId="0" applyNumberFormat="1" applyFont="1" applyFill="1" applyAlignment="1">
      <alignment horizontal="center"/>
    </xf>
    <xf numFmtId="0" fontId="64" fillId="0" borderId="0" xfId="625" applyNumberFormat="1" applyFont="1" applyFill="1" applyBorder="1" applyAlignment="1" applyProtection="1">
      <alignment horizontal="center"/>
      <protection locked="0"/>
    </xf>
    <xf numFmtId="0" fontId="90" fillId="0" borderId="0" xfId="625" applyNumberFormat="1" applyFont="1" applyFill="1" applyBorder="1" applyAlignment="1" applyProtection="1">
      <alignment horizontal="left"/>
      <protection locked="0"/>
    </xf>
    <xf numFmtId="0" fontId="57" fillId="0" borderId="0" xfId="625" applyNumberFormat="1" applyFont="1" applyFill="1" applyProtection="1">
      <protection locked="0"/>
    </xf>
    <xf numFmtId="0" fontId="57" fillId="0" borderId="0" xfId="625" applyNumberFormat="1" applyFont="1" applyFill="1" applyBorder="1" applyAlignment="1" applyProtection="1">
      <alignment horizontal="center"/>
      <protection locked="0"/>
    </xf>
    <xf numFmtId="174" fontId="57" fillId="0" borderId="0" xfId="625" applyFont="1" applyFill="1" applyAlignment="1"/>
    <xf numFmtId="0" fontId="57" fillId="0" borderId="0" xfId="0" applyNumberFormat="1" applyFont="1" applyFill="1"/>
    <xf numFmtId="174" fontId="57" fillId="0" borderId="0" xfId="625" applyFont="1" applyFill="1" applyAlignment="1" applyProtection="1">
      <alignment horizontal="center"/>
      <protection locked="0"/>
    </xf>
    <xf numFmtId="174" fontId="57" fillId="0" borderId="0" xfId="625" applyFont="1" applyFill="1" applyAlignment="1" applyProtection="1">
      <protection locked="0"/>
    </xf>
    <xf numFmtId="0" fontId="57" fillId="0" borderId="0" xfId="625" applyNumberFormat="1" applyFont="1" applyFill="1"/>
    <xf numFmtId="174" fontId="57" fillId="0" borderId="0" xfId="0" applyFont="1" applyFill="1" applyAlignment="1">
      <alignment horizontal="left"/>
    </xf>
    <xf numFmtId="277" fontId="57" fillId="0" borderId="0" xfId="625" applyNumberFormat="1" applyFont="1" applyFill="1" applyAlignment="1"/>
    <xf numFmtId="174" fontId="57" fillId="0" borderId="0" xfId="625" applyFont="1" applyFill="1" applyAlignment="1">
      <alignment horizontal="center"/>
    </xf>
    <xf numFmtId="0" fontId="57" fillId="0" borderId="0" xfId="625" applyNumberFormat="1" applyFont="1" applyFill="1" applyAlignment="1" applyProtection="1">
      <alignment horizontal="center"/>
      <protection locked="0"/>
    </xf>
    <xf numFmtId="175" fontId="57" fillId="0" borderId="0" xfId="625" applyNumberFormat="1" applyFont="1" applyFill="1"/>
    <xf numFmtId="174" fontId="64" fillId="0" borderId="0" xfId="625" applyFont="1" applyFill="1" applyAlignment="1">
      <alignment horizontal="center"/>
    </xf>
    <xf numFmtId="0" fontId="57" fillId="0" borderId="8" xfId="625" applyNumberFormat="1" applyFont="1" applyFill="1" applyBorder="1" applyAlignment="1" applyProtection="1">
      <alignment horizontal="left"/>
      <protection locked="0"/>
    </xf>
    <xf numFmtId="174" fontId="57" fillId="0" borderId="0" xfId="0" quotePrefix="1" applyFont="1" applyFill="1" applyAlignment="1"/>
    <xf numFmtId="0" fontId="57" fillId="0" borderId="0" xfId="0" applyNumberFormat="1" applyFont="1" applyAlignment="1">
      <alignment horizontal="center"/>
    </xf>
    <xf numFmtId="0" fontId="57" fillId="0" borderId="0" xfId="187" applyFont="1" applyFill="1" applyBorder="1" applyAlignment="1">
      <alignment horizontal="left"/>
    </xf>
    <xf numFmtId="0" fontId="64" fillId="0" borderId="0" xfId="211" quotePrefix="1" applyFont="1" applyAlignment="1">
      <alignment horizontal="center" wrapText="1"/>
    </xf>
    <xf numFmtId="175" fontId="57" fillId="0" borderId="0" xfId="211" applyNumberFormat="1" applyFont="1" applyFill="1"/>
    <xf numFmtId="175" fontId="57" fillId="0" borderId="14" xfId="59" applyNumberFormat="1" applyFont="1" applyBorder="1"/>
    <xf numFmtId="174" fontId="76" fillId="0" borderId="0" xfId="0" applyFont="1" applyAlignment="1">
      <alignment horizontal="left"/>
    </xf>
    <xf numFmtId="174" fontId="76" fillId="0" borderId="0" xfId="0" applyFont="1" applyFill="1" applyAlignment="1">
      <alignment horizontal="left"/>
    </xf>
    <xf numFmtId="174" fontId="24" fillId="0" borderId="0" xfId="0" applyFont="1"/>
    <xf numFmtId="174" fontId="0" fillId="0" borderId="0" xfId="0" applyFill="1" applyProtection="1">
      <protection locked="0"/>
    </xf>
    <xf numFmtId="174" fontId="0" fillId="0" borderId="0" xfId="0"/>
    <xf numFmtId="174" fontId="121" fillId="0" borderId="0" xfId="0" applyFont="1" applyFill="1" applyProtection="1">
      <protection locked="0"/>
    </xf>
    <xf numFmtId="174" fontId="122" fillId="0" borderId="0" xfId="0" applyFont="1" applyFill="1" applyProtection="1">
      <protection locked="0"/>
    </xf>
    <xf numFmtId="278" fontId="0" fillId="0" borderId="0" xfId="0" applyNumberFormat="1" applyFill="1"/>
    <xf numFmtId="176" fontId="37" fillId="0" borderId="0" xfId="93" applyNumberFormat="1" applyFont="1" applyFill="1"/>
    <xf numFmtId="174" fontId="123" fillId="0" borderId="0" xfId="0" applyFont="1" applyProtection="1">
      <protection locked="0"/>
    </xf>
    <xf numFmtId="278" fontId="0" fillId="0" borderId="0" xfId="0" applyNumberFormat="1"/>
    <xf numFmtId="176" fontId="0" fillId="0" borderId="0" xfId="93" applyNumberFormat="1" applyFont="1"/>
    <xf numFmtId="176" fontId="0" fillId="0" borderId="0" xfId="0" applyNumberFormat="1"/>
    <xf numFmtId="0" fontId="57" fillId="14" borderId="0" xfId="0" applyNumberFormat="1" applyFont="1" applyFill="1" applyAlignment="1" applyProtection="1">
      <alignment horizontal="center"/>
      <protection locked="0"/>
    </xf>
    <xf numFmtId="0" fontId="57" fillId="0" borderId="0" xfId="0" applyNumberFormat="1" applyFont="1" applyFill="1" applyAlignment="1" applyProtection="1">
      <alignment horizontal="center"/>
      <protection locked="0"/>
    </xf>
    <xf numFmtId="174" fontId="57" fillId="0" borderId="0" xfId="0" applyFont="1" applyFill="1" applyProtection="1">
      <protection locked="0"/>
    </xf>
    <xf numFmtId="174" fontId="57" fillId="0" borderId="31" xfId="0" applyFont="1" applyFill="1" applyBorder="1" applyAlignment="1" applyProtection="1">
      <alignment horizontal="center" wrapText="1"/>
      <protection locked="0"/>
    </xf>
    <xf numFmtId="174" fontId="57" fillId="0" borderId="32" xfId="0" applyFont="1" applyFill="1" applyBorder="1" applyAlignment="1" applyProtection="1">
      <alignment horizontal="center" wrapText="1"/>
      <protection locked="0"/>
    </xf>
    <xf numFmtId="174" fontId="57" fillId="0" borderId="32" xfId="0" applyFont="1" applyFill="1" applyBorder="1" applyProtection="1">
      <protection locked="0"/>
    </xf>
    <xf numFmtId="170" fontId="57" fillId="0" borderId="33" xfId="0" applyNumberFormat="1" applyFont="1" applyFill="1" applyBorder="1" applyAlignment="1" applyProtection="1">
      <alignment horizontal="center"/>
      <protection locked="0"/>
    </xf>
    <xf numFmtId="174" fontId="64" fillId="0" borderId="0" xfId="0" applyFont="1" applyFill="1" applyAlignment="1" applyProtection="1">
      <alignment horizontal="center"/>
      <protection locked="0"/>
    </xf>
    <xf numFmtId="174" fontId="57" fillId="0" borderId="0" xfId="0" applyFont="1" applyFill="1" applyAlignment="1" applyProtection="1">
      <alignment horizontal="center"/>
      <protection locked="0"/>
    </xf>
    <xf numFmtId="175" fontId="57" fillId="0" borderId="0" xfId="0" applyNumberFormat="1" applyFont="1" applyFill="1" applyProtection="1">
      <protection locked="0"/>
    </xf>
    <xf numFmtId="5" fontId="57" fillId="0" borderId="33" xfId="0" applyNumberFormat="1" applyFont="1" applyFill="1" applyBorder="1" applyAlignment="1" applyProtection="1">
      <alignment horizontal="center"/>
      <protection locked="0"/>
    </xf>
    <xf numFmtId="175" fontId="57" fillId="0" borderId="8" xfId="0" applyNumberFormat="1" applyFont="1" applyFill="1" applyBorder="1" applyProtection="1">
      <protection locked="0"/>
    </xf>
    <xf numFmtId="174" fontId="57" fillId="0" borderId="8" xfId="0" applyFont="1" applyFill="1" applyBorder="1" applyAlignment="1" applyProtection="1">
      <alignment horizontal="center"/>
      <protection locked="0"/>
    </xf>
    <xf numFmtId="174" fontId="57" fillId="0" borderId="8" xfId="0" applyFont="1" applyFill="1" applyBorder="1" applyProtection="1">
      <protection locked="0"/>
    </xf>
    <xf numFmtId="175" fontId="57" fillId="0" borderId="0" xfId="0" applyNumberFormat="1" applyFont="1" applyFill="1" applyAlignment="1" applyProtection="1">
      <alignment horizontal="left"/>
      <protection locked="0"/>
    </xf>
    <xf numFmtId="0" fontId="64" fillId="0" borderId="0" xfId="0" applyNumberFormat="1" applyFont="1" applyFill="1" applyAlignment="1" applyProtection="1">
      <alignment horizontal="left"/>
      <protection locked="0"/>
    </xf>
    <xf numFmtId="174" fontId="64" fillId="0" borderId="0" xfId="0" applyFont="1" applyFill="1" applyAlignment="1" applyProtection="1">
      <alignment horizontal="center" wrapText="1"/>
      <protection locked="0"/>
    </xf>
    <xf numFmtId="175" fontId="64" fillId="0" borderId="0" xfId="0" applyNumberFormat="1" applyFont="1" applyFill="1" applyAlignment="1" applyProtection="1">
      <alignment horizontal="center" wrapText="1"/>
      <protection locked="0"/>
    </xf>
    <xf numFmtId="175" fontId="64" fillId="0" borderId="0" xfId="0" applyNumberFormat="1" applyFont="1" applyFill="1" applyAlignment="1" applyProtection="1">
      <alignment horizontal="center"/>
      <protection locked="0"/>
    </xf>
    <xf numFmtId="278" fontId="57" fillId="0" borderId="0" xfId="265" applyNumberFormat="1" applyFont="1" applyFill="1" applyProtection="1">
      <protection locked="0"/>
    </xf>
    <xf numFmtId="164" fontId="57" fillId="0" borderId="0" xfId="265" applyNumberFormat="1" applyFont="1" applyFill="1" applyProtection="1">
      <protection locked="0"/>
    </xf>
    <xf numFmtId="175" fontId="57" fillId="0" borderId="0" xfId="0" applyNumberFormat="1" applyFont="1" applyFill="1" applyAlignment="1" applyProtection="1">
      <alignment horizontal="center"/>
      <protection locked="0"/>
    </xf>
    <xf numFmtId="174" fontId="90" fillId="0" borderId="0" xfId="0" applyFont="1" applyFill="1" applyAlignment="1" applyProtection="1">
      <alignment horizontal="center"/>
      <protection locked="0"/>
    </xf>
    <xf numFmtId="174" fontId="57" fillId="14" borderId="0" xfId="0" applyFont="1" applyFill="1" applyProtection="1">
      <protection locked="0"/>
    </xf>
    <xf numFmtId="175" fontId="57" fillId="0" borderId="0" xfId="59" applyNumberFormat="1" applyFont="1" applyFill="1" applyProtection="1">
      <protection locked="0"/>
    </xf>
    <xf numFmtId="164" fontId="57" fillId="0" borderId="0" xfId="0" applyNumberFormat="1" applyFont="1" applyFill="1" applyProtection="1">
      <protection locked="0"/>
    </xf>
    <xf numFmtId="175" fontId="64" fillId="0" borderId="0" xfId="59" applyNumberFormat="1" applyFont="1" applyFill="1" applyProtection="1">
      <protection locked="0"/>
    </xf>
    <xf numFmtId="175" fontId="64" fillId="0" borderId="0" xfId="59" applyNumberFormat="1" applyFont="1" applyFill="1" applyAlignment="1" applyProtection="1">
      <alignment horizontal="center"/>
      <protection locked="0"/>
    </xf>
    <xf numFmtId="174" fontId="90" fillId="0" borderId="0" xfId="0" applyFont="1" applyFill="1" applyProtection="1">
      <protection locked="0"/>
    </xf>
    <xf numFmtId="175" fontId="57" fillId="0" borderId="0" xfId="0" applyNumberFormat="1" applyFont="1" applyProtection="1">
      <protection locked="0"/>
    </xf>
    <xf numFmtId="175" fontId="57" fillId="0" borderId="0" xfId="0" applyNumberFormat="1" applyFont="1"/>
    <xf numFmtId="278" fontId="57" fillId="0" borderId="0" xfId="0" applyNumberFormat="1" applyFont="1" applyFill="1" applyProtection="1">
      <protection locked="0"/>
    </xf>
    <xf numFmtId="176" fontId="57" fillId="0" borderId="0" xfId="93" applyNumberFormat="1" applyFont="1" applyFill="1"/>
    <xf numFmtId="174" fontId="57" fillId="0" borderId="1" xfId="0" applyFont="1" applyBorder="1" applyAlignment="1">
      <alignment horizontal="center"/>
    </xf>
    <xf numFmtId="174" fontId="57" fillId="0" borderId="0" xfId="0" applyFont="1" applyFill="1" applyAlignment="1">
      <alignment horizontal="left" vertical="top"/>
    </xf>
    <xf numFmtId="1" fontId="57" fillId="0" borderId="16" xfId="59" applyNumberFormat="1" applyFont="1" applyFill="1" applyBorder="1" applyAlignment="1">
      <alignment horizontal="center"/>
    </xf>
    <xf numFmtId="174" fontId="92" fillId="0" borderId="7" xfId="201" applyFont="1" applyFill="1" applyBorder="1" applyAlignment="1"/>
    <xf numFmtId="0" fontId="57" fillId="0" borderId="7" xfId="201" applyNumberFormat="1" applyFont="1" applyFill="1" applyBorder="1" applyAlignment="1"/>
    <xf numFmtId="175" fontId="57" fillId="0" borderId="7" xfId="59" applyNumberFormat="1" applyFont="1" applyFill="1" applyBorder="1" applyAlignment="1">
      <alignment horizontal="center"/>
    </xf>
    <xf numFmtId="174" fontId="57" fillId="0" borderId="7" xfId="201" applyFont="1" applyFill="1" applyBorder="1" applyAlignment="1">
      <alignment horizontal="center"/>
    </xf>
    <xf numFmtId="3" fontId="57" fillId="0" borderId="7" xfId="201" applyNumberFormat="1" applyFont="1" applyFill="1" applyBorder="1" applyAlignment="1"/>
    <xf numFmtId="170" fontId="57" fillId="0" borderId="7" xfId="201" applyNumberFormat="1" applyFont="1" applyFill="1" applyBorder="1" applyAlignment="1"/>
    <xf numFmtId="175" fontId="57" fillId="0" borderId="9" xfId="59" applyNumberFormat="1" applyFont="1" applyFill="1" applyBorder="1" applyAlignment="1">
      <alignment horizontal="center"/>
    </xf>
    <xf numFmtId="174" fontId="76" fillId="0" borderId="0" xfId="0" applyFont="1"/>
    <xf numFmtId="174" fontId="57" fillId="0" borderId="17" xfId="201" applyFont="1" applyBorder="1" applyAlignment="1">
      <alignment horizontal="center"/>
    </xf>
    <xf numFmtId="174" fontId="57" fillId="0" borderId="15" xfId="201" applyFont="1" applyBorder="1" applyAlignment="1">
      <alignment horizontal="center"/>
    </xf>
    <xf numFmtId="183" fontId="47" fillId="0" borderId="0" xfId="59" applyNumberFormat="1" applyFont="1" applyFill="1" applyAlignment="1">
      <alignment horizontal="right"/>
    </xf>
    <xf numFmtId="175" fontId="47" fillId="0" borderId="0" xfId="59" applyNumberFormat="1" applyFont="1" applyAlignment="1">
      <alignment horizontal="center"/>
    </xf>
    <xf numFmtId="175" fontId="47" fillId="0" borderId="1" xfId="59" applyNumberFormat="1" applyFont="1" applyBorder="1" applyAlignment="1">
      <alignment horizontal="center"/>
    </xf>
    <xf numFmtId="0" fontId="57" fillId="0" borderId="1" xfId="0" applyNumberFormat="1" applyFont="1" applyBorder="1" applyAlignment="1">
      <alignment horizontal="center"/>
    </xf>
    <xf numFmtId="0" fontId="57" fillId="0" borderId="1" xfId="187" applyFont="1" applyFill="1" applyBorder="1" applyAlignment="1"/>
    <xf numFmtId="3" fontId="57" fillId="0" borderId="1" xfId="187" applyNumberFormat="1" applyFont="1" applyFill="1" applyBorder="1" applyAlignment="1">
      <alignment horizontal="center" wrapText="1"/>
    </xf>
    <xf numFmtId="0" fontId="57" fillId="0" borderId="3" xfId="187" applyFont="1" applyFill="1" applyBorder="1" applyAlignment="1"/>
    <xf numFmtId="175" fontId="57" fillId="0" borderId="3" xfId="59" applyNumberFormat="1" applyFont="1" applyFill="1" applyBorder="1" applyAlignment="1">
      <alignment horizontal="center"/>
    </xf>
    <xf numFmtId="174" fontId="47" fillId="0" borderId="0" xfId="0" applyFont="1" applyAlignment="1">
      <alignment horizontal="left"/>
    </xf>
    <xf numFmtId="0" fontId="53" fillId="0" borderId="0" xfId="554" applyFont="1" applyAlignment="1">
      <alignment horizontal="right"/>
    </xf>
    <xf numFmtId="0" fontId="124" fillId="0" borderId="0" xfId="555" applyFont="1" applyAlignment="1">
      <alignment horizontal="centerContinuous"/>
    </xf>
    <xf numFmtId="174" fontId="47" fillId="0" borderId="0" xfId="0" applyFont="1" applyAlignment="1">
      <alignment horizontal="centerContinuous"/>
    </xf>
    <xf numFmtId="174" fontId="47" fillId="0" borderId="0" xfId="0" applyFont="1" applyBorder="1" applyAlignment="1">
      <alignment horizontal="center"/>
    </xf>
    <xf numFmtId="174" fontId="47" fillId="0" borderId="0" xfId="0" applyFont="1" applyBorder="1" applyAlignment="1">
      <alignment horizontal="centerContinuous"/>
    </xf>
    <xf numFmtId="174" fontId="47" fillId="0" borderId="0" xfId="0" applyFont="1" applyAlignment="1">
      <alignment horizontal="center"/>
    </xf>
    <xf numFmtId="174" fontId="125" fillId="0" borderId="0" xfId="0" applyFont="1" applyAlignment="1">
      <alignment horizontal="center"/>
    </xf>
    <xf numFmtId="174" fontId="125" fillId="0" borderId="0" xfId="0" applyFont="1" applyAlignment="1"/>
    <xf numFmtId="37" fontId="47" fillId="0" borderId="0" xfId="0" applyNumberFormat="1" applyFont="1" applyAlignment="1">
      <alignment horizontal="center" vertical="top"/>
    </xf>
    <xf numFmtId="174" fontId="47" fillId="0" borderId="0" xfId="0" quotePrefix="1" applyFont="1" applyAlignment="1"/>
    <xf numFmtId="175" fontId="126" fillId="16" borderId="0" xfId="59" applyNumberFormat="1" applyFont="1" applyFill="1" applyAlignment="1"/>
    <xf numFmtId="175" fontId="47" fillId="0" borderId="0" xfId="59" applyNumberFormat="1" applyFont="1" applyFill="1" applyAlignment="1"/>
    <xf numFmtId="174" fontId="47" fillId="0" borderId="0" xfId="0" applyFont="1" applyAlignment="1">
      <alignment vertical="center"/>
    </xf>
    <xf numFmtId="175" fontId="47" fillId="16" borderId="0" xfId="59" applyNumberFormat="1" applyFont="1" applyFill="1" applyAlignment="1"/>
    <xf numFmtId="175" fontId="47" fillId="0" borderId="3" xfId="59" applyNumberFormat="1" applyFont="1" applyBorder="1" applyAlignment="1"/>
    <xf numFmtId="174" fontId="124" fillId="0" borderId="0" xfId="0" applyFont="1" applyFill="1" applyAlignment="1"/>
    <xf numFmtId="174" fontId="47" fillId="0" borderId="0" xfId="0" applyFont="1" applyFill="1" applyAlignment="1"/>
    <xf numFmtId="174" fontId="47" fillId="0" borderId="0" xfId="0" applyFont="1" applyFill="1" applyBorder="1" applyAlignment="1"/>
    <xf numFmtId="0" fontId="127" fillId="0" borderId="0" xfId="182" applyFont="1"/>
    <xf numFmtId="174" fontId="47" fillId="0" borderId="0" xfId="0" applyFont="1" applyBorder="1" applyAlignment="1"/>
    <xf numFmtId="174" fontId="128" fillId="0" borderId="0" xfId="0" applyFont="1" applyAlignment="1"/>
    <xf numFmtId="174" fontId="129" fillId="0" borderId="0" xfId="201" applyFont="1" applyAlignment="1">
      <alignment horizontal="center"/>
    </xf>
    <xf numFmtId="49" fontId="57" fillId="0" borderId="0" xfId="187" applyNumberFormat="1" applyFont="1" applyFill="1" applyBorder="1" applyAlignment="1">
      <alignment horizontal="center"/>
    </xf>
    <xf numFmtId="0" fontId="64" fillId="0" borderId="0" xfId="185" applyFont="1" applyFill="1" applyBorder="1" applyAlignment="1">
      <alignment horizontal="center"/>
    </xf>
    <xf numFmtId="174" fontId="130" fillId="0" borderId="0" xfId="0" applyFont="1" applyFill="1" applyAlignment="1"/>
    <xf numFmtId="174" fontId="57" fillId="0" borderId="0" xfId="201" applyFont="1" applyAlignment="1">
      <alignment horizontal="center"/>
    </xf>
    <xf numFmtId="0" fontId="64" fillId="0" borderId="1" xfId="185" applyFont="1" applyBorder="1" applyAlignment="1">
      <alignment horizontal="center"/>
    </xf>
    <xf numFmtId="175" fontId="57" fillId="0" borderId="3" xfId="59" applyNumberFormat="1" applyFont="1" applyBorder="1" applyAlignment="1"/>
    <xf numFmtId="0" fontId="57" fillId="0" borderId="0" xfId="0" applyNumberFormat="1" applyFont="1" applyAlignment="1">
      <alignment horizontal="center" vertical="top"/>
    </xf>
    <xf numFmtId="2" fontId="57" fillId="0" borderId="0" xfId="0" applyNumberFormat="1" applyFont="1" applyAlignment="1">
      <alignment wrapText="1"/>
    </xf>
    <xf numFmtId="0" fontId="124" fillId="0" borderId="0" xfId="555" applyFont="1" applyAlignment="1">
      <alignment horizontal="center"/>
    </xf>
    <xf numFmtId="10" fontId="47" fillId="16" borderId="0" xfId="0" applyNumberFormat="1" applyFont="1" applyFill="1" applyBorder="1" applyAlignment="1"/>
    <xf numFmtId="174" fontId="47" fillId="0" borderId="0" xfId="0" applyFont="1" applyAlignment="1">
      <alignment vertical="top"/>
    </xf>
    <xf numFmtId="174" fontId="47" fillId="0" borderId="1" xfId="0" applyFont="1" applyBorder="1" applyAlignment="1">
      <alignment horizontal="center"/>
    </xf>
    <xf numFmtId="174" fontId="47" fillId="0" borderId="0" xfId="0" applyFont="1" applyAlignment="1">
      <alignment horizontal="center" vertical="top"/>
    </xf>
    <xf numFmtId="0" fontId="57" fillId="0" borderId="0" xfId="187" applyFont="1" applyFill="1" applyAlignment="1">
      <alignment horizontal="left" wrapText="1"/>
    </xf>
    <xf numFmtId="0" fontId="57" fillId="0" borderId="0" xfId="187" applyFont="1" applyFill="1" applyBorder="1" applyAlignment="1">
      <alignment horizontal="left" wrapText="1"/>
    </xf>
    <xf numFmtId="174" fontId="57" fillId="0" borderId="1" xfId="0" applyFont="1" applyBorder="1" applyAlignment="1">
      <alignment horizontal="center"/>
    </xf>
    <xf numFmtId="0" fontId="57" fillId="0" borderId="0" xfId="187" applyFont="1" applyFill="1" applyAlignment="1">
      <alignment horizontal="center"/>
    </xf>
    <xf numFmtId="10" fontId="57" fillId="0" borderId="0" xfId="265" applyNumberFormat="1" applyFont="1" applyFill="1" applyAlignment="1">
      <alignment horizontal="center"/>
    </xf>
    <xf numFmtId="0" fontId="57" fillId="0" borderId="0" xfId="0" applyNumberFormat="1" applyFont="1" applyAlignment="1"/>
    <xf numFmtId="174" fontId="64" fillId="0" borderId="0" xfId="201" quotePrefix="1" applyFont="1" applyAlignment="1">
      <alignment horizontal="left"/>
    </xf>
    <xf numFmtId="174" fontId="57" fillId="0" borderId="0" xfId="201" applyFont="1" applyBorder="1" applyAlignment="1"/>
    <xf numFmtId="174" fontId="57" fillId="0" borderId="0" xfId="201" quotePrefix="1" applyFont="1" applyBorder="1" applyAlignment="1">
      <alignment horizontal="left"/>
    </xf>
    <xf numFmtId="176" fontId="57" fillId="0" borderId="0" xfId="105" applyNumberFormat="1" applyFont="1" applyFill="1" applyBorder="1" applyAlignment="1"/>
    <xf numFmtId="176" fontId="57" fillId="0" borderId="0" xfId="105" applyNumberFormat="1" applyFont="1" applyBorder="1" applyAlignment="1"/>
    <xf numFmtId="1" fontId="57" fillId="0" borderId="0" xfId="201" applyNumberFormat="1" applyFont="1" applyAlignment="1">
      <alignment horizontal="left"/>
    </xf>
    <xf numFmtId="174" fontId="57" fillId="0" borderId="0" xfId="201" quotePrefix="1" applyFont="1" applyAlignment="1">
      <alignment horizontal="left"/>
    </xf>
    <xf numFmtId="43" fontId="57" fillId="0" borderId="0" xfId="59" applyFont="1" applyBorder="1" applyAlignment="1"/>
    <xf numFmtId="174" fontId="57" fillId="0" borderId="0" xfId="201" applyFont="1" applyAlignment="1">
      <alignment horizontal="left"/>
    </xf>
    <xf numFmtId="10" fontId="57" fillId="0" borderId="0" xfId="265" applyNumberFormat="1" applyFont="1" applyBorder="1" applyAlignment="1"/>
    <xf numFmtId="164" fontId="57" fillId="0" borderId="0" xfId="265" applyNumberFormat="1" applyFont="1" applyAlignment="1"/>
    <xf numFmtId="0" fontId="57" fillId="0" borderId="0" xfId="365" applyFont="1" applyAlignment="1"/>
    <xf numFmtId="0" fontId="57" fillId="0" borderId="0" xfId="365" applyFont="1" applyAlignment="1">
      <alignment horizontal="right"/>
    </xf>
    <xf numFmtId="0" fontId="57" fillId="0" borderId="0" xfId="365" applyFont="1"/>
    <xf numFmtId="0" fontId="57" fillId="0" borderId="0" xfId="365" applyFont="1" applyAlignment="1">
      <alignment horizontal="center" wrapText="1"/>
    </xf>
    <xf numFmtId="0" fontId="90" fillId="0" borderId="0" xfId="365" applyFont="1" applyAlignment="1"/>
    <xf numFmtId="0" fontId="57" fillId="0" borderId="0" xfId="365" quotePrefix="1" applyFont="1" applyAlignment="1">
      <alignment horizontal="left"/>
    </xf>
    <xf numFmtId="1" fontId="57" fillId="0" borderId="0" xfId="365" applyNumberFormat="1" applyFont="1" applyAlignment="1">
      <alignment horizontal="center"/>
    </xf>
    <xf numFmtId="0" fontId="57" fillId="0" borderId="0" xfId="365" applyFont="1" applyAlignment="1">
      <alignment horizontal="center"/>
    </xf>
    <xf numFmtId="9" fontId="57" fillId="0" borderId="0" xfId="365" applyNumberFormat="1" applyFont="1" applyAlignment="1">
      <alignment horizontal="center"/>
    </xf>
    <xf numFmtId="10" fontId="57" fillId="0" borderId="0" xfId="365" applyNumberFormat="1" applyFont="1" applyAlignment="1">
      <alignment horizontal="center"/>
    </xf>
    <xf numFmtId="3" fontId="57" fillId="0" borderId="0" xfId="365" applyNumberFormat="1" applyFont="1"/>
    <xf numFmtId="10" fontId="57" fillId="0" borderId="0" xfId="365" applyNumberFormat="1" applyFont="1"/>
    <xf numFmtId="3" fontId="57" fillId="0" borderId="0" xfId="365" applyNumberFormat="1" applyFont="1" applyAlignment="1">
      <alignment horizontal="center"/>
    </xf>
    <xf numFmtId="0" fontId="57" fillId="0" borderId="0" xfId="365" quotePrefix="1" applyFont="1" applyAlignment="1"/>
    <xf numFmtId="275" fontId="57" fillId="0" borderId="0" xfId="365" applyNumberFormat="1" applyFont="1" applyAlignment="1">
      <alignment horizontal="left"/>
    </xf>
    <xf numFmtId="10" fontId="57" fillId="0" borderId="0" xfId="365" applyNumberFormat="1" applyFont="1" applyAlignment="1">
      <alignment horizontal="right"/>
    </xf>
    <xf numFmtId="0" fontId="76" fillId="0" borderId="0" xfId="365" applyFont="1" applyAlignment="1"/>
    <xf numFmtId="1" fontId="76" fillId="0" borderId="0" xfId="365" applyNumberFormat="1" applyFont="1" applyAlignment="1">
      <alignment horizontal="center"/>
    </xf>
    <xf numFmtId="10" fontId="76" fillId="0" borderId="0" xfId="365" applyNumberFormat="1" applyFont="1" applyAlignment="1">
      <alignment horizontal="center"/>
    </xf>
    <xf numFmtId="9" fontId="76" fillId="0" borderId="0" xfId="365" applyNumberFormat="1" applyFont="1" applyAlignment="1">
      <alignment horizontal="center"/>
    </xf>
    <xf numFmtId="0" fontId="76" fillId="0" borderId="0" xfId="365" applyFont="1" applyAlignment="1">
      <alignment horizontal="center"/>
    </xf>
    <xf numFmtId="49" fontId="57" fillId="0" borderId="0" xfId="365" applyNumberFormat="1" applyFont="1" applyAlignment="1"/>
    <xf numFmtId="1" fontId="57" fillId="0" borderId="0" xfId="365" applyNumberFormat="1" applyFont="1" applyAlignment="1"/>
    <xf numFmtId="9" fontId="57" fillId="0" borderId="0" xfId="365" applyNumberFormat="1" applyFont="1" applyAlignment="1"/>
    <xf numFmtId="2" fontId="131" fillId="0" borderId="0" xfId="0" applyNumberFormat="1" applyFont="1" applyFill="1" applyBorder="1" applyAlignment="1">
      <alignment horizontal="center"/>
    </xf>
    <xf numFmtId="0" fontId="57" fillId="0" borderId="1" xfId="365" applyFont="1" applyBorder="1" applyAlignment="1">
      <alignment horizontal="center"/>
    </xf>
    <xf numFmtId="0" fontId="57" fillId="0" borderId="0" xfId="365" applyFont="1" applyAlignment="1">
      <alignment horizontal="center" vertical="top"/>
    </xf>
    <xf numFmtId="2" fontId="57" fillId="0" borderId="0" xfId="0" applyNumberFormat="1" applyFont="1" applyAlignment="1">
      <alignment horizontal="center" wrapText="1"/>
    </xf>
    <xf numFmtId="2" fontId="57" fillId="0" borderId="0" xfId="0" applyNumberFormat="1" applyFont="1" applyAlignment="1">
      <alignment horizontal="left"/>
    </xf>
    <xf numFmtId="10" fontId="57" fillId="0" borderId="0" xfId="365" applyNumberFormat="1" applyFont="1" applyAlignment="1"/>
    <xf numFmtId="174" fontId="47" fillId="16" borderId="0" xfId="0" quotePrefix="1" applyFont="1" applyFill="1" applyAlignment="1">
      <alignment horizontal="center"/>
    </xf>
    <xf numFmtId="1" fontId="57" fillId="0" borderId="0" xfId="201" applyNumberFormat="1" applyFont="1" applyAlignment="1">
      <alignment horizontal="center"/>
    </xf>
    <xf numFmtId="0" fontId="47" fillId="0" borderId="0" xfId="187" applyFont="1" applyFill="1"/>
    <xf numFmtId="170" fontId="57" fillId="0" borderId="0" xfId="0" applyNumberFormat="1" applyFont="1"/>
    <xf numFmtId="175" fontId="47" fillId="0" borderId="0" xfId="79" applyNumberFormat="1" applyFont="1" applyFill="1" applyBorder="1" applyAlignment="1">
      <alignment wrapText="1"/>
    </xf>
    <xf numFmtId="0" fontId="57" fillId="0" borderId="0" xfId="187" applyFont="1" applyAlignment="1"/>
    <xf numFmtId="174" fontId="57" fillId="0" borderId="0" xfId="0" applyFont="1" applyBorder="1" applyAlignment="1">
      <alignment horizontal="centerContinuous"/>
    </xf>
    <xf numFmtId="0" fontId="64" fillId="0" borderId="0" xfId="187" applyFont="1" applyAlignment="1"/>
    <xf numFmtId="0" fontId="76" fillId="0" borderId="0" xfId="187" applyFont="1" applyFill="1"/>
    <xf numFmtId="0" fontId="64" fillId="0" borderId="0" xfId="187" applyFont="1" applyFill="1"/>
    <xf numFmtId="175" fontId="57" fillId="0" borderId="0" xfId="79" applyNumberFormat="1" applyFont="1" applyFill="1" applyBorder="1" applyAlignment="1"/>
    <xf numFmtId="0" fontId="47" fillId="0" borderId="0" xfId="187" applyFont="1"/>
    <xf numFmtId="175" fontId="57" fillId="0" borderId="0" xfId="187" applyNumberFormat="1" applyFont="1" applyFill="1"/>
    <xf numFmtId="0" fontId="88" fillId="0" borderId="0" xfId="187" applyFont="1"/>
    <xf numFmtId="0" fontId="57" fillId="0" borderId="0" xfId="187" applyFont="1" applyFill="1" applyAlignment="1">
      <alignment horizontal="center" vertical="top"/>
    </xf>
    <xf numFmtId="175" fontId="57" fillId="0" borderId="0" xfId="79" applyNumberFormat="1" applyFont="1" applyFill="1" applyAlignment="1"/>
    <xf numFmtId="175" fontId="47" fillId="0" borderId="0" xfId="79" applyNumberFormat="1" applyFont="1" applyAlignment="1"/>
    <xf numFmtId="175" fontId="57" fillId="0" borderId="0" xfId="79" applyNumberFormat="1" applyFont="1" applyBorder="1" applyAlignment="1"/>
    <xf numFmtId="175" fontId="57" fillId="0" borderId="0" xfId="187" applyNumberFormat="1" applyFont="1"/>
    <xf numFmtId="175" fontId="57" fillId="0" borderId="1" xfId="79" applyNumberFormat="1" applyFont="1" applyFill="1" applyBorder="1" applyAlignment="1">
      <alignment horizontal="center"/>
    </xf>
    <xf numFmtId="175" fontId="57" fillId="0" borderId="3" xfId="187" applyNumberFormat="1" applyFont="1" applyBorder="1"/>
    <xf numFmtId="0" fontId="64" fillId="0" borderId="0" xfId="187" applyFont="1"/>
    <xf numFmtId="170" fontId="57" fillId="16" borderId="33" xfId="0" applyNumberFormat="1" applyFont="1" applyFill="1" applyBorder="1" applyAlignment="1" applyProtection="1">
      <alignment horizontal="center"/>
      <protection locked="0"/>
    </xf>
    <xf numFmtId="171" fontId="57" fillId="0" borderId="0" xfId="265" applyNumberFormat="1" applyFont="1" applyFill="1" applyAlignment="1">
      <alignment horizontal="right"/>
    </xf>
    <xf numFmtId="171" fontId="57" fillId="0" borderId="8" xfId="265" applyNumberFormat="1" applyFont="1" applyFill="1" applyBorder="1" applyAlignment="1">
      <alignment horizontal="right"/>
    </xf>
    <xf numFmtId="0" fontId="57" fillId="16" borderId="0" xfId="0" applyNumberFormat="1" applyFont="1" applyFill="1" applyAlignment="1" applyProtection="1">
      <alignment horizontal="center"/>
      <protection locked="0"/>
    </xf>
    <xf numFmtId="175" fontId="57" fillId="0" borderId="0" xfId="86" applyNumberFormat="1" applyFont="1" applyFill="1" applyBorder="1" applyAlignment="1">
      <alignment horizontal="right"/>
    </xf>
    <xf numFmtId="175" fontId="57" fillId="16" borderId="0" xfId="59" applyNumberFormat="1" applyFont="1" applyFill="1" applyBorder="1" applyAlignment="1"/>
    <xf numFmtId="10" fontId="57" fillId="0" borderId="0" xfId="187" applyNumberFormat="1" applyFont="1" applyFill="1"/>
    <xf numFmtId="174" fontId="64" fillId="0" borderId="0" xfId="201" applyFont="1" applyFill="1" applyAlignment="1">
      <alignment horizontal="center" wrapText="1"/>
    </xf>
    <xf numFmtId="0" fontId="64" fillId="0" borderId="0" xfId="185" applyFont="1" applyFill="1" applyAlignment="1">
      <alignment horizontal="center"/>
    </xf>
    <xf numFmtId="174" fontId="64" fillId="0" borderId="1" xfId="201" applyFont="1" applyFill="1" applyBorder="1" applyAlignment="1">
      <alignment horizontal="center" wrapText="1"/>
    </xf>
    <xf numFmtId="0" fontId="57" fillId="0" borderId="0" xfId="365" applyFont="1" applyAlignment="1">
      <alignment horizontal="left"/>
    </xf>
    <xf numFmtId="0" fontId="57" fillId="0" borderId="0" xfId="0" applyNumberFormat="1" applyFont="1" applyAlignment="1">
      <alignment horizontal="center" wrapText="1"/>
    </xf>
    <xf numFmtId="174" fontId="57" fillId="0" borderId="0" xfId="0" applyFont="1" applyAlignment="1">
      <alignment vertical="top"/>
    </xf>
    <xf numFmtId="174" fontId="57" fillId="0" borderId="0" xfId="0" applyFont="1" applyFill="1" applyAlignment="1">
      <alignment vertical="top"/>
    </xf>
    <xf numFmtId="10" fontId="57" fillId="0" borderId="0" xfId="265" applyNumberFormat="1" applyFont="1" applyFill="1" applyBorder="1"/>
    <xf numFmtId="174" fontId="57" fillId="0" borderId="0" xfId="0" applyFont="1" applyFill="1" applyAlignment="1">
      <alignment vertical="top" wrapText="1"/>
    </xf>
    <xf numFmtId="0" fontId="57" fillId="0" borderId="0" xfId="188" applyNumberFormat="1" applyFont="1" applyFill="1" applyAlignment="1">
      <alignment vertical="top" wrapText="1"/>
    </xf>
    <xf numFmtId="174" fontId="47" fillId="0" borderId="0" xfId="0" applyFont="1" applyAlignment="1">
      <alignment vertical="top" wrapText="1"/>
    </xf>
    <xf numFmtId="0" fontId="57" fillId="0" borderId="0" xfId="187" applyFont="1" applyFill="1" applyBorder="1" applyAlignment="1">
      <alignment horizontal="center" vertical="top"/>
    </xf>
    <xf numFmtId="174" fontId="57" fillId="0" borderId="0" xfId="201" applyFont="1" applyFill="1" applyAlignment="1">
      <alignment wrapText="1"/>
    </xf>
    <xf numFmtId="0" fontId="57" fillId="0" borderId="0" xfId="210" applyNumberFormat="1" applyFont="1" applyFill="1" applyAlignment="1" applyProtection="1">
      <alignment horizontal="center" vertical="top" wrapText="1"/>
      <protection locked="0"/>
    </xf>
    <xf numFmtId="0" fontId="57" fillId="0" borderId="0" xfId="188" applyFont="1" applyFill="1" applyAlignment="1">
      <alignment horizontal="center" vertical="top" wrapText="1"/>
    </xf>
    <xf numFmtId="0" fontId="57" fillId="0" borderId="0" xfId="210" applyNumberFormat="1" applyFont="1" applyFill="1" applyBorder="1" applyAlignment="1" applyProtection="1">
      <alignment horizontal="center" vertical="top" wrapText="1"/>
      <protection locked="0"/>
    </xf>
    <xf numFmtId="174" fontId="57" fillId="0" borderId="0" xfId="210" applyFont="1" applyFill="1" applyAlignment="1">
      <alignment horizontal="center" vertical="top" wrapText="1"/>
    </xf>
    <xf numFmtId="174" fontId="57" fillId="0" borderId="0" xfId="0" applyFont="1" applyAlignment="1">
      <alignment horizontal="center"/>
    </xf>
    <xf numFmtId="0" fontId="57" fillId="0" borderId="0" xfId="59" applyNumberFormat="1" applyFont="1" applyAlignment="1">
      <alignment horizontal="center" vertical="top"/>
    </xf>
    <xf numFmtId="43" fontId="57" fillId="0" borderId="0" xfId="59" applyFont="1" applyAlignment="1">
      <alignment horizontal="left"/>
    </xf>
    <xf numFmtId="43" fontId="57" fillId="0" borderId="10" xfId="59" applyFont="1" applyFill="1" applyBorder="1" applyAlignment="1">
      <alignment horizontal="center"/>
    </xf>
    <xf numFmtId="43" fontId="57" fillId="0" borderId="0" xfId="59" applyFont="1" applyFill="1" applyProtection="1">
      <protection locked="0"/>
    </xf>
    <xf numFmtId="43" fontId="64" fillId="0" borderId="0" xfId="59" applyFont="1" applyFill="1" applyProtection="1">
      <protection locked="0"/>
    </xf>
    <xf numFmtId="43" fontId="57" fillId="0" borderId="1" xfId="59" applyFont="1" applyFill="1" applyBorder="1" applyProtection="1">
      <protection locked="0"/>
    </xf>
    <xf numFmtId="174" fontId="57" fillId="0" borderId="0" xfId="0" applyFont="1" applyAlignment="1">
      <alignment horizontal="center" vertical="top"/>
    </xf>
    <xf numFmtId="174" fontId="47" fillId="0" borderId="0" xfId="0" applyFont="1" applyFill="1" applyAlignment="1">
      <alignment vertical="top"/>
    </xf>
    <xf numFmtId="43" fontId="57" fillId="0" borderId="3" xfId="59" applyFont="1" applyFill="1" applyBorder="1"/>
    <xf numFmtId="0" fontId="57" fillId="0" borderId="0" xfId="59" applyNumberFormat="1" applyFont="1" applyFill="1"/>
    <xf numFmtId="0" fontId="57" fillId="0" borderId="0" xfId="59" applyNumberFormat="1" applyFont="1" applyFill="1" applyAlignment="1">
      <alignment horizontal="right"/>
    </xf>
    <xf numFmtId="43" fontId="57" fillId="0" borderId="0" xfId="59" applyFont="1" applyFill="1" applyBorder="1"/>
    <xf numFmtId="43" fontId="57" fillId="0" borderId="1" xfId="59" applyFont="1" applyFill="1" applyBorder="1"/>
    <xf numFmtId="175" fontId="57" fillId="0" borderId="1" xfId="59" applyNumberFormat="1" applyFont="1" applyFill="1" applyBorder="1"/>
    <xf numFmtId="175" fontId="0" fillId="0" borderId="0" xfId="59" applyNumberFormat="1" applyFont="1" applyAlignment="1"/>
    <xf numFmtId="175" fontId="64" fillId="0" borderId="0" xfId="59" applyNumberFormat="1" applyFont="1" applyFill="1" applyBorder="1"/>
    <xf numFmtId="175" fontId="57" fillId="0" borderId="1" xfId="59" applyNumberFormat="1" applyFont="1" applyBorder="1" applyAlignment="1">
      <alignment horizontal="center" wrapText="1"/>
    </xf>
    <xf numFmtId="175" fontId="64" fillId="0" borderId="0" xfId="59" applyNumberFormat="1" applyFont="1" applyBorder="1" applyAlignment="1">
      <alignment horizontal="center"/>
    </xf>
    <xf numFmtId="0" fontId="57" fillId="14" borderId="0" xfId="59" applyNumberFormat="1" applyFont="1" applyFill="1" applyBorder="1" applyAlignment="1">
      <alignment horizontal="center"/>
    </xf>
    <xf numFmtId="41" fontId="57" fillId="16" borderId="0" xfId="211" applyNumberFormat="1" applyFont="1" applyFill="1"/>
    <xf numFmtId="10" fontId="57" fillId="16" borderId="0" xfId="59" applyNumberFormat="1" applyFont="1" applyFill="1" applyAlignment="1"/>
    <xf numFmtId="0" fontId="57" fillId="16" borderId="0" xfId="0" applyNumberFormat="1" applyFont="1" applyFill="1"/>
    <xf numFmtId="278" fontId="57" fillId="16" borderId="0" xfId="187" applyNumberFormat="1" applyFont="1" applyFill="1" applyBorder="1"/>
    <xf numFmtId="278" fontId="0" fillId="0" borderId="0" xfId="265" applyNumberFormat="1" applyFont="1" applyAlignment="1"/>
    <xf numFmtId="278" fontId="57" fillId="0" borderId="0" xfId="265" applyNumberFormat="1" applyFont="1" applyFill="1" applyBorder="1"/>
    <xf numFmtId="43" fontId="57" fillId="16" borderId="0" xfId="59" applyFont="1" applyFill="1"/>
    <xf numFmtId="279" fontId="57" fillId="0" borderId="0" xfId="187" applyNumberFormat="1" applyFont="1" applyFill="1"/>
    <xf numFmtId="0" fontId="57" fillId="14" borderId="0" xfId="210" applyNumberFormat="1" applyFont="1" applyFill="1" applyAlignment="1">
      <alignment horizontal="right"/>
    </xf>
    <xf numFmtId="175" fontId="0" fillId="0" borderId="3" xfId="59" applyNumberFormat="1" applyFont="1" applyBorder="1" applyAlignment="1"/>
    <xf numFmtId="14" fontId="57" fillId="0" borderId="0" xfId="201" applyNumberFormat="1" applyFont="1" applyFill="1" applyAlignment="1">
      <alignment horizontal="right"/>
    </xf>
    <xf numFmtId="280" fontId="57" fillId="14" borderId="0" xfId="210" applyNumberFormat="1" applyFont="1" applyFill="1" applyAlignment="1">
      <alignment horizontal="right"/>
    </xf>
    <xf numFmtId="175" fontId="57" fillId="16" borderId="10" xfId="59" applyNumberFormat="1" applyFont="1" applyFill="1" applyBorder="1"/>
    <xf numFmtId="41" fontId="57" fillId="16" borderId="0" xfId="211" applyNumberFormat="1" applyFont="1" applyFill="1"/>
    <xf numFmtId="10" fontId="57" fillId="16" borderId="0" xfId="59" applyNumberFormat="1" applyFont="1" applyFill="1" applyAlignment="1"/>
    <xf numFmtId="0" fontId="57" fillId="0" borderId="0" xfId="1495" applyFont="1"/>
    <xf numFmtId="0" fontId="57" fillId="0" borderId="0" xfId="1495" applyFont="1" applyAlignment="1">
      <alignment horizontal="center"/>
    </xf>
    <xf numFmtId="0" fontId="47" fillId="0" borderId="0" xfId="1495" applyFont="1"/>
    <xf numFmtId="0" fontId="134" fillId="0" borderId="0" xfId="1495" applyFont="1" applyAlignment="1">
      <alignment horizontal="left"/>
    </xf>
    <xf numFmtId="0" fontId="24" fillId="0" borderId="0" xfId="1495" applyFont="1" applyAlignment="1">
      <alignment horizontal="right"/>
    </xf>
    <xf numFmtId="0" fontId="17" fillId="0" borderId="0" xfId="1495" applyFont="1" applyAlignment="1">
      <alignment horizontal="center"/>
    </xf>
    <xf numFmtId="0" fontId="19" fillId="0" borderId="0" xfId="1494" applyFont="1" applyFill="1" applyAlignment="1"/>
    <xf numFmtId="0" fontId="17" fillId="0" borderId="0" xfId="1495" applyFont="1"/>
    <xf numFmtId="0" fontId="48" fillId="0" borderId="0" xfId="1495" applyFont="1" applyFill="1" applyBorder="1" applyAlignment="1">
      <alignment horizontal="left"/>
    </xf>
    <xf numFmtId="0" fontId="17" fillId="0" borderId="0" xfId="1495" applyFont="1" applyFill="1" applyAlignment="1">
      <alignment horizontal="center"/>
    </xf>
    <xf numFmtId="0" fontId="42" fillId="0" borderId="0" xfId="1495" applyFont="1" applyFill="1" applyAlignment="1">
      <alignment horizontal="center"/>
    </xf>
    <xf numFmtId="0" fontId="42" fillId="0" borderId="0" xfId="1495" applyFont="1" applyAlignment="1">
      <alignment horizontal="center"/>
    </xf>
    <xf numFmtId="9" fontId="42" fillId="0" borderId="0" xfId="1495" quotePrefix="1" applyNumberFormat="1" applyFont="1" applyFill="1" applyAlignment="1">
      <alignment horizontal="center"/>
    </xf>
    <xf numFmtId="9" fontId="42" fillId="0" borderId="0" xfId="1495" applyNumberFormat="1" applyFont="1" applyFill="1" applyAlignment="1">
      <alignment horizontal="center"/>
    </xf>
    <xf numFmtId="0" fontId="48" fillId="0" borderId="0" xfId="1495" applyFont="1" applyFill="1" applyBorder="1"/>
    <xf numFmtId="0" fontId="135" fillId="0" borderId="0" xfId="1495" applyFont="1" applyAlignment="1">
      <alignment horizontal="center"/>
    </xf>
    <xf numFmtId="0" fontId="135" fillId="0" borderId="0" xfId="1495" applyFont="1" applyFill="1" applyAlignment="1">
      <alignment horizontal="center"/>
    </xf>
    <xf numFmtId="0" fontId="17" fillId="14" borderId="9" xfId="1495" applyFont="1" applyFill="1" applyBorder="1"/>
    <xf numFmtId="41" fontId="136" fillId="14" borderId="9" xfId="1495" applyNumberFormat="1" applyFont="1" applyFill="1" applyBorder="1"/>
    <xf numFmtId="0" fontId="136" fillId="14" borderId="9" xfId="1495" applyFont="1" applyFill="1" applyBorder="1"/>
    <xf numFmtId="174" fontId="17" fillId="14" borderId="9" xfId="0" applyFont="1" applyFill="1" applyBorder="1"/>
    <xf numFmtId="0" fontId="17" fillId="14" borderId="9" xfId="1495" applyFont="1" applyFill="1" applyBorder="1" applyAlignment="1">
      <alignment horizontal="center" vertical="top"/>
    </xf>
    <xf numFmtId="0" fontId="17" fillId="14" borderId="9" xfId="1495" applyFont="1" applyFill="1" applyBorder="1" applyAlignment="1">
      <alignment vertical="top" wrapText="1"/>
    </xf>
    <xf numFmtId="0" fontId="17" fillId="14" borderId="9" xfId="1495" applyFont="1" applyFill="1" applyBorder="1" applyAlignment="1">
      <alignment vertical="top"/>
    </xf>
    <xf numFmtId="0" fontId="17" fillId="14" borderId="9" xfId="1495" applyFont="1" applyFill="1" applyBorder="1" applyAlignment="1">
      <alignment horizontal="center"/>
    </xf>
    <xf numFmtId="41" fontId="17" fillId="14" borderId="9" xfId="1495" applyNumberFormat="1" applyFont="1" applyFill="1" applyBorder="1" applyAlignment="1">
      <alignment vertical="top"/>
    </xf>
    <xf numFmtId="41" fontId="17" fillId="14" borderId="9" xfId="1495" applyNumberFormat="1" applyFont="1" applyFill="1" applyBorder="1"/>
    <xf numFmtId="0" fontId="42" fillId="0" borderId="9" xfId="1495" applyFont="1" applyFill="1" applyBorder="1"/>
    <xf numFmtId="41" fontId="17" fillId="0" borderId="9" xfId="1495" applyNumberFormat="1" applyFont="1" applyFill="1" applyBorder="1"/>
    <xf numFmtId="37" fontId="17" fillId="0" borderId="9" xfId="1495" applyNumberFormat="1" applyFont="1" applyFill="1" applyBorder="1"/>
    <xf numFmtId="0" fontId="17" fillId="0" borderId="9" xfId="1495" applyFont="1" applyBorder="1"/>
    <xf numFmtId="41" fontId="17" fillId="16" borderId="9" xfId="1495" applyNumberFormat="1" applyFont="1" applyFill="1" applyBorder="1"/>
    <xf numFmtId="0" fontId="49" fillId="0" borderId="9" xfId="1495" applyFont="1" applyFill="1" applyBorder="1"/>
    <xf numFmtId="0" fontId="17" fillId="16" borderId="9" xfId="1495" applyFont="1" applyFill="1" applyBorder="1"/>
    <xf numFmtId="0" fontId="42" fillId="0" borderId="9" xfId="1495" applyFont="1" applyFill="1" applyBorder="1" applyAlignment="1">
      <alignment vertical="center"/>
    </xf>
    <xf numFmtId="37" fontId="17" fillId="0" borderId="9" xfId="1495" applyNumberFormat="1" applyFont="1" applyFill="1" applyBorder="1" applyAlignment="1">
      <alignment vertical="center"/>
    </xf>
    <xf numFmtId="278" fontId="137" fillId="0" borderId="9" xfId="1495" applyNumberFormat="1" applyFont="1" applyFill="1" applyBorder="1" applyAlignment="1">
      <alignment vertical="center"/>
    </xf>
    <xf numFmtId="0" fontId="17" fillId="0" borderId="22" xfId="1495" applyFont="1" applyFill="1" applyBorder="1"/>
    <xf numFmtId="0" fontId="17" fillId="0" borderId="9" xfId="1495" applyFont="1" applyFill="1" applyBorder="1"/>
    <xf numFmtId="37" fontId="17" fillId="0" borderId="16" xfId="1495" applyNumberFormat="1" applyFont="1" applyFill="1" applyBorder="1"/>
    <xf numFmtId="37" fontId="17" fillId="0" borderId="4" xfId="1495" applyNumberFormat="1" applyFont="1" applyFill="1" applyBorder="1"/>
    <xf numFmtId="0" fontId="42" fillId="0" borderId="0" xfId="1495" applyFont="1" applyFill="1" applyBorder="1"/>
    <xf numFmtId="0" fontId="17" fillId="0" borderId="0" xfId="1495" applyFont="1" applyFill="1" applyBorder="1"/>
    <xf numFmtId="37" fontId="17" fillId="0" borderId="0" xfId="1495" applyNumberFormat="1" applyFont="1" applyFill="1" applyBorder="1"/>
    <xf numFmtId="0" fontId="42" fillId="0" borderId="0" xfId="1494" applyFont="1" applyFill="1"/>
    <xf numFmtId="0" fontId="17" fillId="0" borderId="0" xfId="1495" applyFont="1" applyFill="1"/>
    <xf numFmtId="37" fontId="17" fillId="0" borderId="0" xfId="1495" applyNumberFormat="1" applyFont="1" applyFill="1"/>
    <xf numFmtId="0" fontId="138" fillId="0" borderId="0" xfId="1495" applyFont="1" applyFill="1" applyBorder="1" applyAlignment="1">
      <alignment horizontal="left"/>
    </xf>
    <xf numFmtId="41" fontId="136" fillId="14" borderId="9" xfId="1495" applyNumberFormat="1" applyFont="1" applyFill="1" applyBorder="1" applyAlignment="1"/>
    <xf numFmtId="175" fontId="136" fillId="14" borderId="9" xfId="59" applyNumberFormat="1" applyFont="1" applyFill="1" applyBorder="1" applyAlignment="1"/>
    <xf numFmtId="41" fontId="136" fillId="14" borderId="9" xfId="1495" applyNumberFormat="1" applyFont="1" applyFill="1" applyBorder="1" applyAlignment="1">
      <alignment vertical="top"/>
    </xf>
    <xf numFmtId="175" fontId="136" fillId="14" borderId="9" xfId="1495" applyNumberFormat="1" applyFont="1" applyFill="1" applyBorder="1"/>
    <xf numFmtId="175" fontId="17" fillId="14" borderId="9" xfId="1495" applyNumberFormat="1" applyFont="1" applyFill="1" applyBorder="1" applyAlignment="1">
      <alignment vertical="top"/>
    </xf>
    <xf numFmtId="175" fontId="17" fillId="14" borderId="9" xfId="1495" applyNumberFormat="1" applyFont="1" applyFill="1" applyBorder="1"/>
    <xf numFmtId="41" fontId="17" fillId="0" borderId="0" xfId="1495" applyNumberFormat="1" applyFont="1" applyFill="1"/>
    <xf numFmtId="0" fontId="133" fillId="0" borderId="0" xfId="1494" applyFont="1"/>
    <xf numFmtId="0" fontId="24" fillId="0" borderId="0" xfId="1495" applyFont="1" applyFill="1" applyBorder="1"/>
    <xf numFmtId="0" fontId="139" fillId="0" borderId="0" xfId="1494" applyFont="1"/>
    <xf numFmtId="0" fontId="19" fillId="0" borderId="0" xfId="1494" applyFont="1" applyFill="1" applyAlignment="1">
      <alignment horizontal="right"/>
    </xf>
    <xf numFmtId="0" fontId="19" fillId="0" borderId="0" xfId="1494" applyFont="1" applyFill="1" applyAlignment="1">
      <alignment horizontal="center"/>
    </xf>
    <xf numFmtId="0" fontId="17" fillId="0" borderId="0" xfId="1494" applyFont="1" applyFill="1" applyAlignment="1"/>
    <xf numFmtId="0" fontId="17" fillId="14" borderId="9" xfId="1494" applyFont="1" applyFill="1" applyBorder="1"/>
    <xf numFmtId="0" fontId="17" fillId="14" borderId="9" xfId="1495" applyFont="1" applyFill="1" applyBorder="1" applyAlignment="1">
      <alignment wrapText="1"/>
    </xf>
    <xf numFmtId="0" fontId="17" fillId="0" borderId="9" xfId="1495" applyFont="1" applyBorder="1" applyAlignment="1">
      <alignment wrapText="1"/>
    </xf>
    <xf numFmtId="41" fontId="49" fillId="0" borderId="9" xfId="1495" applyNumberFormat="1" applyFont="1" applyFill="1" applyBorder="1"/>
    <xf numFmtId="0" fontId="17" fillId="16" borderId="9" xfId="1495" applyFont="1" applyFill="1" applyBorder="1" applyAlignment="1">
      <alignment wrapText="1"/>
    </xf>
    <xf numFmtId="41" fontId="17" fillId="0" borderId="9" xfId="59" applyNumberFormat="1" applyFont="1" applyFill="1" applyBorder="1" applyAlignment="1">
      <alignment horizontal="right"/>
    </xf>
    <xf numFmtId="0" fontId="17" fillId="0" borderId="0" xfId="1495" applyFont="1" applyAlignment="1">
      <alignment wrapText="1"/>
    </xf>
    <xf numFmtId="0" fontId="140" fillId="0" borderId="0" xfId="1495" applyFont="1" applyFill="1"/>
    <xf numFmtId="0" fontId="42" fillId="0" borderId="0" xfId="1495" applyFont="1" applyFill="1" applyAlignment="1">
      <alignment wrapText="1"/>
    </xf>
    <xf numFmtId="0" fontId="135" fillId="0" borderId="0" xfId="1495" applyFont="1" applyFill="1" applyAlignment="1">
      <alignment wrapText="1"/>
    </xf>
    <xf numFmtId="0" fontId="57" fillId="0" borderId="0" xfId="1495" applyFont="1" applyAlignment="1"/>
    <xf numFmtId="37" fontId="49" fillId="0" borderId="9" xfId="1495" applyNumberFormat="1" applyFont="1" applyFill="1" applyBorder="1"/>
    <xf numFmtId="278" fontId="137" fillId="0" borderId="9" xfId="1495" applyNumberFormat="1" applyFont="1" applyFill="1" applyBorder="1"/>
    <xf numFmtId="0" fontId="17" fillId="0" borderId="0" xfId="1496" applyFont="1" applyBorder="1"/>
    <xf numFmtId="41" fontId="17" fillId="16" borderId="0" xfId="1495" applyNumberFormat="1" applyFont="1" applyFill="1" applyBorder="1"/>
    <xf numFmtId="0" fontId="133" fillId="0" borderId="0" xfId="187" applyFont="1"/>
    <xf numFmtId="43" fontId="17" fillId="16" borderId="0" xfId="59" applyFont="1" applyFill="1"/>
    <xf numFmtId="0" fontId="42" fillId="16" borderId="0" xfId="187" applyFont="1" applyFill="1"/>
    <xf numFmtId="175" fontId="17" fillId="0" borderId="14" xfId="59" applyNumberFormat="1" applyFont="1" applyBorder="1"/>
    <xf numFmtId="0" fontId="17" fillId="0" borderId="0" xfId="187" applyFont="1"/>
    <xf numFmtId="0" fontId="24" fillId="0" borderId="0" xfId="187" applyFont="1" applyAlignment="1">
      <alignment horizontal="center"/>
    </xf>
    <xf numFmtId="0" fontId="24" fillId="0" borderId="0" xfId="187" applyFont="1"/>
    <xf numFmtId="0" fontId="17" fillId="0" borderId="0" xfId="187" applyFont="1" applyAlignment="1">
      <alignment horizontal="center" wrapText="1"/>
    </xf>
    <xf numFmtId="175" fontId="17" fillId="0" borderId="0" xfId="537" applyNumberFormat="1" applyFont="1" applyBorder="1" applyAlignment="1">
      <alignment vertical="center" wrapText="1"/>
    </xf>
    <xf numFmtId="175" fontId="17" fillId="0" borderId="0" xfId="537" applyNumberFormat="1" applyFont="1" applyBorder="1" applyAlignment="1">
      <alignment horizontal="right" vertical="center" wrapText="1"/>
    </xf>
    <xf numFmtId="175" fontId="17" fillId="16" borderId="0" xfId="537" applyNumberFormat="1" applyFont="1" applyFill="1" applyBorder="1" applyAlignment="1">
      <alignment vertical="center" wrapText="1"/>
    </xf>
    <xf numFmtId="175" fontId="42" fillId="0" borderId="0" xfId="537" applyNumberFormat="1" applyFont="1" applyFill="1" applyBorder="1" applyAlignment="1">
      <alignment vertical="center" wrapText="1"/>
    </xf>
    <xf numFmtId="175" fontId="17" fillId="0" borderId="0" xfId="537" applyNumberFormat="1" applyFont="1" applyFill="1" applyBorder="1" applyAlignment="1">
      <alignment horizontal="right" vertical="center" wrapText="1"/>
    </xf>
    <xf numFmtId="10" fontId="17" fillId="0" borderId="0" xfId="1498" applyNumberFormat="1" applyFont="1"/>
    <xf numFmtId="175" fontId="17" fillId="0" borderId="3" xfId="537" applyNumberFormat="1" applyFont="1" applyBorder="1" applyAlignment="1">
      <alignment vertical="center" wrapText="1"/>
    </xf>
    <xf numFmtId="10" fontId="143" fillId="0" borderId="0" xfId="1499" applyNumberFormat="1" applyFont="1" applyBorder="1" applyAlignment="1">
      <alignment vertical="center" wrapText="1"/>
    </xf>
    <xf numFmtId="10" fontId="17" fillId="0" borderId="0" xfId="1499" applyNumberFormat="1" applyFont="1" applyBorder="1" applyAlignment="1">
      <alignment vertical="center" wrapText="1"/>
    </xf>
    <xf numFmtId="175" fontId="17" fillId="0" borderId="0" xfId="537" applyNumberFormat="1" applyFont="1" applyFill="1" applyBorder="1" applyAlignment="1">
      <alignment vertical="center" wrapText="1"/>
    </xf>
    <xf numFmtId="175" fontId="17" fillId="0" borderId="1" xfId="537" applyNumberFormat="1" applyFont="1" applyBorder="1" applyAlignment="1">
      <alignment vertical="center" wrapText="1"/>
    </xf>
    <xf numFmtId="0" fontId="17" fillId="0" borderId="0" xfId="187" applyFont="1" applyFill="1"/>
    <xf numFmtId="0" fontId="24" fillId="0" borderId="0" xfId="187" applyFont="1" applyFill="1"/>
    <xf numFmtId="175" fontId="24" fillId="0" borderId="0" xfId="537" applyNumberFormat="1" applyFont="1" applyFill="1" applyBorder="1" applyAlignment="1">
      <alignment horizontal="right" vertical="center" wrapText="1"/>
    </xf>
    <xf numFmtId="10" fontId="24" fillId="0" borderId="0" xfId="1498" applyNumberFormat="1" applyFont="1"/>
    <xf numFmtId="175" fontId="24" fillId="0" borderId="0" xfId="537" applyNumberFormat="1" applyFont="1" applyBorder="1" applyAlignment="1">
      <alignment horizontal="right" vertical="center" wrapText="1"/>
    </xf>
    <xf numFmtId="175" fontId="24" fillId="0" borderId="0" xfId="537" applyNumberFormat="1" applyFont="1" applyFill="1" applyBorder="1" applyAlignment="1">
      <alignment vertical="center" wrapText="1"/>
    </xf>
    <xf numFmtId="10" fontId="143" fillId="0" borderId="0" xfId="1499" applyNumberFormat="1" applyFont="1" applyFill="1" applyBorder="1" applyAlignment="1">
      <alignment vertical="center" wrapText="1"/>
    </xf>
    <xf numFmtId="10" fontId="17" fillId="0" borderId="0" xfId="1499" applyNumberFormat="1" applyFont="1" applyFill="1" applyBorder="1" applyAlignment="1">
      <alignment vertical="center" wrapText="1"/>
    </xf>
    <xf numFmtId="0" fontId="16" fillId="0" borderId="0" xfId="1495" applyFont="1" applyAlignment="1">
      <alignment horizontal="left"/>
    </xf>
    <xf numFmtId="37" fontId="42" fillId="0" borderId="0" xfId="187" applyNumberFormat="1" applyFont="1" applyAlignment="1">
      <alignment horizontal="right"/>
    </xf>
    <xf numFmtId="0" fontId="24" fillId="0" borderId="0" xfId="1495" applyFont="1" applyAlignment="1">
      <alignment horizontal="center"/>
    </xf>
    <xf numFmtId="0" fontId="17" fillId="0" borderId="0" xfId="1495" applyFont="1" applyAlignment="1">
      <alignment horizontal="left"/>
    </xf>
    <xf numFmtId="0" fontId="19" fillId="0" borderId="0" xfId="187" applyFont="1" applyFill="1" applyAlignment="1"/>
    <xf numFmtId="0" fontId="24" fillId="0" borderId="0" xfId="187" applyFont="1" applyAlignment="1"/>
    <xf numFmtId="0" fontId="17" fillId="14" borderId="9" xfId="1494" applyNumberFormat="1" applyFont="1" applyFill="1" applyBorder="1" applyAlignment="1">
      <alignment vertical="top" wrapText="1"/>
    </xf>
    <xf numFmtId="41" fontId="17" fillId="14" borderId="9" xfId="1495" applyNumberFormat="1" applyFont="1" applyFill="1" applyBorder="1" applyAlignment="1">
      <alignment horizontal="right" vertical="top"/>
    </xf>
    <xf numFmtId="41" fontId="17" fillId="16" borderId="9" xfId="1495" applyNumberFormat="1" applyFont="1" applyFill="1" applyBorder="1" applyAlignment="1">
      <alignment horizontal="right" vertical="top"/>
    </xf>
    <xf numFmtId="41" fontId="17" fillId="14" borderId="9" xfId="1495" applyNumberFormat="1" applyFont="1" applyFill="1" applyBorder="1" applyAlignment="1">
      <alignment horizontal="center" vertical="top"/>
    </xf>
    <xf numFmtId="0" fontId="17" fillId="16" borderId="9" xfId="1495" applyFont="1" applyFill="1" applyBorder="1" applyAlignment="1">
      <alignment vertical="top"/>
    </xf>
    <xf numFmtId="41" fontId="17" fillId="16" borderId="9" xfId="1495" applyNumberFormat="1" applyFont="1" applyFill="1" applyBorder="1" applyAlignment="1">
      <alignment horizontal="center" vertical="top"/>
    </xf>
    <xf numFmtId="0" fontId="17" fillId="0" borderId="9" xfId="1495" applyFont="1" applyBorder="1" applyAlignment="1">
      <alignment vertical="top"/>
    </xf>
    <xf numFmtId="175" fontId="17" fillId="0" borderId="9" xfId="1495" applyNumberFormat="1" applyFont="1" applyBorder="1" applyAlignment="1">
      <alignment vertical="top"/>
    </xf>
    <xf numFmtId="175" fontId="17" fillId="0" borderId="9" xfId="1495" applyNumberFormat="1" applyFont="1" applyFill="1" applyBorder="1" applyAlignment="1">
      <alignment vertical="top"/>
    </xf>
    <xf numFmtId="41" fontId="17" fillId="0" borderId="9" xfId="1495" applyNumberFormat="1" applyFont="1" applyFill="1" applyBorder="1" applyAlignment="1">
      <alignment horizontal="right" vertical="top"/>
    </xf>
    <xf numFmtId="0" fontId="42" fillId="0" borderId="9" xfId="1495" applyFont="1" applyFill="1" applyBorder="1" applyAlignment="1">
      <alignment vertical="top"/>
    </xf>
    <xf numFmtId="41" fontId="17" fillId="0" borderId="9" xfId="1495" applyNumberFormat="1" applyFont="1" applyBorder="1" applyAlignment="1">
      <alignment vertical="top"/>
    </xf>
    <xf numFmtId="37" fontId="17" fillId="0" borderId="9" xfId="1495" applyNumberFormat="1" applyFont="1" applyFill="1" applyBorder="1" applyAlignment="1">
      <alignment vertical="top"/>
    </xf>
    <xf numFmtId="278" fontId="137" fillId="0" borderId="9" xfId="1495" applyNumberFormat="1" applyFont="1" applyFill="1" applyBorder="1" applyAlignment="1">
      <alignment vertical="top"/>
    </xf>
    <xf numFmtId="0" fontId="17" fillId="0" borderId="22" xfId="1495" applyFont="1" applyBorder="1" applyAlignment="1">
      <alignment vertical="top"/>
    </xf>
    <xf numFmtId="37" fontId="17" fillId="0" borderId="16" xfId="1495" applyNumberFormat="1" applyFont="1" applyFill="1" applyBorder="1" applyAlignment="1">
      <alignment vertical="top"/>
    </xf>
    <xf numFmtId="37" fontId="17" fillId="0" borderId="4" xfId="1495" applyNumberFormat="1" applyFont="1" applyFill="1" applyBorder="1" applyAlignment="1">
      <alignment vertical="top"/>
    </xf>
    <xf numFmtId="0" fontId="42" fillId="0" borderId="0" xfId="1495" applyFont="1" applyFill="1" applyBorder="1" applyAlignment="1">
      <alignment vertical="top"/>
    </xf>
    <xf numFmtId="0" fontId="17" fillId="0" borderId="0" xfId="1495" applyFont="1" applyBorder="1" applyAlignment="1">
      <alignment vertical="top"/>
    </xf>
    <xf numFmtId="37" fontId="17" fillId="0" borderId="0" xfId="1495" applyNumberFormat="1" applyFont="1" applyFill="1" applyBorder="1" applyAlignment="1">
      <alignment vertical="top"/>
    </xf>
    <xf numFmtId="0" fontId="19" fillId="0" borderId="0" xfId="187" applyFont="1" applyAlignment="1">
      <alignment horizontal="center"/>
    </xf>
    <xf numFmtId="0" fontId="47" fillId="0" borderId="0" xfId="1495" applyFont="1" applyFill="1"/>
    <xf numFmtId="0" fontId="24" fillId="0" borderId="0" xfId="187" applyFont="1" applyFill="1" applyAlignment="1"/>
    <xf numFmtId="0" fontId="140" fillId="0" borderId="0" xfId="1495" applyFont="1" applyFill="1" applyAlignment="1">
      <alignment horizontal="center"/>
    </xf>
    <xf numFmtId="41" fontId="17" fillId="16" borderId="9" xfId="1495" applyNumberFormat="1" applyFont="1" applyFill="1" applyBorder="1" applyAlignment="1">
      <alignment vertical="top"/>
    </xf>
    <xf numFmtId="177" fontId="17" fillId="14" borderId="9" xfId="1495" applyNumberFormat="1" applyFont="1" applyFill="1" applyBorder="1" applyAlignment="1">
      <alignment horizontal="center" vertical="top"/>
    </xf>
    <xf numFmtId="0" fontId="17" fillId="14" borderId="9" xfId="187" applyNumberFormat="1" applyFont="1" applyFill="1" applyBorder="1" applyAlignment="1">
      <alignment vertical="top" wrapText="1"/>
    </xf>
    <xf numFmtId="0" fontId="144" fillId="14" borderId="9" xfId="1494" applyNumberFormat="1" applyFont="1" applyFill="1" applyBorder="1" applyAlignment="1">
      <alignment vertical="top" wrapText="1"/>
    </xf>
    <xf numFmtId="0" fontId="17" fillId="16" borderId="9" xfId="187" applyNumberFormat="1" applyFont="1" applyFill="1" applyBorder="1" applyAlignment="1">
      <alignment vertical="top" wrapText="1"/>
    </xf>
    <xf numFmtId="41" fontId="17" fillId="0" borderId="9" xfId="1495" applyNumberFormat="1" applyFont="1" applyFill="1" applyBorder="1" applyAlignment="1">
      <alignment vertical="top"/>
    </xf>
    <xf numFmtId="41" fontId="17" fillId="0" borderId="9" xfId="537" applyNumberFormat="1" applyFont="1" applyFill="1" applyBorder="1" applyAlignment="1">
      <alignment horizontal="right" vertical="top"/>
    </xf>
    <xf numFmtId="37" fontId="17" fillId="0" borderId="9" xfId="1495" applyNumberFormat="1" applyFont="1" applyBorder="1" applyAlignment="1">
      <alignment vertical="top"/>
    </xf>
    <xf numFmtId="37" fontId="17" fillId="0" borderId="0" xfId="1495" applyNumberFormat="1" applyFont="1" applyFill="1" applyBorder="1" applyAlignment="1">
      <alignment horizontal="center" vertical="top"/>
    </xf>
    <xf numFmtId="0" fontId="16" fillId="0" borderId="0" xfId="187" applyFont="1" applyFill="1"/>
    <xf numFmtId="0" fontId="57" fillId="0" borderId="0" xfId="1495" applyFont="1" applyFill="1"/>
    <xf numFmtId="37" fontId="42" fillId="0" borderId="0" xfId="1495" applyNumberFormat="1" applyFont="1" applyFill="1" applyBorder="1" applyAlignment="1">
      <alignment vertical="top"/>
    </xf>
    <xf numFmtId="37" fontId="42" fillId="0" borderId="0" xfId="1495" applyNumberFormat="1" applyFont="1" applyFill="1" applyBorder="1" applyAlignment="1">
      <alignment horizontal="center" vertical="top"/>
    </xf>
    <xf numFmtId="0" fontId="42" fillId="0" borderId="0" xfId="1495" applyFont="1" applyFill="1" applyBorder="1" applyAlignment="1">
      <alignment horizontal="center"/>
    </xf>
    <xf numFmtId="37" fontId="42" fillId="0" borderId="0" xfId="1495" applyNumberFormat="1" applyFont="1" applyFill="1" applyAlignment="1">
      <alignment horizontal="center"/>
    </xf>
    <xf numFmtId="41" fontId="145" fillId="0" borderId="0" xfId="1495" quotePrefix="1" applyNumberFormat="1" applyFont="1" applyFill="1" applyBorder="1" applyAlignment="1">
      <alignment horizontal="center"/>
    </xf>
    <xf numFmtId="0" fontId="145" fillId="0" borderId="0" xfId="1495" applyFont="1" applyFill="1" applyBorder="1" applyAlignment="1">
      <alignment horizontal="center"/>
    </xf>
    <xf numFmtId="37" fontId="145" fillId="0" borderId="0" xfId="1495" applyNumberFormat="1" applyFont="1" applyFill="1" applyBorder="1" applyAlignment="1">
      <alignment horizontal="center"/>
    </xf>
    <xf numFmtId="0" fontId="42" fillId="16" borderId="9" xfId="1495" applyFont="1" applyFill="1" applyBorder="1"/>
    <xf numFmtId="37" fontId="17" fillId="16" borderId="9" xfId="1495" applyNumberFormat="1" applyFont="1" applyFill="1" applyBorder="1"/>
    <xf numFmtId="41" fontId="17" fillId="0" borderId="0" xfId="1495" applyNumberFormat="1" applyFont="1" applyFill="1" applyBorder="1"/>
    <xf numFmtId="41" fontId="57" fillId="0" borderId="0" xfId="1500" applyFont="1" applyFill="1" applyBorder="1"/>
    <xf numFmtId="41" fontId="57" fillId="16" borderId="9" xfId="1500" applyFont="1" applyFill="1" applyBorder="1"/>
    <xf numFmtId="41" fontId="42" fillId="0" borderId="0" xfId="1495" applyNumberFormat="1" applyFont="1" applyFill="1"/>
    <xf numFmtId="175" fontId="42" fillId="0" borderId="0" xfId="1495" applyNumberFormat="1" applyFont="1" applyFill="1"/>
    <xf numFmtId="41" fontId="42" fillId="0" borderId="14" xfId="1495" applyNumberFormat="1" applyFont="1" applyFill="1" applyBorder="1"/>
    <xf numFmtId="37" fontId="42" fillId="0" borderId="0" xfId="1495" applyNumberFormat="1" applyFont="1" applyFill="1" applyBorder="1" applyAlignment="1">
      <alignment horizontal="right" vertical="top"/>
    </xf>
    <xf numFmtId="0" fontId="19" fillId="0" borderId="0" xfId="1495" applyFont="1" applyFill="1" applyBorder="1"/>
    <xf numFmtId="0" fontId="64" fillId="0" borderId="0" xfId="1495" applyFont="1" applyFill="1"/>
    <xf numFmtId="37" fontId="42" fillId="0" borderId="0" xfId="1495" applyNumberFormat="1" applyFont="1" applyFill="1" applyAlignment="1">
      <alignment horizontal="right"/>
    </xf>
    <xf numFmtId="0" fontId="64" fillId="0" borderId="0" xfId="1495" applyFont="1" applyAlignment="1">
      <alignment horizontal="center"/>
    </xf>
    <xf numFmtId="0" fontId="64" fillId="0" borderId="0" xfId="1495" applyFont="1"/>
    <xf numFmtId="0" fontId="133" fillId="0" borderId="0" xfId="187" applyFont="1" applyAlignment="1">
      <alignment horizontal="center"/>
    </xf>
    <xf numFmtId="0" fontId="17" fillId="0" borderId="0" xfId="1495" applyFont="1" applyFill="1" applyBorder="1" applyAlignment="1">
      <alignment horizontal="left"/>
    </xf>
    <xf numFmtId="0" fontId="104" fillId="0" borderId="0" xfId="1501" applyFont="1"/>
    <xf numFmtId="0" fontId="24" fillId="0" borderId="0" xfId="1501" applyFont="1" applyBorder="1" applyAlignment="1">
      <alignment horizontal="center"/>
    </xf>
    <xf numFmtId="0" fontId="141" fillId="0" borderId="0" xfId="1501" applyFont="1" applyAlignment="1">
      <alignment horizontal="center"/>
    </xf>
    <xf numFmtId="0" fontId="16" fillId="0" borderId="0" xfId="1501" applyFont="1" applyBorder="1"/>
    <xf numFmtId="0" fontId="141" fillId="0" borderId="0" xfId="1501" applyFont="1" applyBorder="1"/>
    <xf numFmtId="0" fontId="141" fillId="0" borderId="0" xfId="1501" applyFont="1" applyFill="1" applyBorder="1"/>
    <xf numFmtId="0" fontId="142" fillId="0" borderId="0" xfId="1501" applyFont="1"/>
    <xf numFmtId="0" fontId="17" fillId="0" borderId="0" xfId="1501" applyFont="1" applyAlignment="1">
      <alignment horizontal="center"/>
    </xf>
    <xf numFmtId="0" fontId="17" fillId="0" borderId="0" xfId="1501" applyFont="1" applyBorder="1"/>
    <xf numFmtId="0" fontId="17" fillId="0" borderId="0" xfId="1501" applyFont="1" applyBorder="1" applyAlignment="1">
      <alignment horizontal="center"/>
    </xf>
    <xf numFmtId="0" fontId="17" fillId="0" borderId="1" xfId="1501" applyFont="1" applyBorder="1" applyAlignment="1">
      <alignment horizontal="center"/>
    </xf>
    <xf numFmtId="0" fontId="135" fillId="0" borderId="0" xfId="1501" applyFont="1" applyBorder="1"/>
    <xf numFmtId="0" fontId="17" fillId="0" borderId="0" xfId="1501" quotePrefix="1" applyFont="1" applyBorder="1" applyAlignment="1">
      <alignment horizontal="center"/>
    </xf>
    <xf numFmtId="0" fontId="17" fillId="16" borderId="0" xfId="1501" applyFont="1" applyFill="1" applyBorder="1" applyAlignment="1">
      <alignment wrapText="1"/>
    </xf>
    <xf numFmtId="41" fontId="17" fillId="0" borderId="0" xfId="1501" applyNumberFormat="1" applyFont="1" applyBorder="1"/>
    <xf numFmtId="0" fontId="17" fillId="0" borderId="0" xfId="1501" applyFont="1" applyFill="1" applyBorder="1"/>
    <xf numFmtId="0" fontId="17" fillId="0" borderId="0" xfId="1501" applyFont="1" applyBorder="1" applyAlignment="1">
      <alignment horizontal="right"/>
    </xf>
    <xf numFmtId="41" fontId="17" fillId="0" borderId="14" xfId="1501" applyNumberFormat="1" applyFont="1" applyBorder="1"/>
    <xf numFmtId="0" fontId="42" fillId="0" borderId="0" xfId="1501" applyFont="1" applyBorder="1" applyAlignment="1">
      <alignment horizontal="center"/>
    </xf>
    <xf numFmtId="0" fontId="17" fillId="16" borderId="0" xfId="1501" applyFont="1" applyFill="1" applyBorder="1"/>
    <xf numFmtId="0" fontId="104" fillId="0" borderId="0" xfId="1501" applyFont="1" applyFill="1"/>
    <xf numFmtId="0" fontId="17" fillId="14" borderId="0" xfId="1501" applyFont="1" applyFill="1" applyBorder="1"/>
    <xf numFmtId="0" fontId="104" fillId="0" borderId="0" xfId="1501" applyFont="1" applyBorder="1"/>
    <xf numFmtId="41" fontId="17" fillId="16" borderId="0" xfId="1501" applyNumberFormat="1" applyFont="1" applyFill="1" applyBorder="1"/>
    <xf numFmtId="0" fontId="17" fillId="16" borderId="0" xfId="1501" applyFont="1" applyFill="1"/>
    <xf numFmtId="0" fontId="17" fillId="0" borderId="0" xfId="1501" applyFont="1"/>
    <xf numFmtId="0" fontId="17" fillId="0" borderId="0" xfId="1501" applyFont="1" applyAlignment="1">
      <alignment horizontal="right"/>
    </xf>
    <xf numFmtId="0" fontId="135" fillId="0" borderId="0" xfId="1501" applyFont="1"/>
    <xf numFmtId="0" fontId="17" fillId="16" borderId="0" xfId="1501" applyFont="1" applyFill="1" applyBorder="1" applyAlignment="1"/>
    <xf numFmtId="0" fontId="42" fillId="16" borderId="0" xfId="1501" applyFont="1" applyFill="1"/>
    <xf numFmtId="41" fontId="17" fillId="0" borderId="0" xfId="1501" applyNumberFormat="1" applyFont="1"/>
    <xf numFmtId="175" fontId="17" fillId="16" borderId="0" xfId="1501" applyNumberFormat="1" applyFont="1" applyFill="1" applyBorder="1"/>
    <xf numFmtId="43" fontId="17" fillId="0" borderId="14" xfId="1501" applyNumberFormat="1" applyFont="1" applyBorder="1"/>
    <xf numFmtId="0" fontId="104" fillId="0" borderId="0" xfId="1501" applyFont="1" applyAlignment="1">
      <alignment horizontal="center"/>
    </xf>
    <xf numFmtId="0" fontId="19" fillId="0" borderId="0" xfId="1501" applyFont="1" applyFill="1"/>
    <xf numFmtId="0" fontId="24" fillId="0" borderId="0" xfId="1501" applyFont="1"/>
    <xf numFmtId="0" fontId="42" fillId="0" borderId="0" xfId="1501" applyFont="1" applyBorder="1" applyAlignment="1">
      <alignment vertical="center"/>
    </xf>
    <xf numFmtId="0" fontId="42" fillId="0" borderId="0" xfId="1501" applyFont="1" applyBorder="1" applyAlignment="1">
      <alignment horizontal="center" vertical="center" wrapText="1"/>
    </xf>
    <xf numFmtId="0" fontId="42" fillId="0" borderId="22" xfId="1501" applyFont="1" applyBorder="1" applyAlignment="1">
      <alignment horizontal="center" vertical="center"/>
    </xf>
    <xf numFmtId="0" fontId="17" fillId="0" borderId="15" xfId="1501" applyFont="1" applyBorder="1" applyAlignment="1">
      <alignment horizontal="center" vertical="center" wrapText="1"/>
    </xf>
    <xf numFmtId="0" fontId="17" fillId="0" borderId="0" xfId="1501" applyFont="1" applyBorder="1" applyAlignment="1">
      <alignment horizontal="center" vertical="center" wrapText="1"/>
    </xf>
    <xf numFmtId="0" fontId="17" fillId="0" borderId="0" xfId="1501" applyFont="1" applyBorder="1" applyAlignment="1">
      <alignment horizontal="left" vertical="center"/>
    </xf>
    <xf numFmtId="15" fontId="17" fillId="0" borderId="0" xfId="1501" applyNumberFormat="1" applyFont="1" applyBorder="1" applyAlignment="1">
      <alignment vertical="center" wrapText="1"/>
    </xf>
    <xf numFmtId="0" fontId="17" fillId="0" borderId="3" xfId="1501" applyFont="1" applyFill="1" applyBorder="1" applyAlignment="1">
      <alignment vertical="center" wrapText="1"/>
    </xf>
    <xf numFmtId="175" fontId="17" fillId="0" borderId="3" xfId="1501" applyNumberFormat="1" applyFont="1" applyBorder="1" applyAlignment="1">
      <alignment vertical="center" wrapText="1"/>
    </xf>
    <xf numFmtId="0" fontId="17" fillId="0" borderId="3" xfId="1501" applyFont="1" applyBorder="1" applyAlignment="1">
      <alignment horizontal="right" vertical="center" wrapText="1"/>
    </xf>
    <xf numFmtId="0" fontId="17" fillId="0" borderId="0" xfId="1501" applyFont="1" applyBorder="1" applyAlignment="1">
      <alignment vertical="center" wrapText="1"/>
    </xf>
    <xf numFmtId="175" fontId="17" fillId="0" borderId="0" xfId="1501" applyNumberFormat="1" applyFont="1" applyFill="1" applyBorder="1" applyAlignment="1">
      <alignment vertical="center" wrapText="1"/>
    </xf>
    <xf numFmtId="175" fontId="17" fillId="0" borderId="0" xfId="1501" applyNumberFormat="1" applyFont="1" applyBorder="1" applyAlignment="1">
      <alignment vertical="center" wrapText="1"/>
    </xf>
    <xf numFmtId="0" fontId="17" fillId="0" borderId="0" xfId="1501" applyFont="1" applyBorder="1" applyAlignment="1">
      <alignment horizontal="right" vertical="center" wrapText="1"/>
    </xf>
    <xf numFmtId="0" fontId="143" fillId="0" borderId="0" xfId="1501" applyFont="1"/>
    <xf numFmtId="0" fontId="17" fillId="0" borderId="0" xfId="1501" applyFont="1" applyBorder="1" applyAlignment="1">
      <alignment horizontal="justify" vertical="center" wrapText="1"/>
    </xf>
    <xf numFmtId="0" fontId="17" fillId="0" borderId="0" xfId="1501" applyFont="1" applyFill="1"/>
    <xf numFmtId="175" fontId="17" fillId="16" borderId="1" xfId="1501" applyNumberFormat="1" applyFont="1" applyFill="1" applyBorder="1"/>
    <xf numFmtId="175" fontId="42" fillId="0" borderId="14" xfId="1501" applyNumberFormat="1" applyFont="1" applyFill="1" applyBorder="1"/>
    <xf numFmtId="175" fontId="17" fillId="0" borderId="0" xfId="1501" applyNumberFormat="1" applyFont="1" applyFill="1"/>
    <xf numFmtId="0" fontId="24" fillId="0" borderId="0" xfId="1501" applyFont="1" applyAlignment="1">
      <alignment horizontal="center"/>
    </xf>
    <xf numFmtId="0" fontId="19" fillId="0" borderId="0" xfId="1501" applyFont="1"/>
    <xf numFmtId="0" fontId="42" fillId="0" borderId="0" xfId="1501" applyFont="1"/>
    <xf numFmtId="0" fontId="17" fillId="0" borderId="0" xfId="1501" applyFont="1" applyFill="1" applyBorder="1" applyAlignment="1">
      <alignment horizontal="right" vertical="center" wrapText="1"/>
    </xf>
    <xf numFmtId="0" fontId="24" fillId="0" borderId="0" xfId="1501" applyFont="1" applyFill="1"/>
    <xf numFmtId="0" fontId="17" fillId="0" borderId="0" xfId="1501" applyFont="1" applyFill="1" applyBorder="1" applyAlignment="1">
      <alignment horizontal="justify" vertical="center" wrapText="1"/>
    </xf>
    <xf numFmtId="0" fontId="17" fillId="0" borderId="0" xfId="1501" applyFont="1" applyFill="1" applyBorder="1" applyAlignment="1">
      <alignment vertical="center" wrapText="1"/>
    </xf>
    <xf numFmtId="175" fontId="17" fillId="0" borderId="0" xfId="1501" applyNumberFormat="1" applyFont="1" applyBorder="1"/>
    <xf numFmtId="41" fontId="42" fillId="0" borderId="0" xfId="1495" quotePrefix="1" applyNumberFormat="1" applyFont="1" applyFill="1" applyBorder="1" applyAlignment="1">
      <alignment horizontal="center"/>
    </xf>
    <xf numFmtId="0" fontId="17" fillId="16" borderId="16" xfId="1495" applyFont="1" applyFill="1" applyBorder="1"/>
    <xf numFmtId="0" fontId="17" fillId="16" borderId="7" xfId="1495" applyFont="1" applyFill="1" applyBorder="1"/>
    <xf numFmtId="0" fontId="17" fillId="16" borderId="34" xfId="1495" applyFont="1" applyFill="1" applyBorder="1"/>
    <xf numFmtId="0" fontId="57" fillId="16" borderId="16" xfId="1495" applyFont="1" applyFill="1" applyBorder="1"/>
    <xf numFmtId="0" fontId="57" fillId="16" borderId="7" xfId="1495" applyFont="1" applyFill="1" applyBorder="1"/>
    <xf numFmtId="0" fontId="57" fillId="16" borderId="34" xfId="1495" applyFont="1" applyFill="1" applyBorder="1"/>
    <xf numFmtId="0" fontId="133" fillId="0" borderId="0" xfId="187" applyFont="1" applyAlignment="1"/>
    <xf numFmtId="0" fontId="17" fillId="16" borderId="0" xfId="1495" applyFont="1" applyFill="1"/>
    <xf numFmtId="0" fontId="42" fillId="0" borderId="0" xfId="210" applyNumberFormat="1" applyFont="1" applyAlignment="1"/>
    <xf numFmtId="0" fontId="17" fillId="0" borderId="0" xfId="210" applyNumberFormat="1" applyFont="1" applyAlignment="1"/>
    <xf numFmtId="3" fontId="17" fillId="0" borderId="0" xfId="210" applyNumberFormat="1" applyFont="1" applyAlignment="1"/>
    <xf numFmtId="175" fontId="17" fillId="16" borderId="0" xfId="59" applyNumberFormat="1" applyFont="1" applyFill="1" applyAlignment="1">
      <alignment horizontal="right"/>
    </xf>
    <xf numFmtId="175" fontId="17" fillId="0" borderId="0" xfId="59" applyNumberFormat="1" applyFont="1" applyFill="1" applyAlignment="1">
      <alignment horizontal="right"/>
    </xf>
    <xf numFmtId="0" fontId="17" fillId="14" borderId="0" xfId="1495" applyFont="1" applyFill="1" applyBorder="1" applyAlignment="1">
      <alignment vertical="top"/>
    </xf>
    <xf numFmtId="41" fontId="17" fillId="14" borderId="0" xfId="1495" applyNumberFormat="1" applyFont="1" applyFill="1" applyBorder="1" applyAlignment="1">
      <alignment vertical="top"/>
    </xf>
    <xf numFmtId="175" fontId="17" fillId="16" borderId="35" xfId="59" applyNumberFormat="1" applyFont="1" applyFill="1" applyBorder="1" applyAlignment="1">
      <alignment horizontal="right"/>
    </xf>
    <xf numFmtId="41" fontId="17" fillId="0" borderId="0" xfId="1495" applyNumberFormat="1" applyFont="1" applyFill="1" applyBorder="1" applyAlignment="1">
      <alignment vertical="top"/>
    </xf>
    <xf numFmtId="175" fontId="17" fillId="0" borderId="0" xfId="1495" applyNumberFormat="1" applyFont="1"/>
    <xf numFmtId="0" fontId="17" fillId="0" borderId="0" xfId="210" applyNumberFormat="1" applyFont="1" applyAlignment="1">
      <alignment horizontal="left"/>
    </xf>
    <xf numFmtId="3" fontId="17" fillId="0" borderId="0" xfId="210" applyNumberFormat="1" applyFont="1" applyFill="1" applyAlignment="1"/>
    <xf numFmtId="175" fontId="17" fillId="0" borderId="0" xfId="1495" applyNumberFormat="1" applyFont="1" applyFill="1"/>
    <xf numFmtId="9" fontId="17" fillId="16" borderId="0" xfId="265" applyFont="1" applyFill="1" applyAlignment="1">
      <alignment horizontal="right"/>
    </xf>
    <xf numFmtId="175" fontId="17" fillId="0" borderId="14" xfId="1495" applyNumberFormat="1" applyFont="1" applyBorder="1"/>
    <xf numFmtId="41" fontId="57" fillId="39" borderId="0" xfId="211" applyNumberFormat="1" applyFont="1" applyFill="1"/>
    <xf numFmtId="37" fontId="57" fillId="0" borderId="0" xfId="207" applyNumberFormat="1" applyFont="1" applyAlignment="1"/>
    <xf numFmtId="3" fontId="57" fillId="0" borderId="0" xfId="207" applyNumberFormat="1" applyFont="1" applyAlignment="1"/>
    <xf numFmtId="37" fontId="57" fillId="0" borderId="0" xfId="0" applyNumberFormat="1" applyFont="1" applyAlignment="1"/>
    <xf numFmtId="176" fontId="57" fillId="0" borderId="0" xfId="0" applyNumberFormat="1" applyFont="1" applyBorder="1" applyAlignment="1"/>
    <xf numFmtId="175" fontId="17" fillId="0" borderId="0" xfId="59" applyNumberFormat="1" applyFont="1"/>
    <xf numFmtId="41" fontId="17" fillId="14" borderId="9" xfId="1495" applyNumberFormat="1" applyFill="1" applyBorder="1" applyAlignment="1">
      <alignment horizontal="center" vertical="top"/>
    </xf>
    <xf numFmtId="0" fontId="17" fillId="14" borderId="9" xfId="1494" applyFill="1" applyBorder="1" applyAlignment="1">
      <alignment vertical="top" wrapText="1"/>
    </xf>
    <xf numFmtId="0" fontId="17" fillId="16" borderId="9" xfId="1495" applyFill="1" applyBorder="1" applyAlignment="1">
      <alignment vertical="top"/>
    </xf>
    <xf numFmtId="41" fontId="17" fillId="16" borderId="9" xfId="1495" applyNumberFormat="1" applyFill="1" applyBorder="1" applyAlignment="1">
      <alignment vertical="top"/>
    </xf>
    <xf numFmtId="41" fontId="17" fillId="16" borderId="9" xfId="1495" applyNumberFormat="1" applyFill="1" applyBorder="1" applyAlignment="1">
      <alignment horizontal="right" vertical="top"/>
    </xf>
    <xf numFmtId="177" fontId="17" fillId="14" borderId="9" xfId="1495" applyNumberFormat="1" applyFill="1" applyBorder="1" applyAlignment="1">
      <alignment horizontal="center" vertical="top"/>
    </xf>
    <xf numFmtId="37" fontId="57" fillId="16" borderId="0" xfId="59" applyNumberFormat="1" applyFont="1" applyFill="1" applyAlignment="1"/>
    <xf numFmtId="37" fontId="57" fillId="0" borderId="0" xfId="59" applyNumberFormat="1" applyFont="1" applyAlignment="1"/>
    <xf numFmtId="37" fontId="57" fillId="0" borderId="0" xfId="59" applyNumberFormat="1" applyFont="1" applyBorder="1" applyAlignment="1"/>
    <xf numFmtId="37" fontId="57" fillId="0" borderId="3" xfId="59" applyNumberFormat="1" applyFont="1" applyBorder="1"/>
    <xf numFmtId="37" fontId="57" fillId="0" borderId="0" xfId="59" applyNumberFormat="1" applyFont="1"/>
    <xf numFmtId="1" fontId="57" fillId="0" borderId="0" xfId="625" applyNumberFormat="1" applyFont="1" applyFill="1" applyAlignment="1" applyProtection="1">
      <alignment horizontal="center"/>
      <protection locked="0"/>
    </xf>
    <xf numFmtId="37" fontId="57" fillId="0" borderId="0" xfId="625" applyNumberFormat="1" applyFont="1" applyFill="1"/>
    <xf numFmtId="37" fontId="57" fillId="0" borderId="8" xfId="59" applyNumberFormat="1" applyFont="1" applyBorder="1" applyAlignment="1"/>
    <xf numFmtId="37" fontId="57" fillId="14" borderId="0" xfId="59" applyNumberFormat="1" applyFont="1" applyFill="1" applyAlignment="1"/>
    <xf numFmtId="37" fontId="57" fillId="0" borderId="0" xfId="59" applyNumberFormat="1" applyFont="1" applyFill="1" applyAlignment="1"/>
    <xf numFmtId="37" fontId="57" fillId="0" borderId="0" xfId="59" applyNumberFormat="1" applyFont="1" applyFill="1" applyBorder="1" applyAlignment="1"/>
    <xf numFmtId="37" fontId="57" fillId="0" borderId="8" xfId="59" applyNumberFormat="1" applyFont="1" applyFill="1" applyBorder="1" applyAlignment="1"/>
    <xf numFmtId="3" fontId="87" fillId="0" borderId="0" xfId="210" applyNumberFormat="1" applyFont="1" applyFill="1" applyAlignment="1"/>
    <xf numFmtId="37" fontId="57" fillId="0" borderId="0" xfId="59" applyNumberFormat="1" applyFont="1" applyFill="1" applyAlignment="1">
      <alignment horizontal="right"/>
    </xf>
    <xf numFmtId="37" fontId="57" fillId="16" borderId="0" xfId="59" applyNumberFormat="1" applyFont="1" applyFill="1" applyBorder="1" applyAlignment="1"/>
    <xf numFmtId="37" fontId="57" fillId="16" borderId="8" xfId="59" applyNumberFormat="1" applyFont="1" applyFill="1" applyBorder="1" applyAlignment="1"/>
    <xf numFmtId="37" fontId="57" fillId="16" borderId="1" xfId="59" applyNumberFormat="1" applyFont="1" applyFill="1" applyBorder="1" applyAlignment="1"/>
    <xf numFmtId="37" fontId="57" fillId="0" borderId="0" xfId="59" applyNumberFormat="1" applyFont="1" applyAlignment="1">
      <alignment horizontal="right"/>
    </xf>
    <xf numFmtId="37" fontId="57" fillId="0" borderId="8" xfId="59" applyNumberFormat="1" applyFont="1" applyBorder="1" applyAlignment="1">
      <alignment horizontal="right"/>
    </xf>
    <xf numFmtId="37" fontId="57" fillId="14" borderId="8" xfId="59" applyNumberFormat="1" applyFont="1" applyFill="1" applyBorder="1" applyAlignment="1"/>
    <xf numFmtId="37" fontId="57" fillId="14" borderId="0" xfId="59" applyNumberFormat="1" applyFont="1" applyFill="1" applyBorder="1" applyAlignment="1"/>
    <xf numFmtId="37" fontId="57" fillId="0" borderId="11" xfId="59" applyNumberFormat="1" applyFont="1" applyFill="1" applyBorder="1" applyAlignment="1"/>
    <xf numFmtId="37" fontId="47" fillId="0" borderId="0" xfId="59" applyNumberFormat="1" applyFont="1" applyFill="1" applyAlignment="1">
      <alignment horizontal="right"/>
    </xf>
    <xf numFmtId="37" fontId="47" fillId="0" borderId="0" xfId="59" applyNumberFormat="1" applyFont="1" applyAlignment="1">
      <alignment horizontal="right"/>
    </xf>
    <xf numFmtId="37" fontId="47" fillId="0" borderId="1" xfId="59" applyNumberFormat="1" applyFont="1" applyBorder="1" applyAlignment="1">
      <alignment horizontal="right"/>
    </xf>
    <xf numFmtId="37" fontId="57" fillId="0" borderId="0" xfId="59" applyNumberFormat="1" applyFont="1" applyFill="1" applyBorder="1" applyAlignment="1">
      <alignment horizontal="center" wrapText="1"/>
    </xf>
    <xf numFmtId="37" fontId="57" fillId="16" borderId="0" xfId="59" applyNumberFormat="1" applyFont="1" applyFill="1" applyBorder="1"/>
    <xf numFmtId="37" fontId="57" fillId="0" borderId="3" xfId="59" applyNumberFormat="1" applyFont="1" applyFill="1" applyBorder="1"/>
    <xf numFmtId="37" fontId="57" fillId="0" borderId="3" xfId="59" applyNumberFormat="1" applyFont="1" applyFill="1" applyBorder="1" applyAlignment="1">
      <alignment horizontal="center"/>
    </xf>
    <xf numFmtId="37" fontId="87" fillId="0" borderId="3" xfId="0" applyNumberFormat="1" applyFont="1" applyBorder="1" applyAlignment="1"/>
    <xf numFmtId="37" fontId="57" fillId="0" borderId="3" xfId="59" applyNumberFormat="1" applyFont="1" applyFill="1" applyBorder="1" applyAlignment="1">
      <alignment horizontal="center" wrapText="1"/>
    </xf>
    <xf numFmtId="41" fontId="17" fillId="0" borderId="0" xfId="1502" applyFont="1" applyFill="1" applyBorder="1"/>
    <xf numFmtId="41" fontId="17" fillId="0" borderId="0" xfId="1501" applyNumberFormat="1" applyFont="1" applyFill="1" applyBorder="1"/>
    <xf numFmtId="37" fontId="57" fillId="0" borderId="0" xfId="59" applyNumberFormat="1" applyFont="1" applyFill="1" applyAlignment="1" applyProtection="1">
      <protection locked="0"/>
    </xf>
    <xf numFmtId="37" fontId="57" fillId="14" borderId="0" xfId="79" applyNumberFormat="1" applyFont="1" applyFill="1" applyAlignment="1"/>
    <xf numFmtId="37" fontId="57" fillId="16" borderId="0" xfId="79" applyNumberFormat="1" applyFont="1" applyFill="1" applyAlignment="1"/>
    <xf numFmtId="37" fontId="57" fillId="0" borderId="3" xfId="79" applyNumberFormat="1" applyFont="1" applyFill="1" applyBorder="1" applyAlignment="1"/>
    <xf numFmtId="37" fontId="57" fillId="0" borderId="0" xfId="79" applyNumberFormat="1" applyFont="1" applyFill="1" applyBorder="1" applyAlignment="1"/>
    <xf numFmtId="37" fontId="57" fillId="0" borderId="0" xfId="79" applyNumberFormat="1" applyFont="1" applyFill="1" applyAlignment="1">
      <alignment horizontal="right"/>
    </xf>
    <xf numFmtId="37" fontId="57" fillId="0" borderId="0" xfId="187" applyNumberFormat="1" applyFont="1"/>
    <xf numFmtId="37" fontId="57" fillId="16" borderId="0" xfId="79" applyNumberFormat="1" applyFont="1" applyFill="1" applyBorder="1" applyAlignment="1"/>
    <xf numFmtId="37" fontId="57" fillId="0" borderId="0" xfId="187" applyNumberFormat="1" applyFont="1" applyFill="1"/>
    <xf numFmtId="37" fontId="57" fillId="0" borderId="3" xfId="187" applyNumberFormat="1" applyFont="1" applyBorder="1"/>
    <xf numFmtId="0" fontId="17" fillId="14" borderId="9" xfId="1495" applyFill="1" applyBorder="1" applyAlignment="1">
      <alignment wrapText="1"/>
    </xf>
    <xf numFmtId="3" fontId="146" fillId="0" borderId="0" xfId="210" applyNumberFormat="1" applyFont="1" applyAlignment="1"/>
    <xf numFmtId="37" fontId="146" fillId="0" borderId="0" xfId="59" applyNumberFormat="1" applyFont="1" applyFill="1" applyAlignment="1"/>
    <xf numFmtId="3" fontId="146" fillId="0" borderId="0" xfId="210" applyNumberFormat="1" applyFont="1" applyFill="1" applyAlignment="1"/>
    <xf numFmtId="3" fontId="146" fillId="0" borderId="0" xfId="188" applyNumberFormat="1" applyFont="1" applyAlignment="1"/>
    <xf numFmtId="37" fontId="146" fillId="0" borderId="0" xfId="59" applyNumberFormat="1" applyFont="1" applyAlignment="1"/>
    <xf numFmtId="37" fontId="146" fillId="0" borderId="0" xfId="59" applyNumberFormat="1" applyFont="1" applyFill="1" applyBorder="1" applyAlignment="1"/>
    <xf numFmtId="175" fontId="146" fillId="0" borderId="0" xfId="59" applyNumberFormat="1" applyFont="1" applyAlignment="1"/>
    <xf numFmtId="0" fontId="146" fillId="0" borderId="0" xfId="210" applyNumberFormat="1" applyFont="1" applyFill="1" applyAlignment="1"/>
    <xf numFmtId="174" fontId="146" fillId="0" borderId="0" xfId="210" applyFont="1" applyFill="1" applyAlignment="1"/>
    <xf numFmtId="175" fontId="146" fillId="0" borderId="14" xfId="59" applyNumberFormat="1" applyFont="1" applyBorder="1"/>
    <xf numFmtId="183" fontId="146" fillId="0" borderId="0" xfId="188" applyNumberFormat="1" applyFont="1" applyFill="1" applyAlignment="1">
      <alignment horizontal="right"/>
    </xf>
    <xf numFmtId="183" fontId="146" fillId="0" borderId="0" xfId="59" applyNumberFormat="1" applyFont="1" applyAlignment="1"/>
    <xf numFmtId="41" fontId="17" fillId="16" borderId="9" xfId="1503" applyFont="1" applyFill="1" applyBorder="1"/>
    <xf numFmtId="41" fontId="136" fillId="16" borderId="9" xfId="1495" applyNumberFormat="1" applyFont="1" applyFill="1" applyBorder="1" applyAlignment="1"/>
    <xf numFmtId="175" fontId="136" fillId="16" borderId="9" xfId="59" applyNumberFormat="1" applyFont="1" applyFill="1" applyBorder="1" applyAlignment="1"/>
    <xf numFmtId="41" fontId="136" fillId="16" borderId="9" xfId="1495" applyNumberFormat="1" applyFont="1" applyFill="1" applyBorder="1" applyAlignment="1">
      <alignment vertical="top"/>
    </xf>
    <xf numFmtId="41" fontId="136" fillId="16" borderId="9" xfId="1495" applyNumberFormat="1" applyFont="1" applyFill="1" applyBorder="1"/>
    <xf numFmtId="0" fontId="17" fillId="16" borderId="9" xfId="1494" applyFont="1" applyFill="1" applyBorder="1"/>
    <xf numFmtId="0" fontId="17" fillId="16" borderId="9" xfId="184" applyFont="1" applyFill="1" applyBorder="1"/>
    <xf numFmtId="0" fontId="57" fillId="16" borderId="9" xfId="1495" applyFont="1" applyFill="1" applyBorder="1"/>
    <xf numFmtId="14" fontId="57" fillId="0" borderId="0" xfId="210" applyNumberFormat="1" applyFont="1"/>
    <xf numFmtId="174" fontId="57" fillId="0" borderId="0" xfId="210" applyFont="1" applyAlignment="1">
      <alignment horizontal="center"/>
    </xf>
    <xf numFmtId="49" fontId="57" fillId="0" borderId="0" xfId="210" applyNumberFormat="1" applyFont="1" applyAlignment="1" applyProtection="1">
      <alignment horizontal="center"/>
      <protection locked="0"/>
    </xf>
    <xf numFmtId="0" fontId="57" fillId="0" borderId="0" xfId="210" applyNumberFormat="1" applyFont="1" applyFill="1" applyAlignment="1" applyProtection="1">
      <alignment vertical="top" wrapText="1"/>
      <protection locked="0"/>
    </xf>
    <xf numFmtId="0" fontId="95" fillId="0" borderId="0" xfId="210" applyNumberFormat="1" applyFont="1" applyFill="1" applyAlignment="1" applyProtection="1">
      <alignment vertical="top" wrapText="1"/>
      <protection locked="0"/>
    </xf>
    <xf numFmtId="174" fontId="57" fillId="0" borderId="0" xfId="0" applyFont="1" applyFill="1" applyAlignment="1">
      <alignment horizontal="left" vertical="top" wrapText="1"/>
    </xf>
    <xf numFmtId="0" fontId="57" fillId="0" borderId="0" xfId="210" quotePrefix="1" applyNumberFormat="1" applyFont="1" applyFill="1" applyAlignment="1">
      <alignment vertical="top" wrapText="1"/>
    </xf>
    <xf numFmtId="0" fontId="57" fillId="0" borderId="0" xfId="210" applyNumberFormat="1" applyFont="1" applyFill="1" applyAlignment="1">
      <alignment vertical="top" wrapText="1"/>
    </xf>
    <xf numFmtId="0" fontId="57" fillId="0" borderId="0" xfId="206" applyFont="1" applyFill="1" applyAlignment="1">
      <alignment vertical="top" wrapText="1"/>
    </xf>
    <xf numFmtId="0" fontId="57" fillId="0" borderId="0" xfId="210" applyNumberFormat="1" applyFont="1" applyFill="1" applyAlignment="1" applyProtection="1">
      <alignment horizontal="center" vertical="top" wrapText="1"/>
      <protection locked="0"/>
    </xf>
    <xf numFmtId="174" fontId="57" fillId="0" borderId="0" xfId="0" applyFont="1" applyFill="1" applyAlignment="1">
      <alignment vertical="top" wrapText="1"/>
    </xf>
    <xf numFmtId="174" fontId="57" fillId="0" borderId="0" xfId="201" applyFont="1" applyFill="1" applyBorder="1" applyAlignment="1">
      <alignment horizontal="left" vertical="top" wrapText="1"/>
    </xf>
    <xf numFmtId="49" fontId="57" fillId="0" borderId="0" xfId="201" applyNumberFormat="1" applyFont="1" applyFill="1" applyBorder="1" applyAlignment="1">
      <alignment horizontal="left" vertical="top" wrapText="1"/>
    </xf>
    <xf numFmtId="174" fontId="57" fillId="0" borderId="0" xfId="0" applyFont="1" applyFill="1" applyAlignment="1">
      <alignment horizontal="left" wrapText="1"/>
    </xf>
    <xf numFmtId="0" fontId="57" fillId="0" borderId="0" xfId="187" applyFont="1" applyFill="1" applyBorder="1" applyAlignment="1">
      <alignment horizontal="left" wrapText="1"/>
    </xf>
    <xf numFmtId="0" fontId="47" fillId="0" borderId="0" xfId="210" applyNumberFormat="1" applyFont="1" applyFill="1" applyAlignment="1">
      <alignment horizontal="center"/>
    </xf>
    <xf numFmtId="174" fontId="57" fillId="0" borderId="0" xfId="0" applyNumberFormat="1" applyFont="1" applyFill="1" applyBorder="1" applyAlignment="1" applyProtection="1">
      <alignment horizontal="left" vertical="top" wrapText="1"/>
    </xf>
    <xf numFmtId="174" fontId="57" fillId="0" borderId="22" xfId="0" applyFont="1" applyBorder="1" applyAlignment="1">
      <alignment horizontal="center" wrapText="1"/>
    </xf>
    <xf numFmtId="174" fontId="57" fillId="0" borderId="15" xfId="0" applyFont="1" applyBorder="1" applyAlignment="1">
      <alignment horizontal="center" wrapText="1"/>
    </xf>
    <xf numFmtId="174" fontId="57" fillId="0" borderId="17" xfId="0" applyFont="1" applyBorder="1" applyAlignment="1">
      <alignment horizontal="center"/>
    </xf>
    <xf numFmtId="174" fontId="57" fillId="0" borderId="1" xfId="0" applyFont="1" applyBorder="1" applyAlignment="1">
      <alignment horizontal="center"/>
    </xf>
    <xf numFmtId="174" fontId="57" fillId="0" borderId="21" xfId="0" applyFont="1" applyBorder="1" applyAlignment="1">
      <alignment horizontal="center"/>
    </xf>
    <xf numFmtId="174" fontId="57" fillId="0" borderId="19" xfId="0" applyFont="1" applyFill="1" applyBorder="1" applyAlignment="1">
      <alignment horizontal="center"/>
    </xf>
    <xf numFmtId="174" fontId="57" fillId="0" borderId="20" xfId="0" applyFont="1" applyFill="1" applyBorder="1" applyAlignment="1">
      <alignment horizontal="center"/>
    </xf>
    <xf numFmtId="174" fontId="57" fillId="0" borderId="0" xfId="0" applyFont="1" applyAlignment="1">
      <alignment horizontal="left" vertical="top" wrapText="1"/>
    </xf>
    <xf numFmtId="174" fontId="64" fillId="0" borderId="0" xfId="0" applyFont="1" applyAlignment="1">
      <alignment horizontal="center"/>
    </xf>
    <xf numFmtId="0" fontId="64" fillId="0" borderId="0" xfId="211" applyFont="1" applyAlignment="1">
      <alignment horizontal="center"/>
    </xf>
    <xf numFmtId="0" fontId="64" fillId="0" borderId="0" xfId="211" applyFont="1" applyFill="1" applyAlignment="1">
      <alignment horizontal="center" wrapText="1"/>
    </xf>
    <xf numFmtId="0" fontId="64" fillId="0" borderId="0" xfId="211" applyFont="1" applyAlignment="1">
      <alignment horizontal="center" wrapText="1"/>
    </xf>
    <xf numFmtId="0" fontId="57" fillId="0" borderId="0" xfId="201" applyNumberFormat="1" applyFont="1" applyFill="1" applyBorder="1" applyAlignment="1" applyProtection="1">
      <alignment horizontal="center"/>
      <protection locked="0"/>
    </xf>
    <xf numFmtId="0" fontId="57" fillId="0" borderId="0" xfId="211" applyFont="1" applyAlignment="1">
      <alignment horizontal="center"/>
    </xf>
    <xf numFmtId="0" fontId="57" fillId="0" borderId="0" xfId="210" applyNumberFormat="1" applyFont="1" applyFill="1" applyAlignment="1">
      <alignment horizontal="center"/>
    </xf>
    <xf numFmtId="0" fontId="57" fillId="0" borderId="0" xfId="188" applyNumberFormat="1" applyFont="1" applyFill="1" applyAlignment="1">
      <alignment horizontal="left" vertical="top" wrapText="1"/>
    </xf>
    <xf numFmtId="0" fontId="133" fillId="0" borderId="0" xfId="1494" applyFont="1" applyAlignment="1">
      <alignment horizontal="center"/>
    </xf>
    <xf numFmtId="0" fontId="42" fillId="0" borderId="1" xfId="1501" applyFont="1" applyBorder="1" applyAlignment="1">
      <alignment horizontal="center"/>
    </xf>
    <xf numFmtId="0" fontId="42" fillId="0" borderId="1" xfId="1501" applyFont="1" applyBorder="1" applyAlignment="1"/>
    <xf numFmtId="0" fontId="133" fillId="0" borderId="0" xfId="187" applyFont="1" applyAlignment="1">
      <alignment horizontal="center"/>
    </xf>
    <xf numFmtId="0" fontId="42" fillId="0" borderId="0" xfId="1501" applyFont="1" applyBorder="1" applyAlignment="1">
      <alignment horizontal="center"/>
    </xf>
    <xf numFmtId="0" fontId="42" fillId="16" borderId="1" xfId="1496" applyFont="1" applyFill="1" applyBorder="1" applyAlignment="1">
      <alignment horizontal="center"/>
    </xf>
    <xf numFmtId="0" fontId="42" fillId="16" borderId="1" xfId="1496" applyFont="1" applyFill="1" applyBorder="1"/>
    <xf numFmtId="0" fontId="42" fillId="40" borderId="1" xfId="1496" applyFont="1" applyFill="1" applyBorder="1" applyAlignment="1">
      <alignment horizontal="center"/>
    </xf>
    <xf numFmtId="0" fontId="42" fillId="40" borderId="1" xfId="1496" applyFont="1" applyFill="1" applyBorder="1"/>
    <xf numFmtId="0" fontId="42" fillId="0" borderId="19" xfId="1501" applyFont="1" applyBorder="1" applyAlignment="1">
      <alignment horizontal="center" vertical="center"/>
    </xf>
    <xf numFmtId="0" fontId="42" fillId="0" borderId="3" xfId="1501" applyFont="1" applyBorder="1" applyAlignment="1">
      <alignment horizontal="center" vertical="center"/>
    </xf>
    <xf numFmtId="0" fontId="42" fillId="0" borderId="20" xfId="1501" applyFont="1" applyBorder="1" applyAlignment="1">
      <alignment horizontal="center" vertical="center"/>
    </xf>
    <xf numFmtId="0" fontId="42" fillId="0" borderId="16" xfId="1501" applyFont="1" applyBorder="1" applyAlignment="1">
      <alignment horizontal="center" vertical="center"/>
    </xf>
    <xf numFmtId="0" fontId="42" fillId="0" borderId="7" xfId="1501" applyFont="1" applyBorder="1" applyAlignment="1">
      <alignment horizontal="center" vertical="center"/>
    </xf>
    <xf numFmtId="0" fontId="42" fillId="0" borderId="34" xfId="1501" applyFont="1" applyBorder="1" applyAlignment="1">
      <alignment horizontal="center" vertical="center"/>
    </xf>
    <xf numFmtId="37" fontId="135" fillId="0" borderId="1" xfId="1495" applyNumberFormat="1" applyFont="1" applyFill="1" applyBorder="1" applyAlignment="1">
      <alignment horizontal="center" vertical="top"/>
    </xf>
    <xf numFmtId="0" fontId="17" fillId="16" borderId="16" xfId="1495" applyFont="1" applyFill="1" applyBorder="1" applyAlignment="1">
      <alignment horizontal="left"/>
    </xf>
    <xf numFmtId="0" fontId="17" fillId="16" borderId="7" xfId="1495" applyFont="1" applyFill="1" applyBorder="1" applyAlignment="1">
      <alignment horizontal="left"/>
    </xf>
    <xf numFmtId="0" fontId="17" fillId="16" borderId="34" xfId="1495" applyFont="1" applyFill="1" applyBorder="1" applyAlignment="1">
      <alignment horizontal="left"/>
    </xf>
    <xf numFmtId="37" fontId="42" fillId="0" borderId="0" xfId="1495" applyNumberFormat="1" applyFont="1" applyFill="1" applyBorder="1" applyAlignment="1">
      <alignment horizontal="center" vertical="top"/>
    </xf>
    <xf numFmtId="0" fontId="17" fillId="0" borderId="7" xfId="1495" applyFont="1" applyFill="1" applyBorder="1" applyAlignment="1">
      <alignment horizontal="center"/>
    </xf>
    <xf numFmtId="0" fontId="17" fillId="16" borderId="9" xfId="1495" applyFill="1" applyBorder="1" applyAlignment="1">
      <alignment horizontal="left"/>
    </xf>
    <xf numFmtId="174" fontId="57" fillId="0" borderId="0" xfId="0" applyFont="1" applyFill="1" applyAlignment="1">
      <alignment horizontal="left" vertical="top"/>
    </xf>
    <xf numFmtId="174" fontId="57" fillId="0" borderId="0" xfId="0" applyFont="1" applyAlignment="1">
      <alignment horizontal="center"/>
    </xf>
    <xf numFmtId="174" fontId="57" fillId="0" borderId="0" xfId="201" quotePrefix="1" applyFont="1" applyBorder="1" applyAlignment="1">
      <alignment horizontal="left" wrapText="1"/>
    </xf>
    <xf numFmtId="174" fontId="57" fillId="0" borderId="0" xfId="201" applyFont="1" applyFill="1" applyAlignment="1">
      <alignment horizontal="left" wrapText="1"/>
    </xf>
    <xf numFmtId="174" fontId="57" fillId="0" borderId="0" xfId="201" applyFont="1" applyAlignment="1">
      <alignment horizontal="center"/>
    </xf>
    <xf numFmtId="0" fontId="57" fillId="0" borderId="0" xfId="187" applyFont="1" applyFill="1" applyAlignment="1">
      <alignment horizontal="left" vertical="top" wrapText="1"/>
    </xf>
    <xf numFmtId="0" fontId="57" fillId="0" borderId="0" xfId="187" applyFont="1" applyFill="1" applyAlignment="1">
      <alignment horizontal="center"/>
    </xf>
    <xf numFmtId="0" fontId="57" fillId="0" borderId="0" xfId="187" applyFont="1" applyFill="1" applyAlignment="1">
      <alignment horizontal="left" wrapText="1"/>
    </xf>
    <xf numFmtId="0" fontId="88" fillId="0" borderId="0" xfId="187" applyFont="1" applyFill="1" applyBorder="1" applyAlignment="1">
      <alignment horizontal="center"/>
    </xf>
    <xf numFmtId="0" fontId="57" fillId="0" borderId="0" xfId="187" applyFont="1" applyFill="1" applyBorder="1" applyAlignment="1">
      <alignment horizontal="left"/>
    </xf>
    <xf numFmtId="2" fontId="57" fillId="0" borderId="0" xfId="0" applyNumberFormat="1" applyFont="1" applyAlignment="1">
      <alignment horizontal="left" vertical="top" wrapText="1"/>
    </xf>
    <xf numFmtId="0" fontId="64" fillId="0" borderId="0" xfId="365" applyFont="1" applyAlignment="1">
      <alignment horizontal="center"/>
    </xf>
    <xf numFmtId="0" fontId="57" fillId="0" borderId="0" xfId="0" applyNumberFormat="1" applyFont="1" applyAlignment="1">
      <alignment horizontal="center"/>
    </xf>
    <xf numFmtId="10" fontId="57" fillId="0" borderId="0" xfId="265" applyNumberFormat="1" applyFont="1" applyFill="1" applyAlignment="1">
      <alignment horizontal="center"/>
    </xf>
    <xf numFmtId="174" fontId="47" fillId="0" borderId="0" xfId="0" applyFont="1" applyAlignment="1">
      <alignment horizontal="left" vertical="top" wrapText="1"/>
    </xf>
  </cellXfs>
  <cellStyles count="1504">
    <cellStyle name="¢ Currency [1]" xfId="2" xr:uid="{00000000-0005-0000-0000-000000000000}"/>
    <cellStyle name="¢ Currency [2]" xfId="3" xr:uid="{00000000-0005-0000-0000-000001000000}"/>
    <cellStyle name="¢ Currency [3]" xfId="4" xr:uid="{00000000-0005-0000-0000-000002000000}"/>
    <cellStyle name="£ Currency [0]" xfId="5" xr:uid="{00000000-0005-0000-0000-000003000000}"/>
    <cellStyle name="£ Currency [1]" xfId="6" xr:uid="{00000000-0005-0000-0000-000004000000}"/>
    <cellStyle name="£ Currency [2]" xfId="7" xr:uid="{00000000-0005-0000-0000-000005000000}"/>
    <cellStyle name="=C:\WINNT35\SYSTEM32\COMMAND.COM" xfId="1" xr:uid="{00000000-0005-0000-0000-000006000000}"/>
    <cellStyle name="20% - Accent1 2" xfId="557" xr:uid="{00000000-0005-0000-0000-000007000000}"/>
    <cellStyle name="20% - Accent2 2" xfId="558" xr:uid="{00000000-0005-0000-0000-000008000000}"/>
    <cellStyle name="20% - Accent3 2" xfId="559" xr:uid="{00000000-0005-0000-0000-000009000000}"/>
    <cellStyle name="20% - Accent4 2" xfId="560" xr:uid="{00000000-0005-0000-0000-00000A000000}"/>
    <cellStyle name="20% - Accent5 2" xfId="561" xr:uid="{00000000-0005-0000-0000-00000B000000}"/>
    <cellStyle name="20% - Accent6 2" xfId="562" xr:uid="{00000000-0005-0000-0000-00000C000000}"/>
    <cellStyle name="40% - Accent1 2" xfId="563" xr:uid="{00000000-0005-0000-0000-00000D000000}"/>
    <cellStyle name="40% - Accent2 2" xfId="564" xr:uid="{00000000-0005-0000-0000-00000E000000}"/>
    <cellStyle name="40% - Accent3 2" xfId="565" xr:uid="{00000000-0005-0000-0000-00000F000000}"/>
    <cellStyle name="40% - Accent4 2" xfId="566" xr:uid="{00000000-0005-0000-0000-000010000000}"/>
    <cellStyle name="40% - Accent5 2" xfId="567" xr:uid="{00000000-0005-0000-0000-000011000000}"/>
    <cellStyle name="40% - Accent6 2" xfId="568" xr:uid="{00000000-0005-0000-0000-000012000000}"/>
    <cellStyle name="60% - Accent1 2" xfId="569" xr:uid="{00000000-0005-0000-0000-000013000000}"/>
    <cellStyle name="60% - Accent2 2" xfId="570" xr:uid="{00000000-0005-0000-0000-000014000000}"/>
    <cellStyle name="60% - Accent3 2" xfId="571" xr:uid="{00000000-0005-0000-0000-000015000000}"/>
    <cellStyle name="60% - Accent4 2" xfId="572" xr:uid="{00000000-0005-0000-0000-000016000000}"/>
    <cellStyle name="60% - Accent5 2" xfId="573" xr:uid="{00000000-0005-0000-0000-000017000000}"/>
    <cellStyle name="60% - Accent6 2" xfId="574" xr:uid="{00000000-0005-0000-0000-000018000000}"/>
    <cellStyle name="Accent1 2" xfId="575" xr:uid="{00000000-0005-0000-0000-000019000000}"/>
    <cellStyle name="Accent2 2" xfId="576" xr:uid="{00000000-0005-0000-0000-00001A000000}"/>
    <cellStyle name="Accent3 2" xfId="577" xr:uid="{00000000-0005-0000-0000-00001B000000}"/>
    <cellStyle name="Accent4 2" xfId="578" xr:uid="{00000000-0005-0000-0000-00001C000000}"/>
    <cellStyle name="Accent5 2" xfId="579" xr:uid="{00000000-0005-0000-0000-00001D000000}"/>
    <cellStyle name="Accent6 2" xfId="580" xr:uid="{00000000-0005-0000-0000-00001E000000}"/>
    <cellStyle name="Bad 2" xfId="581" xr:uid="{00000000-0005-0000-0000-00001F000000}"/>
    <cellStyle name="Basic" xfId="8" xr:uid="{00000000-0005-0000-0000-000020000000}"/>
    <cellStyle name="black" xfId="9" xr:uid="{00000000-0005-0000-0000-000021000000}"/>
    <cellStyle name="blu" xfId="10" xr:uid="{00000000-0005-0000-0000-000022000000}"/>
    <cellStyle name="bot" xfId="11" xr:uid="{00000000-0005-0000-0000-000023000000}"/>
    <cellStyle name="Bullet" xfId="12" xr:uid="{00000000-0005-0000-0000-000024000000}"/>
    <cellStyle name="Bullet [0]" xfId="13" xr:uid="{00000000-0005-0000-0000-000025000000}"/>
    <cellStyle name="Bullet [2]" xfId="14" xr:uid="{00000000-0005-0000-0000-000026000000}"/>
    <cellStyle name="Bullet [4]" xfId="15" xr:uid="{00000000-0005-0000-0000-000027000000}"/>
    <cellStyle name="c" xfId="16" xr:uid="{00000000-0005-0000-0000-000028000000}"/>
    <cellStyle name="c," xfId="17" xr:uid="{00000000-0005-0000-0000-000029000000}"/>
    <cellStyle name="c_HardInc " xfId="18" xr:uid="{00000000-0005-0000-0000-00002A000000}"/>
    <cellStyle name="c_HardInc _ITC Great Plains Formula 1-12-09a" xfId="19" xr:uid="{00000000-0005-0000-0000-00002B000000}"/>
    <cellStyle name="C00A" xfId="20" xr:uid="{00000000-0005-0000-0000-00002C000000}"/>
    <cellStyle name="C00B" xfId="21" xr:uid="{00000000-0005-0000-0000-00002D000000}"/>
    <cellStyle name="C00L" xfId="22" xr:uid="{00000000-0005-0000-0000-00002E000000}"/>
    <cellStyle name="C01A" xfId="23" xr:uid="{00000000-0005-0000-0000-00002F000000}"/>
    <cellStyle name="C01B" xfId="24" xr:uid="{00000000-0005-0000-0000-000030000000}"/>
    <cellStyle name="C01H" xfId="25" xr:uid="{00000000-0005-0000-0000-000031000000}"/>
    <cellStyle name="C01L" xfId="26" xr:uid="{00000000-0005-0000-0000-000032000000}"/>
    <cellStyle name="C02A" xfId="27" xr:uid="{00000000-0005-0000-0000-000033000000}"/>
    <cellStyle name="C02B" xfId="28" xr:uid="{00000000-0005-0000-0000-000034000000}"/>
    <cellStyle name="C02H" xfId="29" xr:uid="{00000000-0005-0000-0000-000035000000}"/>
    <cellStyle name="C02L" xfId="30" xr:uid="{00000000-0005-0000-0000-000036000000}"/>
    <cellStyle name="C03A" xfId="31" xr:uid="{00000000-0005-0000-0000-000037000000}"/>
    <cellStyle name="C03B" xfId="32" xr:uid="{00000000-0005-0000-0000-000038000000}"/>
    <cellStyle name="C03H" xfId="33" xr:uid="{00000000-0005-0000-0000-000039000000}"/>
    <cellStyle name="C03L" xfId="34" xr:uid="{00000000-0005-0000-0000-00003A000000}"/>
    <cellStyle name="C04A" xfId="35" xr:uid="{00000000-0005-0000-0000-00003B000000}"/>
    <cellStyle name="C04B" xfId="36" xr:uid="{00000000-0005-0000-0000-00003C000000}"/>
    <cellStyle name="C04H" xfId="37" xr:uid="{00000000-0005-0000-0000-00003D000000}"/>
    <cellStyle name="C04L" xfId="38" xr:uid="{00000000-0005-0000-0000-00003E000000}"/>
    <cellStyle name="C05A" xfId="39" xr:uid="{00000000-0005-0000-0000-00003F000000}"/>
    <cellStyle name="C05B" xfId="40" xr:uid="{00000000-0005-0000-0000-000040000000}"/>
    <cellStyle name="C05H" xfId="41" xr:uid="{00000000-0005-0000-0000-000041000000}"/>
    <cellStyle name="C05L" xfId="42" xr:uid="{00000000-0005-0000-0000-000042000000}"/>
    <cellStyle name="C05L 2" xfId="43" xr:uid="{00000000-0005-0000-0000-000043000000}"/>
    <cellStyle name="C06A" xfId="44" xr:uid="{00000000-0005-0000-0000-000044000000}"/>
    <cellStyle name="C06B" xfId="45" xr:uid="{00000000-0005-0000-0000-000045000000}"/>
    <cellStyle name="C06H" xfId="46" xr:uid="{00000000-0005-0000-0000-000046000000}"/>
    <cellStyle name="C06L" xfId="47" xr:uid="{00000000-0005-0000-0000-000047000000}"/>
    <cellStyle name="C07A" xfId="48" xr:uid="{00000000-0005-0000-0000-000048000000}"/>
    <cellStyle name="C07B" xfId="49" xr:uid="{00000000-0005-0000-0000-000049000000}"/>
    <cellStyle name="C07H" xfId="50" xr:uid="{00000000-0005-0000-0000-00004A000000}"/>
    <cellStyle name="C07L" xfId="51" xr:uid="{00000000-0005-0000-0000-00004B000000}"/>
    <cellStyle name="c1" xfId="52" xr:uid="{00000000-0005-0000-0000-00004C000000}"/>
    <cellStyle name="c1," xfId="53" xr:uid="{00000000-0005-0000-0000-00004D000000}"/>
    <cellStyle name="c2" xfId="54" xr:uid="{00000000-0005-0000-0000-00004E000000}"/>
    <cellStyle name="c2," xfId="55" xr:uid="{00000000-0005-0000-0000-00004F000000}"/>
    <cellStyle name="c3" xfId="56" xr:uid="{00000000-0005-0000-0000-000050000000}"/>
    <cellStyle name="Calculation 2" xfId="582" xr:uid="{00000000-0005-0000-0000-000051000000}"/>
    <cellStyle name="cas" xfId="57" xr:uid="{00000000-0005-0000-0000-000052000000}"/>
    <cellStyle name="Centered Heading" xfId="58" xr:uid="{00000000-0005-0000-0000-000053000000}"/>
    <cellStyle name="Check Cell 2" xfId="583" xr:uid="{00000000-0005-0000-0000-000054000000}"/>
    <cellStyle name="Comma" xfId="59" builtinId="3"/>
    <cellStyle name="Comma  - Style1" xfId="60" xr:uid="{00000000-0005-0000-0000-000056000000}"/>
    <cellStyle name="Comma  - Style2" xfId="61" xr:uid="{00000000-0005-0000-0000-000057000000}"/>
    <cellStyle name="Comma  - Style3" xfId="62" xr:uid="{00000000-0005-0000-0000-000058000000}"/>
    <cellStyle name="Comma  - Style4" xfId="63" xr:uid="{00000000-0005-0000-0000-000059000000}"/>
    <cellStyle name="Comma  - Style5" xfId="64" xr:uid="{00000000-0005-0000-0000-00005A000000}"/>
    <cellStyle name="Comma  - Style6" xfId="65" xr:uid="{00000000-0005-0000-0000-00005B000000}"/>
    <cellStyle name="Comma  - Style7" xfId="66" xr:uid="{00000000-0005-0000-0000-00005C000000}"/>
    <cellStyle name="Comma  - Style8" xfId="67" xr:uid="{00000000-0005-0000-0000-00005D000000}"/>
    <cellStyle name="Comma [0]" xfId="1503" builtinId="6"/>
    <cellStyle name="Comma [0] 2" xfId="68" xr:uid="{00000000-0005-0000-0000-00005E000000}"/>
    <cellStyle name="Comma [0] 2 2" xfId="1497" xr:uid="{00000000-0005-0000-0000-00005F000000}"/>
    <cellStyle name="Comma [0] 2 2 2" xfId="1502" xr:uid="{00000000-0005-0000-0000-000060000000}"/>
    <cellStyle name="Comma [0] 3" xfId="1500" xr:uid="{00000000-0005-0000-0000-000061000000}"/>
    <cellStyle name="Comma [1]" xfId="69" xr:uid="{00000000-0005-0000-0000-000062000000}"/>
    <cellStyle name="Comma [2]" xfId="70" xr:uid="{00000000-0005-0000-0000-000063000000}"/>
    <cellStyle name="Comma [3]" xfId="71" xr:uid="{00000000-0005-0000-0000-000064000000}"/>
    <cellStyle name="Comma 0.0" xfId="72" xr:uid="{00000000-0005-0000-0000-000065000000}"/>
    <cellStyle name="Comma 0.00" xfId="73" xr:uid="{00000000-0005-0000-0000-000066000000}"/>
    <cellStyle name="Comma 0.000" xfId="74" xr:uid="{00000000-0005-0000-0000-000067000000}"/>
    <cellStyle name="Comma 0.0000" xfId="75" xr:uid="{00000000-0005-0000-0000-000068000000}"/>
    <cellStyle name="Comma 10" xfId="76" xr:uid="{00000000-0005-0000-0000-000069000000}"/>
    <cellStyle name="Comma 10 2" xfId="587" xr:uid="{00000000-0005-0000-0000-00006A000000}"/>
    <cellStyle name="Comma 11" xfId="77" xr:uid="{00000000-0005-0000-0000-00006B000000}"/>
    <cellStyle name="Comma 11 2" xfId="588" xr:uid="{00000000-0005-0000-0000-00006C000000}"/>
    <cellStyle name="Comma 12" xfId="553" xr:uid="{00000000-0005-0000-0000-00006D000000}"/>
    <cellStyle name="Comma 13" xfId="552" xr:uid="{00000000-0005-0000-0000-00006E000000}"/>
    <cellStyle name="Comma 14" xfId="551" xr:uid="{00000000-0005-0000-0000-00006F000000}"/>
    <cellStyle name="Comma 15" xfId="550" xr:uid="{00000000-0005-0000-0000-000070000000}"/>
    <cellStyle name="Comma 16" xfId="549" xr:uid="{00000000-0005-0000-0000-000071000000}"/>
    <cellStyle name="Comma 17" xfId="548" xr:uid="{00000000-0005-0000-0000-000072000000}"/>
    <cellStyle name="Comma 18" xfId="547" xr:uid="{00000000-0005-0000-0000-000073000000}"/>
    <cellStyle name="Comma 19" xfId="546" xr:uid="{00000000-0005-0000-0000-000074000000}"/>
    <cellStyle name="Comma 2" xfId="78" xr:uid="{00000000-0005-0000-0000-000075000000}"/>
    <cellStyle name="Comma 2 2" xfId="79" xr:uid="{00000000-0005-0000-0000-000076000000}"/>
    <cellStyle name="Comma 2 3" xfId="545" xr:uid="{00000000-0005-0000-0000-000077000000}"/>
    <cellStyle name="Comma 2 4" xfId="593" xr:uid="{00000000-0005-0000-0000-000078000000}"/>
    <cellStyle name="Comma 20" xfId="544" xr:uid="{00000000-0005-0000-0000-000079000000}"/>
    <cellStyle name="Comma 21" xfId="543" xr:uid="{00000000-0005-0000-0000-00007A000000}"/>
    <cellStyle name="Comma 22" xfId="542" xr:uid="{00000000-0005-0000-0000-00007B000000}"/>
    <cellStyle name="Comma 23" xfId="541" xr:uid="{00000000-0005-0000-0000-00007C000000}"/>
    <cellStyle name="Comma 24" xfId="540" xr:uid="{00000000-0005-0000-0000-00007D000000}"/>
    <cellStyle name="Comma 25" xfId="539" xr:uid="{00000000-0005-0000-0000-00007E000000}"/>
    <cellStyle name="Comma 26" xfId="538" xr:uid="{00000000-0005-0000-0000-00007F000000}"/>
    <cellStyle name="Comma 27" xfId="537" xr:uid="{00000000-0005-0000-0000-000080000000}"/>
    <cellStyle name="Comma 28" xfId="536" xr:uid="{00000000-0005-0000-0000-000081000000}"/>
    <cellStyle name="Comma 29" xfId="535" xr:uid="{00000000-0005-0000-0000-000082000000}"/>
    <cellStyle name="Comma 3" xfId="80" xr:uid="{00000000-0005-0000-0000-000083000000}"/>
    <cellStyle name="Comma 3 2" xfId="81" xr:uid="{00000000-0005-0000-0000-000084000000}"/>
    <cellStyle name="Comma 3 2 2" xfId="534" xr:uid="{00000000-0005-0000-0000-000085000000}"/>
    <cellStyle name="Comma 3 2 2 2" xfId="599" xr:uid="{00000000-0005-0000-0000-000086000000}"/>
    <cellStyle name="Comma 3 2 2 2 2" xfId="730" xr:uid="{00000000-0005-0000-0000-000087000000}"/>
    <cellStyle name="Comma 3 2 2 2 2 2" xfId="958" xr:uid="{00000000-0005-0000-0000-000088000000}"/>
    <cellStyle name="Comma 3 2 2 2 2 2 2" xfId="1391" xr:uid="{00000000-0005-0000-0000-000089000000}"/>
    <cellStyle name="Comma 3 2 2 2 2 3" xfId="1175" xr:uid="{00000000-0005-0000-0000-00008A000000}"/>
    <cellStyle name="Comma 3 2 2 2 3" xfId="814" xr:uid="{00000000-0005-0000-0000-00008B000000}"/>
    <cellStyle name="Comma 3 2 2 2 3 2" xfId="1030" xr:uid="{00000000-0005-0000-0000-00008C000000}"/>
    <cellStyle name="Comma 3 2 2 2 3 2 2" xfId="1463" xr:uid="{00000000-0005-0000-0000-00008D000000}"/>
    <cellStyle name="Comma 3 2 2 2 3 3" xfId="1247" xr:uid="{00000000-0005-0000-0000-00008E000000}"/>
    <cellStyle name="Comma 3 2 2 2 4" xfId="886" xr:uid="{00000000-0005-0000-0000-00008F000000}"/>
    <cellStyle name="Comma 3 2 2 2 4 2" xfId="1319" xr:uid="{00000000-0005-0000-0000-000090000000}"/>
    <cellStyle name="Comma 3 2 2 2 5" xfId="1103" xr:uid="{00000000-0005-0000-0000-000091000000}"/>
    <cellStyle name="Comma 3 2 2 3" xfId="627" xr:uid="{00000000-0005-0000-0000-000092000000}"/>
    <cellStyle name="Comma 3 2 2 3 2" xfId="736" xr:uid="{00000000-0005-0000-0000-000093000000}"/>
    <cellStyle name="Comma 3 2 2 3 2 2" xfId="964" xr:uid="{00000000-0005-0000-0000-000094000000}"/>
    <cellStyle name="Comma 3 2 2 3 2 2 2" xfId="1397" xr:uid="{00000000-0005-0000-0000-000095000000}"/>
    <cellStyle name="Comma 3 2 2 3 2 3" xfId="1181" xr:uid="{00000000-0005-0000-0000-000096000000}"/>
    <cellStyle name="Comma 3 2 2 3 3" xfId="820" xr:uid="{00000000-0005-0000-0000-000097000000}"/>
    <cellStyle name="Comma 3 2 2 3 3 2" xfId="1036" xr:uid="{00000000-0005-0000-0000-000098000000}"/>
    <cellStyle name="Comma 3 2 2 3 3 2 2" xfId="1469" xr:uid="{00000000-0005-0000-0000-000099000000}"/>
    <cellStyle name="Comma 3 2 2 3 3 3" xfId="1253" xr:uid="{00000000-0005-0000-0000-00009A000000}"/>
    <cellStyle name="Comma 3 2 2 3 4" xfId="892" xr:uid="{00000000-0005-0000-0000-00009B000000}"/>
    <cellStyle name="Comma 3 2 2 3 4 2" xfId="1325" xr:uid="{00000000-0005-0000-0000-00009C000000}"/>
    <cellStyle name="Comma 3 2 2 3 5" xfId="1109" xr:uid="{00000000-0005-0000-0000-00009D000000}"/>
    <cellStyle name="Comma 3 2 2 4" xfId="665" xr:uid="{00000000-0005-0000-0000-00009E000000}"/>
    <cellStyle name="Comma 3 2 2 4 2" xfId="767" xr:uid="{00000000-0005-0000-0000-00009F000000}"/>
    <cellStyle name="Comma 3 2 2 4 2 2" xfId="983" xr:uid="{00000000-0005-0000-0000-0000A0000000}"/>
    <cellStyle name="Comma 3 2 2 4 2 2 2" xfId="1416" xr:uid="{00000000-0005-0000-0000-0000A1000000}"/>
    <cellStyle name="Comma 3 2 2 4 2 3" xfId="1200" xr:uid="{00000000-0005-0000-0000-0000A2000000}"/>
    <cellStyle name="Comma 3 2 2 4 3" xfId="839" xr:uid="{00000000-0005-0000-0000-0000A3000000}"/>
    <cellStyle name="Comma 3 2 2 4 3 2" xfId="1055" xr:uid="{00000000-0005-0000-0000-0000A4000000}"/>
    <cellStyle name="Comma 3 2 2 4 3 2 2" xfId="1488" xr:uid="{00000000-0005-0000-0000-0000A5000000}"/>
    <cellStyle name="Comma 3 2 2 4 3 3" xfId="1272" xr:uid="{00000000-0005-0000-0000-0000A6000000}"/>
    <cellStyle name="Comma 3 2 2 4 4" xfId="911" xr:uid="{00000000-0005-0000-0000-0000A7000000}"/>
    <cellStyle name="Comma 3 2 2 4 4 2" xfId="1344" xr:uid="{00000000-0005-0000-0000-0000A8000000}"/>
    <cellStyle name="Comma 3 2 2 4 5" xfId="1128" xr:uid="{00000000-0005-0000-0000-0000A9000000}"/>
    <cellStyle name="Comma 3 2 2 5" xfId="729" xr:uid="{00000000-0005-0000-0000-0000AA000000}"/>
    <cellStyle name="Comma 3 2 2 5 2" xfId="957" xr:uid="{00000000-0005-0000-0000-0000AB000000}"/>
    <cellStyle name="Comma 3 2 2 5 2 2" xfId="1390" xr:uid="{00000000-0005-0000-0000-0000AC000000}"/>
    <cellStyle name="Comma 3 2 2 5 3" xfId="1174" xr:uid="{00000000-0005-0000-0000-0000AD000000}"/>
    <cellStyle name="Comma 3 2 2 6" xfId="813" xr:uid="{00000000-0005-0000-0000-0000AE000000}"/>
    <cellStyle name="Comma 3 2 2 6 2" xfId="1029" xr:uid="{00000000-0005-0000-0000-0000AF000000}"/>
    <cellStyle name="Comma 3 2 2 6 2 2" xfId="1462" xr:uid="{00000000-0005-0000-0000-0000B0000000}"/>
    <cellStyle name="Comma 3 2 2 6 3" xfId="1246" xr:uid="{00000000-0005-0000-0000-0000B1000000}"/>
    <cellStyle name="Comma 3 2 2 7" xfId="885" xr:uid="{00000000-0005-0000-0000-0000B2000000}"/>
    <cellStyle name="Comma 3 2 2 7 2" xfId="1318" xr:uid="{00000000-0005-0000-0000-0000B3000000}"/>
    <cellStyle name="Comma 3 2 2 8" xfId="1102" xr:uid="{00000000-0005-0000-0000-0000B4000000}"/>
    <cellStyle name="Comma 3 3" xfId="585" xr:uid="{00000000-0005-0000-0000-0000B5000000}"/>
    <cellStyle name="Comma 3 4" xfId="586" xr:uid="{00000000-0005-0000-0000-0000B6000000}"/>
    <cellStyle name="Comma 3 5" xfId="639" xr:uid="{00000000-0005-0000-0000-0000B7000000}"/>
    <cellStyle name="Comma 3 5 2" xfId="745" xr:uid="{00000000-0005-0000-0000-0000B8000000}"/>
    <cellStyle name="Comma 30" xfId="533" xr:uid="{00000000-0005-0000-0000-0000B9000000}"/>
    <cellStyle name="Comma 31" xfId="532" xr:uid="{00000000-0005-0000-0000-0000BA000000}"/>
    <cellStyle name="Comma 32" xfId="531" xr:uid="{00000000-0005-0000-0000-0000BB000000}"/>
    <cellStyle name="Comma 33" xfId="530" xr:uid="{00000000-0005-0000-0000-0000BC000000}"/>
    <cellStyle name="Comma 34" xfId="529" xr:uid="{00000000-0005-0000-0000-0000BD000000}"/>
    <cellStyle name="Comma 35" xfId="528" xr:uid="{00000000-0005-0000-0000-0000BE000000}"/>
    <cellStyle name="Comma 36" xfId="527" xr:uid="{00000000-0005-0000-0000-0000BF000000}"/>
    <cellStyle name="Comma 37" xfId="526" xr:uid="{00000000-0005-0000-0000-0000C0000000}"/>
    <cellStyle name="Comma 38" xfId="525" xr:uid="{00000000-0005-0000-0000-0000C1000000}"/>
    <cellStyle name="Comma 39" xfId="524" xr:uid="{00000000-0005-0000-0000-0000C2000000}"/>
    <cellStyle name="Comma 4" xfId="82" xr:uid="{00000000-0005-0000-0000-0000C3000000}"/>
    <cellStyle name="Comma 4 2" xfId="523" xr:uid="{00000000-0005-0000-0000-0000C4000000}"/>
    <cellStyle name="Comma 4 3" xfId="522" xr:uid="{00000000-0005-0000-0000-0000C5000000}"/>
    <cellStyle name="Comma 4 3 2" xfId="603" xr:uid="{00000000-0005-0000-0000-0000C6000000}"/>
    <cellStyle name="Comma 4 3 2 2" xfId="731" xr:uid="{00000000-0005-0000-0000-0000C7000000}"/>
    <cellStyle name="Comma 4 3 2 2 2" xfId="959" xr:uid="{00000000-0005-0000-0000-0000C8000000}"/>
    <cellStyle name="Comma 4 3 2 2 2 2" xfId="1392" xr:uid="{00000000-0005-0000-0000-0000C9000000}"/>
    <cellStyle name="Comma 4 3 2 2 3" xfId="1176" xr:uid="{00000000-0005-0000-0000-0000CA000000}"/>
    <cellStyle name="Comma 4 3 2 3" xfId="815" xr:uid="{00000000-0005-0000-0000-0000CB000000}"/>
    <cellStyle name="Comma 4 3 2 3 2" xfId="1031" xr:uid="{00000000-0005-0000-0000-0000CC000000}"/>
    <cellStyle name="Comma 4 3 2 3 2 2" xfId="1464" xr:uid="{00000000-0005-0000-0000-0000CD000000}"/>
    <cellStyle name="Comma 4 3 2 3 3" xfId="1248" xr:uid="{00000000-0005-0000-0000-0000CE000000}"/>
    <cellStyle name="Comma 4 3 2 4" xfId="887" xr:uid="{00000000-0005-0000-0000-0000CF000000}"/>
    <cellStyle name="Comma 4 3 2 4 2" xfId="1320" xr:uid="{00000000-0005-0000-0000-0000D0000000}"/>
    <cellStyle name="Comma 4 3 2 5" xfId="1104" xr:uid="{00000000-0005-0000-0000-0000D1000000}"/>
    <cellStyle name="Comma 4 3 3" xfId="628" xr:uid="{00000000-0005-0000-0000-0000D2000000}"/>
    <cellStyle name="Comma 4 3 3 2" xfId="737" xr:uid="{00000000-0005-0000-0000-0000D3000000}"/>
    <cellStyle name="Comma 4 3 3 2 2" xfId="965" xr:uid="{00000000-0005-0000-0000-0000D4000000}"/>
    <cellStyle name="Comma 4 3 3 2 2 2" xfId="1398" xr:uid="{00000000-0005-0000-0000-0000D5000000}"/>
    <cellStyle name="Comma 4 3 3 2 3" xfId="1182" xr:uid="{00000000-0005-0000-0000-0000D6000000}"/>
    <cellStyle name="Comma 4 3 3 3" xfId="821" xr:uid="{00000000-0005-0000-0000-0000D7000000}"/>
    <cellStyle name="Comma 4 3 3 3 2" xfId="1037" xr:uid="{00000000-0005-0000-0000-0000D8000000}"/>
    <cellStyle name="Comma 4 3 3 3 2 2" xfId="1470" xr:uid="{00000000-0005-0000-0000-0000D9000000}"/>
    <cellStyle name="Comma 4 3 3 3 3" xfId="1254" xr:uid="{00000000-0005-0000-0000-0000DA000000}"/>
    <cellStyle name="Comma 4 3 3 4" xfId="893" xr:uid="{00000000-0005-0000-0000-0000DB000000}"/>
    <cellStyle name="Comma 4 3 3 4 2" xfId="1326" xr:uid="{00000000-0005-0000-0000-0000DC000000}"/>
    <cellStyle name="Comma 4 3 3 5" xfId="1110" xr:uid="{00000000-0005-0000-0000-0000DD000000}"/>
    <cellStyle name="Comma 4 3 4" xfId="668" xr:uid="{00000000-0005-0000-0000-0000DE000000}"/>
    <cellStyle name="Comma 4 3 4 2" xfId="768" xr:uid="{00000000-0005-0000-0000-0000DF000000}"/>
    <cellStyle name="Comma 4 3 4 2 2" xfId="984" xr:uid="{00000000-0005-0000-0000-0000E0000000}"/>
    <cellStyle name="Comma 4 3 4 2 2 2" xfId="1417" xr:uid="{00000000-0005-0000-0000-0000E1000000}"/>
    <cellStyle name="Comma 4 3 4 2 3" xfId="1201" xr:uid="{00000000-0005-0000-0000-0000E2000000}"/>
    <cellStyle name="Comma 4 3 4 3" xfId="840" xr:uid="{00000000-0005-0000-0000-0000E3000000}"/>
    <cellStyle name="Comma 4 3 4 3 2" xfId="1056" xr:uid="{00000000-0005-0000-0000-0000E4000000}"/>
    <cellStyle name="Comma 4 3 4 3 2 2" xfId="1489" xr:uid="{00000000-0005-0000-0000-0000E5000000}"/>
    <cellStyle name="Comma 4 3 4 3 3" xfId="1273" xr:uid="{00000000-0005-0000-0000-0000E6000000}"/>
    <cellStyle name="Comma 4 3 4 4" xfId="912" xr:uid="{00000000-0005-0000-0000-0000E7000000}"/>
    <cellStyle name="Comma 4 3 4 4 2" xfId="1345" xr:uid="{00000000-0005-0000-0000-0000E8000000}"/>
    <cellStyle name="Comma 4 3 4 5" xfId="1129" xr:uid="{00000000-0005-0000-0000-0000E9000000}"/>
    <cellStyle name="Comma 4 3 5" xfId="728" xr:uid="{00000000-0005-0000-0000-0000EA000000}"/>
    <cellStyle name="Comma 4 3 5 2" xfId="956" xr:uid="{00000000-0005-0000-0000-0000EB000000}"/>
    <cellStyle name="Comma 4 3 5 2 2" xfId="1389" xr:uid="{00000000-0005-0000-0000-0000EC000000}"/>
    <cellStyle name="Comma 4 3 5 3" xfId="1173" xr:uid="{00000000-0005-0000-0000-0000ED000000}"/>
    <cellStyle name="Comma 4 3 6" xfId="812" xr:uid="{00000000-0005-0000-0000-0000EE000000}"/>
    <cellStyle name="Comma 4 3 6 2" xfId="1028" xr:uid="{00000000-0005-0000-0000-0000EF000000}"/>
    <cellStyle name="Comma 4 3 6 2 2" xfId="1461" xr:uid="{00000000-0005-0000-0000-0000F0000000}"/>
    <cellStyle name="Comma 4 3 6 3" xfId="1245" xr:uid="{00000000-0005-0000-0000-0000F1000000}"/>
    <cellStyle name="Comma 4 3 7" xfId="884" xr:uid="{00000000-0005-0000-0000-0000F2000000}"/>
    <cellStyle name="Comma 4 3 7 2" xfId="1317" xr:uid="{00000000-0005-0000-0000-0000F3000000}"/>
    <cellStyle name="Comma 4 3 8" xfId="1101" xr:uid="{00000000-0005-0000-0000-0000F4000000}"/>
    <cellStyle name="Comma 40" xfId="521" xr:uid="{00000000-0005-0000-0000-0000F5000000}"/>
    <cellStyle name="Comma 41" xfId="520" xr:uid="{00000000-0005-0000-0000-0000F6000000}"/>
    <cellStyle name="Comma 42" xfId="519" xr:uid="{00000000-0005-0000-0000-0000F7000000}"/>
    <cellStyle name="Comma 43" xfId="518" xr:uid="{00000000-0005-0000-0000-0000F8000000}"/>
    <cellStyle name="Comma 44" xfId="517" xr:uid="{00000000-0005-0000-0000-0000F9000000}"/>
    <cellStyle name="Comma 45" xfId="516" xr:uid="{00000000-0005-0000-0000-0000FA000000}"/>
    <cellStyle name="Comma 46" xfId="515" xr:uid="{00000000-0005-0000-0000-0000FB000000}"/>
    <cellStyle name="Comma 47" xfId="514" xr:uid="{00000000-0005-0000-0000-0000FC000000}"/>
    <cellStyle name="Comma 48" xfId="513" xr:uid="{00000000-0005-0000-0000-0000FD000000}"/>
    <cellStyle name="Comma 49" xfId="512" xr:uid="{00000000-0005-0000-0000-0000FE000000}"/>
    <cellStyle name="Comma 5" xfId="83" xr:uid="{00000000-0005-0000-0000-0000FF000000}"/>
    <cellStyle name="Comma 50" xfId="511" xr:uid="{00000000-0005-0000-0000-000000010000}"/>
    <cellStyle name="Comma 51" xfId="510" xr:uid="{00000000-0005-0000-0000-000001010000}"/>
    <cellStyle name="Comma 52" xfId="509" xr:uid="{00000000-0005-0000-0000-000002010000}"/>
    <cellStyle name="Comma 53" xfId="508" xr:uid="{00000000-0005-0000-0000-000003010000}"/>
    <cellStyle name="Comma 54" xfId="507" xr:uid="{00000000-0005-0000-0000-000004010000}"/>
    <cellStyle name="Comma 55" xfId="506" xr:uid="{00000000-0005-0000-0000-000005010000}"/>
    <cellStyle name="Comma 56" xfId="505" xr:uid="{00000000-0005-0000-0000-000006010000}"/>
    <cellStyle name="Comma 57" xfId="504" xr:uid="{00000000-0005-0000-0000-000007010000}"/>
    <cellStyle name="Comma 58" xfId="503" xr:uid="{00000000-0005-0000-0000-000008010000}"/>
    <cellStyle name="Comma 59" xfId="502" xr:uid="{00000000-0005-0000-0000-000009010000}"/>
    <cellStyle name="Comma 6" xfId="84" xr:uid="{00000000-0005-0000-0000-00000A010000}"/>
    <cellStyle name="Comma 6 2" xfId="501" xr:uid="{00000000-0005-0000-0000-00000B010000}"/>
    <cellStyle name="Comma 6 3" xfId="609" xr:uid="{00000000-0005-0000-0000-00000C010000}"/>
    <cellStyle name="Comma 60" xfId="500" xr:uid="{00000000-0005-0000-0000-00000D010000}"/>
    <cellStyle name="Comma 61" xfId="499" xr:uid="{00000000-0005-0000-0000-00000E010000}"/>
    <cellStyle name="Comma 62" xfId="498" xr:uid="{00000000-0005-0000-0000-00000F010000}"/>
    <cellStyle name="Comma 63" xfId="497" xr:uid="{00000000-0005-0000-0000-000010010000}"/>
    <cellStyle name="Comma 64" xfId="496" xr:uid="{00000000-0005-0000-0000-000011010000}"/>
    <cellStyle name="Comma 65" xfId="495" xr:uid="{00000000-0005-0000-0000-000012010000}"/>
    <cellStyle name="Comma 66" xfId="494" xr:uid="{00000000-0005-0000-0000-000013010000}"/>
    <cellStyle name="Comma 67" xfId="493" xr:uid="{00000000-0005-0000-0000-000014010000}"/>
    <cellStyle name="Comma 68" xfId="492" xr:uid="{00000000-0005-0000-0000-000015010000}"/>
    <cellStyle name="Comma 69" xfId="491" xr:uid="{00000000-0005-0000-0000-000016010000}"/>
    <cellStyle name="Comma 7" xfId="85" xr:uid="{00000000-0005-0000-0000-000017010000}"/>
    <cellStyle name="Comma 70" xfId="490" xr:uid="{00000000-0005-0000-0000-000018010000}"/>
    <cellStyle name="Comma 71" xfId="489" xr:uid="{00000000-0005-0000-0000-000019010000}"/>
    <cellStyle name="Comma 72" xfId="488" xr:uid="{00000000-0005-0000-0000-00001A010000}"/>
    <cellStyle name="Comma 73" xfId="487" xr:uid="{00000000-0005-0000-0000-00001B010000}"/>
    <cellStyle name="Comma 74" xfId="486" xr:uid="{00000000-0005-0000-0000-00001C010000}"/>
    <cellStyle name="Comma 75" xfId="485" xr:uid="{00000000-0005-0000-0000-00001D010000}"/>
    <cellStyle name="Comma 76" xfId="484" xr:uid="{00000000-0005-0000-0000-00001E010000}"/>
    <cellStyle name="Comma 77" xfId="483" xr:uid="{00000000-0005-0000-0000-00001F010000}"/>
    <cellStyle name="Comma 78" xfId="482" xr:uid="{00000000-0005-0000-0000-000020010000}"/>
    <cellStyle name="Comma 79" xfId="481" xr:uid="{00000000-0005-0000-0000-000021010000}"/>
    <cellStyle name="Comma 8" xfId="86" xr:uid="{00000000-0005-0000-0000-000022010000}"/>
    <cellStyle name="Comma 8 2" xfId="87" xr:uid="{00000000-0005-0000-0000-000023010000}"/>
    <cellStyle name="Comma 8 2 2" xfId="364" xr:uid="{00000000-0005-0000-0000-000024010000}"/>
    <cellStyle name="Comma 8 3" xfId="610" xr:uid="{00000000-0005-0000-0000-000025010000}"/>
    <cellStyle name="Comma 80" xfId="480" xr:uid="{00000000-0005-0000-0000-000026010000}"/>
    <cellStyle name="Comma 81" xfId="479" xr:uid="{00000000-0005-0000-0000-000027010000}"/>
    <cellStyle name="Comma 82" xfId="478" xr:uid="{00000000-0005-0000-0000-000028010000}"/>
    <cellStyle name="Comma 83" xfId="477" xr:uid="{00000000-0005-0000-0000-000029010000}"/>
    <cellStyle name="Comma 84" xfId="638" xr:uid="{00000000-0005-0000-0000-00002A010000}"/>
    <cellStyle name="Comma 84 2" xfId="744" xr:uid="{00000000-0005-0000-0000-00002B010000}"/>
    <cellStyle name="Comma 85" xfId="643" xr:uid="{00000000-0005-0000-0000-00002C010000}"/>
    <cellStyle name="Comma 85 2" xfId="749" xr:uid="{00000000-0005-0000-0000-00002D010000}"/>
    <cellStyle name="Comma 9" xfId="88" xr:uid="{00000000-0005-0000-0000-00002E010000}"/>
    <cellStyle name="Comma 9 2" xfId="366" xr:uid="{00000000-0005-0000-0000-00002F010000}"/>
    <cellStyle name="Comma 9 3" xfId="611" xr:uid="{00000000-0005-0000-0000-000030010000}"/>
    <cellStyle name="Comma Input" xfId="89" xr:uid="{00000000-0005-0000-0000-000031010000}"/>
    <cellStyle name="Comma0" xfId="90" xr:uid="{00000000-0005-0000-0000-000032010000}"/>
    <cellStyle name="Company Name" xfId="91" xr:uid="{00000000-0005-0000-0000-000033010000}"/>
    <cellStyle name="Config Data" xfId="92" xr:uid="{00000000-0005-0000-0000-000034010000}"/>
    <cellStyle name="Currency" xfId="93" builtinId="4"/>
    <cellStyle name="Currency [1]" xfId="94" xr:uid="{00000000-0005-0000-0000-000036010000}"/>
    <cellStyle name="Currency [2]" xfId="95" xr:uid="{00000000-0005-0000-0000-000037010000}"/>
    <cellStyle name="Currency [3]" xfId="96" xr:uid="{00000000-0005-0000-0000-000038010000}"/>
    <cellStyle name="Currency 0.0" xfId="97" xr:uid="{00000000-0005-0000-0000-000039010000}"/>
    <cellStyle name="Currency 0.00" xfId="98" xr:uid="{00000000-0005-0000-0000-00003A010000}"/>
    <cellStyle name="Currency 0.000" xfId="99" xr:uid="{00000000-0005-0000-0000-00003B010000}"/>
    <cellStyle name="Currency 0.0000" xfId="100" xr:uid="{00000000-0005-0000-0000-00003C010000}"/>
    <cellStyle name="Currency 10" xfId="476" xr:uid="{00000000-0005-0000-0000-00003D010000}"/>
    <cellStyle name="Currency 11" xfId="475" xr:uid="{00000000-0005-0000-0000-00003E010000}"/>
    <cellStyle name="Currency 12" xfId="474" xr:uid="{00000000-0005-0000-0000-00003F010000}"/>
    <cellStyle name="Currency 13" xfId="612" xr:uid="{00000000-0005-0000-0000-000040010000}"/>
    <cellStyle name="Currency 14" xfId="623" xr:uid="{00000000-0005-0000-0000-000041010000}"/>
    <cellStyle name="Currency 15" xfId="629" xr:uid="{00000000-0005-0000-0000-000042010000}"/>
    <cellStyle name="Currency 16" xfId="641" xr:uid="{00000000-0005-0000-0000-000043010000}"/>
    <cellStyle name="Currency 16 2" xfId="747" xr:uid="{00000000-0005-0000-0000-000044010000}"/>
    <cellStyle name="Currency 17" xfId="640" xr:uid="{00000000-0005-0000-0000-000045010000}"/>
    <cellStyle name="Currency 17 2" xfId="746" xr:uid="{00000000-0005-0000-0000-000046010000}"/>
    <cellStyle name="Currency 18" xfId="669" xr:uid="{00000000-0005-0000-0000-000047010000}"/>
    <cellStyle name="Currency 19" xfId="677" xr:uid="{00000000-0005-0000-0000-000048010000}"/>
    <cellStyle name="Currency 2" xfId="101" xr:uid="{00000000-0005-0000-0000-000049010000}"/>
    <cellStyle name="Currency 2 2" xfId="102" xr:uid="{00000000-0005-0000-0000-00004A010000}"/>
    <cellStyle name="Currency 2 3" xfId="473" xr:uid="{00000000-0005-0000-0000-00004B010000}"/>
    <cellStyle name="Currency 20" xfId="670" xr:uid="{00000000-0005-0000-0000-00004C010000}"/>
    <cellStyle name="Currency 21" xfId="682" xr:uid="{00000000-0005-0000-0000-00004D010000}"/>
    <cellStyle name="Currency 22" xfId="671" xr:uid="{00000000-0005-0000-0000-00004E010000}"/>
    <cellStyle name="Currency 23" xfId="681" xr:uid="{00000000-0005-0000-0000-00004F010000}"/>
    <cellStyle name="Currency 24" xfId="672" xr:uid="{00000000-0005-0000-0000-000050010000}"/>
    <cellStyle name="Currency 25" xfId="680" xr:uid="{00000000-0005-0000-0000-000051010000}"/>
    <cellStyle name="Currency 26" xfId="673" xr:uid="{00000000-0005-0000-0000-000052010000}"/>
    <cellStyle name="Currency 27" xfId="679" xr:uid="{00000000-0005-0000-0000-000053010000}"/>
    <cellStyle name="Currency 3" xfId="103" xr:uid="{00000000-0005-0000-0000-000054010000}"/>
    <cellStyle name="Currency 3 2" xfId="104" xr:uid="{00000000-0005-0000-0000-000055010000}"/>
    <cellStyle name="Currency 3 3" xfId="589" xr:uid="{00000000-0005-0000-0000-000056010000}"/>
    <cellStyle name="Currency 3 4" xfId="590" xr:uid="{00000000-0005-0000-0000-000057010000}"/>
    <cellStyle name="Currency 3 5" xfId="642" xr:uid="{00000000-0005-0000-0000-000058010000}"/>
    <cellStyle name="Currency 3 5 2" xfId="748" xr:uid="{00000000-0005-0000-0000-000059010000}"/>
    <cellStyle name="Currency 4" xfId="105" xr:uid="{00000000-0005-0000-0000-00005A010000}"/>
    <cellStyle name="Currency 5" xfId="472" xr:uid="{00000000-0005-0000-0000-00005B010000}"/>
    <cellStyle name="Currency 6" xfId="471" xr:uid="{00000000-0005-0000-0000-00005C010000}"/>
    <cellStyle name="Currency 7" xfId="470" xr:uid="{00000000-0005-0000-0000-00005D010000}"/>
    <cellStyle name="Currency 8" xfId="469" xr:uid="{00000000-0005-0000-0000-00005E010000}"/>
    <cellStyle name="Currency 9" xfId="468" xr:uid="{00000000-0005-0000-0000-00005F010000}"/>
    <cellStyle name="Currency Input" xfId="106" xr:uid="{00000000-0005-0000-0000-000060010000}"/>
    <cellStyle name="Currency0" xfId="107" xr:uid="{00000000-0005-0000-0000-000061010000}"/>
    <cellStyle name="d" xfId="108" xr:uid="{00000000-0005-0000-0000-000062010000}"/>
    <cellStyle name="d," xfId="109" xr:uid="{00000000-0005-0000-0000-000063010000}"/>
    <cellStyle name="d1" xfId="110" xr:uid="{00000000-0005-0000-0000-000064010000}"/>
    <cellStyle name="d1," xfId="111" xr:uid="{00000000-0005-0000-0000-000065010000}"/>
    <cellStyle name="d2" xfId="112" xr:uid="{00000000-0005-0000-0000-000066010000}"/>
    <cellStyle name="d2," xfId="113" xr:uid="{00000000-0005-0000-0000-000067010000}"/>
    <cellStyle name="d3" xfId="114" xr:uid="{00000000-0005-0000-0000-000068010000}"/>
    <cellStyle name="Dash" xfId="115" xr:uid="{00000000-0005-0000-0000-000069010000}"/>
    <cellStyle name="Date" xfId="116" xr:uid="{00000000-0005-0000-0000-00006A010000}"/>
    <cellStyle name="Date [Abbreviated]" xfId="117" xr:uid="{00000000-0005-0000-0000-00006B010000}"/>
    <cellStyle name="Date [Long Europe]" xfId="118" xr:uid="{00000000-0005-0000-0000-00006C010000}"/>
    <cellStyle name="Date [Long U.S.]" xfId="119" xr:uid="{00000000-0005-0000-0000-00006D010000}"/>
    <cellStyle name="Date [Short Europe]" xfId="120" xr:uid="{00000000-0005-0000-0000-00006E010000}"/>
    <cellStyle name="Date [Short U.S.]" xfId="121" xr:uid="{00000000-0005-0000-0000-00006F010000}"/>
    <cellStyle name="Date_ITCM 2010 Template" xfId="122" xr:uid="{00000000-0005-0000-0000-000070010000}"/>
    <cellStyle name="Define$0" xfId="123" xr:uid="{00000000-0005-0000-0000-000071010000}"/>
    <cellStyle name="Define$1" xfId="124" xr:uid="{00000000-0005-0000-0000-000072010000}"/>
    <cellStyle name="Define$2" xfId="125" xr:uid="{00000000-0005-0000-0000-000073010000}"/>
    <cellStyle name="Define0" xfId="126" xr:uid="{00000000-0005-0000-0000-000074010000}"/>
    <cellStyle name="Define1" xfId="127" xr:uid="{00000000-0005-0000-0000-000075010000}"/>
    <cellStyle name="Define1x" xfId="128" xr:uid="{00000000-0005-0000-0000-000076010000}"/>
    <cellStyle name="Define2" xfId="129" xr:uid="{00000000-0005-0000-0000-000077010000}"/>
    <cellStyle name="Define2x" xfId="130" xr:uid="{00000000-0005-0000-0000-000078010000}"/>
    <cellStyle name="Dollar" xfId="131" xr:uid="{00000000-0005-0000-0000-000079010000}"/>
    <cellStyle name="e" xfId="132" xr:uid="{00000000-0005-0000-0000-00007A010000}"/>
    <cellStyle name="e1" xfId="133" xr:uid="{00000000-0005-0000-0000-00007B010000}"/>
    <cellStyle name="e2" xfId="134" xr:uid="{00000000-0005-0000-0000-00007C010000}"/>
    <cellStyle name="Euro" xfId="135" xr:uid="{00000000-0005-0000-0000-00007D010000}"/>
    <cellStyle name="Explanatory Text 2" xfId="591" xr:uid="{00000000-0005-0000-0000-00007E010000}"/>
    <cellStyle name="Fixed" xfId="136" xr:uid="{00000000-0005-0000-0000-00007F010000}"/>
    <cellStyle name="FOOTER - Style1" xfId="137" xr:uid="{00000000-0005-0000-0000-000080010000}"/>
    <cellStyle name="g" xfId="138" xr:uid="{00000000-0005-0000-0000-000081010000}"/>
    <cellStyle name="general" xfId="139" xr:uid="{00000000-0005-0000-0000-000082010000}"/>
    <cellStyle name="General [C]" xfId="140" xr:uid="{00000000-0005-0000-0000-000083010000}"/>
    <cellStyle name="General [R]" xfId="141" xr:uid="{00000000-0005-0000-0000-000084010000}"/>
    <cellStyle name="Good 2" xfId="592" xr:uid="{00000000-0005-0000-0000-000085010000}"/>
    <cellStyle name="Green" xfId="142" xr:uid="{00000000-0005-0000-0000-000086010000}"/>
    <cellStyle name="grey" xfId="143" xr:uid="{00000000-0005-0000-0000-000087010000}"/>
    <cellStyle name="Header1" xfId="144" xr:uid="{00000000-0005-0000-0000-000088010000}"/>
    <cellStyle name="Header2" xfId="145" xr:uid="{00000000-0005-0000-0000-000089010000}"/>
    <cellStyle name="Heading" xfId="146" xr:uid="{00000000-0005-0000-0000-00008A010000}"/>
    <cellStyle name="Heading 1" xfId="147" builtinId="16" customBuiltin="1"/>
    <cellStyle name="Heading 2" xfId="148" builtinId="17" customBuiltin="1"/>
    <cellStyle name="Heading 2 2" xfId="149" xr:uid="{00000000-0005-0000-0000-00008D010000}"/>
    <cellStyle name="Heading 3 2" xfId="594" xr:uid="{00000000-0005-0000-0000-00008E010000}"/>
    <cellStyle name="Heading 4 2" xfId="595" xr:uid="{00000000-0005-0000-0000-00008F010000}"/>
    <cellStyle name="Heading No Underline" xfId="150" xr:uid="{00000000-0005-0000-0000-000090010000}"/>
    <cellStyle name="Heading With Underline" xfId="151" xr:uid="{00000000-0005-0000-0000-000091010000}"/>
    <cellStyle name="Heading1" xfId="152" xr:uid="{00000000-0005-0000-0000-000092010000}"/>
    <cellStyle name="Heading2" xfId="153" xr:uid="{00000000-0005-0000-0000-000093010000}"/>
    <cellStyle name="Headline" xfId="154" xr:uid="{00000000-0005-0000-0000-000094010000}"/>
    <cellStyle name="Highlight" xfId="155" xr:uid="{00000000-0005-0000-0000-000095010000}"/>
    <cellStyle name="Hyperlink 2" xfId="156" xr:uid="{00000000-0005-0000-0000-000096010000}"/>
    <cellStyle name="in" xfId="157" xr:uid="{00000000-0005-0000-0000-000097010000}"/>
    <cellStyle name="Indented [0]" xfId="158" xr:uid="{00000000-0005-0000-0000-000098010000}"/>
    <cellStyle name="Indented [2]" xfId="159" xr:uid="{00000000-0005-0000-0000-000099010000}"/>
    <cellStyle name="Indented [4]" xfId="160" xr:uid="{00000000-0005-0000-0000-00009A010000}"/>
    <cellStyle name="Indented [6]" xfId="161" xr:uid="{00000000-0005-0000-0000-00009B010000}"/>
    <cellStyle name="Input [yellow]" xfId="162" xr:uid="{00000000-0005-0000-0000-00009C010000}"/>
    <cellStyle name="Input 2" xfId="596" xr:uid="{00000000-0005-0000-0000-00009D010000}"/>
    <cellStyle name="Input 3" xfId="644" xr:uid="{00000000-0005-0000-0000-00009E010000}"/>
    <cellStyle name="Input 4" xfId="637" xr:uid="{00000000-0005-0000-0000-00009F010000}"/>
    <cellStyle name="Input$0" xfId="163" xr:uid="{00000000-0005-0000-0000-0000A0010000}"/>
    <cellStyle name="Input$1" xfId="164" xr:uid="{00000000-0005-0000-0000-0000A1010000}"/>
    <cellStyle name="Input$2" xfId="165" xr:uid="{00000000-0005-0000-0000-0000A2010000}"/>
    <cellStyle name="Input0" xfId="166" xr:uid="{00000000-0005-0000-0000-0000A3010000}"/>
    <cellStyle name="Input1" xfId="167" xr:uid="{00000000-0005-0000-0000-0000A4010000}"/>
    <cellStyle name="Input1x" xfId="168" xr:uid="{00000000-0005-0000-0000-0000A5010000}"/>
    <cellStyle name="Input2" xfId="169" xr:uid="{00000000-0005-0000-0000-0000A6010000}"/>
    <cellStyle name="Input2x" xfId="170" xr:uid="{00000000-0005-0000-0000-0000A7010000}"/>
    <cellStyle name="lborder" xfId="171" xr:uid="{00000000-0005-0000-0000-0000A8010000}"/>
    <cellStyle name="LeftSubtitle" xfId="172" xr:uid="{00000000-0005-0000-0000-0000A9010000}"/>
    <cellStyle name="Lines" xfId="173" xr:uid="{00000000-0005-0000-0000-0000AA010000}"/>
    <cellStyle name="Linked Cell 2" xfId="597" xr:uid="{00000000-0005-0000-0000-0000AB010000}"/>
    <cellStyle name="m" xfId="174" xr:uid="{00000000-0005-0000-0000-0000AC010000}"/>
    <cellStyle name="m1" xfId="175" xr:uid="{00000000-0005-0000-0000-0000AD010000}"/>
    <cellStyle name="m2" xfId="176" xr:uid="{00000000-0005-0000-0000-0000AE010000}"/>
    <cellStyle name="m3" xfId="177" xr:uid="{00000000-0005-0000-0000-0000AF010000}"/>
    <cellStyle name="Multiple" xfId="178" xr:uid="{00000000-0005-0000-0000-0000B0010000}"/>
    <cellStyle name="Negative" xfId="179" xr:uid="{00000000-0005-0000-0000-0000B1010000}"/>
    <cellStyle name="Neutral 2" xfId="598" xr:uid="{00000000-0005-0000-0000-0000B2010000}"/>
    <cellStyle name="no dec" xfId="180" xr:uid="{00000000-0005-0000-0000-0000B3010000}"/>
    <cellStyle name="Normal" xfId="0" builtinId="0"/>
    <cellStyle name="Normal - Style1" xfId="181" xr:uid="{00000000-0005-0000-0000-0000B5010000}"/>
    <cellStyle name="Normal 10" xfId="182" xr:uid="{00000000-0005-0000-0000-0000B6010000}"/>
    <cellStyle name="Normal 10 10" xfId="845" xr:uid="{00000000-0005-0000-0000-0000B7010000}"/>
    <cellStyle name="Normal 10 10 2" xfId="1278" xr:uid="{00000000-0005-0000-0000-0000B8010000}"/>
    <cellStyle name="Normal 10 11" xfId="1062" xr:uid="{00000000-0005-0000-0000-0000B9010000}"/>
    <cellStyle name="Normal 10 2" xfId="367" xr:uid="{00000000-0005-0000-0000-0000BA010000}"/>
    <cellStyle name="Normal 10 2 2" xfId="702" xr:uid="{00000000-0005-0000-0000-0000BB010000}"/>
    <cellStyle name="Normal 10 2 2 2" xfId="930" xr:uid="{00000000-0005-0000-0000-0000BC010000}"/>
    <cellStyle name="Normal 10 2 2 2 2" xfId="1363" xr:uid="{00000000-0005-0000-0000-0000BD010000}"/>
    <cellStyle name="Normal 10 2 2 3" xfId="1147" xr:uid="{00000000-0005-0000-0000-0000BE010000}"/>
    <cellStyle name="Normal 10 2 3" xfId="786" xr:uid="{00000000-0005-0000-0000-0000BF010000}"/>
    <cellStyle name="Normal 10 2 3 2" xfId="1002" xr:uid="{00000000-0005-0000-0000-0000C0010000}"/>
    <cellStyle name="Normal 10 2 3 2 2" xfId="1435" xr:uid="{00000000-0005-0000-0000-0000C1010000}"/>
    <cellStyle name="Normal 10 2 3 3" xfId="1219" xr:uid="{00000000-0005-0000-0000-0000C2010000}"/>
    <cellStyle name="Normal 10 2 4" xfId="858" xr:uid="{00000000-0005-0000-0000-0000C3010000}"/>
    <cellStyle name="Normal 10 2 4 2" xfId="1291" xr:uid="{00000000-0005-0000-0000-0000C4010000}"/>
    <cellStyle name="Normal 10 2 5" xfId="1075" xr:uid="{00000000-0005-0000-0000-0000C5010000}"/>
    <cellStyle name="Normal 10 3" xfId="399" xr:uid="{00000000-0005-0000-0000-0000C6010000}"/>
    <cellStyle name="Normal 10 3 2" xfId="715" xr:uid="{00000000-0005-0000-0000-0000C7010000}"/>
    <cellStyle name="Normal 10 3 2 2" xfId="943" xr:uid="{00000000-0005-0000-0000-0000C8010000}"/>
    <cellStyle name="Normal 10 3 2 2 2" xfId="1376" xr:uid="{00000000-0005-0000-0000-0000C9010000}"/>
    <cellStyle name="Normal 10 3 2 3" xfId="1160" xr:uid="{00000000-0005-0000-0000-0000CA010000}"/>
    <cellStyle name="Normal 10 3 3" xfId="799" xr:uid="{00000000-0005-0000-0000-0000CB010000}"/>
    <cellStyle name="Normal 10 3 3 2" xfId="1015" xr:uid="{00000000-0005-0000-0000-0000CC010000}"/>
    <cellStyle name="Normal 10 3 3 2 2" xfId="1448" xr:uid="{00000000-0005-0000-0000-0000CD010000}"/>
    <cellStyle name="Normal 10 3 3 3" xfId="1232" xr:uid="{00000000-0005-0000-0000-0000CE010000}"/>
    <cellStyle name="Normal 10 3 4" xfId="871" xr:uid="{00000000-0005-0000-0000-0000CF010000}"/>
    <cellStyle name="Normal 10 3 4 2" xfId="1304" xr:uid="{00000000-0005-0000-0000-0000D0010000}"/>
    <cellStyle name="Normal 10 3 5" xfId="1088" xr:uid="{00000000-0005-0000-0000-0000D1010000}"/>
    <cellStyle name="Normal 10 4" xfId="615" xr:uid="{00000000-0005-0000-0000-0000D2010000}"/>
    <cellStyle name="Normal 10 4 2" xfId="732" xr:uid="{00000000-0005-0000-0000-0000D3010000}"/>
    <cellStyle name="Normal 10 4 2 2" xfId="960" xr:uid="{00000000-0005-0000-0000-0000D4010000}"/>
    <cellStyle name="Normal 10 4 2 2 2" xfId="1393" xr:uid="{00000000-0005-0000-0000-0000D5010000}"/>
    <cellStyle name="Normal 10 4 2 3" xfId="1177" xr:uid="{00000000-0005-0000-0000-0000D6010000}"/>
    <cellStyle name="Normal 10 4 3" xfId="816" xr:uid="{00000000-0005-0000-0000-0000D7010000}"/>
    <cellStyle name="Normal 10 4 3 2" xfId="1032" xr:uid="{00000000-0005-0000-0000-0000D8010000}"/>
    <cellStyle name="Normal 10 4 3 2 2" xfId="1465" xr:uid="{00000000-0005-0000-0000-0000D9010000}"/>
    <cellStyle name="Normal 10 4 3 3" xfId="1249" xr:uid="{00000000-0005-0000-0000-0000DA010000}"/>
    <cellStyle name="Normal 10 4 4" xfId="888" xr:uid="{00000000-0005-0000-0000-0000DB010000}"/>
    <cellStyle name="Normal 10 4 4 2" xfId="1321" xr:uid="{00000000-0005-0000-0000-0000DC010000}"/>
    <cellStyle name="Normal 10 4 5" xfId="1105" xr:uid="{00000000-0005-0000-0000-0000DD010000}"/>
    <cellStyle name="Normal 10 5" xfId="630" xr:uid="{00000000-0005-0000-0000-0000DE010000}"/>
    <cellStyle name="Normal 10 5 2" xfId="738" xr:uid="{00000000-0005-0000-0000-0000DF010000}"/>
    <cellStyle name="Normal 10 5 2 2" xfId="966" xr:uid="{00000000-0005-0000-0000-0000E0010000}"/>
    <cellStyle name="Normal 10 5 2 2 2" xfId="1399" xr:uid="{00000000-0005-0000-0000-0000E1010000}"/>
    <cellStyle name="Normal 10 5 2 3" xfId="1183" xr:uid="{00000000-0005-0000-0000-0000E2010000}"/>
    <cellStyle name="Normal 10 5 3" xfId="822" xr:uid="{00000000-0005-0000-0000-0000E3010000}"/>
    <cellStyle name="Normal 10 5 3 2" xfId="1038" xr:uid="{00000000-0005-0000-0000-0000E4010000}"/>
    <cellStyle name="Normal 10 5 3 2 2" xfId="1471" xr:uid="{00000000-0005-0000-0000-0000E5010000}"/>
    <cellStyle name="Normal 10 5 3 3" xfId="1255" xr:uid="{00000000-0005-0000-0000-0000E6010000}"/>
    <cellStyle name="Normal 10 5 4" xfId="894" xr:uid="{00000000-0005-0000-0000-0000E7010000}"/>
    <cellStyle name="Normal 10 5 4 2" xfId="1327" xr:uid="{00000000-0005-0000-0000-0000E8010000}"/>
    <cellStyle name="Normal 10 5 5" xfId="1111" xr:uid="{00000000-0005-0000-0000-0000E9010000}"/>
    <cellStyle name="Normal 10 6" xfId="649" xr:uid="{00000000-0005-0000-0000-0000EA010000}"/>
    <cellStyle name="Normal 10 6 2" xfId="754" xr:uid="{00000000-0005-0000-0000-0000EB010000}"/>
    <cellStyle name="Normal 10 6 2 2" xfId="970" xr:uid="{00000000-0005-0000-0000-0000EC010000}"/>
    <cellStyle name="Normal 10 6 2 2 2" xfId="1403" xr:uid="{00000000-0005-0000-0000-0000ED010000}"/>
    <cellStyle name="Normal 10 6 2 3" xfId="1187" xr:uid="{00000000-0005-0000-0000-0000EE010000}"/>
    <cellStyle name="Normal 10 6 3" xfId="826" xr:uid="{00000000-0005-0000-0000-0000EF010000}"/>
    <cellStyle name="Normal 10 6 3 2" xfId="1042" xr:uid="{00000000-0005-0000-0000-0000F0010000}"/>
    <cellStyle name="Normal 10 6 3 2 2" xfId="1475" xr:uid="{00000000-0005-0000-0000-0000F1010000}"/>
    <cellStyle name="Normal 10 6 3 3" xfId="1259" xr:uid="{00000000-0005-0000-0000-0000F2010000}"/>
    <cellStyle name="Normal 10 6 4" xfId="898" xr:uid="{00000000-0005-0000-0000-0000F3010000}"/>
    <cellStyle name="Normal 10 6 4 2" xfId="1331" xr:uid="{00000000-0005-0000-0000-0000F4010000}"/>
    <cellStyle name="Normal 10 6 5" xfId="1115" xr:uid="{00000000-0005-0000-0000-0000F5010000}"/>
    <cellStyle name="Normal 10 7" xfId="674" xr:uid="{00000000-0005-0000-0000-0000F6010000}"/>
    <cellStyle name="Normal 10 7 2" xfId="769" xr:uid="{00000000-0005-0000-0000-0000F7010000}"/>
    <cellStyle name="Normal 10 7 2 2" xfId="985" xr:uid="{00000000-0005-0000-0000-0000F8010000}"/>
    <cellStyle name="Normal 10 7 2 2 2" xfId="1418" xr:uid="{00000000-0005-0000-0000-0000F9010000}"/>
    <cellStyle name="Normal 10 7 2 3" xfId="1202" xr:uid="{00000000-0005-0000-0000-0000FA010000}"/>
    <cellStyle name="Normal 10 7 3" xfId="841" xr:uid="{00000000-0005-0000-0000-0000FB010000}"/>
    <cellStyle name="Normal 10 7 3 2" xfId="1057" xr:uid="{00000000-0005-0000-0000-0000FC010000}"/>
    <cellStyle name="Normal 10 7 3 2 2" xfId="1490" xr:uid="{00000000-0005-0000-0000-0000FD010000}"/>
    <cellStyle name="Normal 10 7 3 3" xfId="1274" xr:uid="{00000000-0005-0000-0000-0000FE010000}"/>
    <cellStyle name="Normal 10 7 4" xfId="913" xr:uid="{00000000-0005-0000-0000-0000FF010000}"/>
    <cellStyle name="Normal 10 7 4 2" xfId="1346" xr:uid="{00000000-0005-0000-0000-000000020000}"/>
    <cellStyle name="Normal 10 7 5" xfId="1130" xr:uid="{00000000-0005-0000-0000-000001020000}"/>
    <cellStyle name="Normal 10 8" xfId="688" xr:uid="{00000000-0005-0000-0000-000002020000}"/>
    <cellStyle name="Normal 10 8 2" xfId="917" xr:uid="{00000000-0005-0000-0000-000003020000}"/>
    <cellStyle name="Normal 10 8 2 2" xfId="1350" xr:uid="{00000000-0005-0000-0000-000004020000}"/>
    <cellStyle name="Normal 10 8 3" xfId="1134" xr:uid="{00000000-0005-0000-0000-000005020000}"/>
    <cellStyle name="Normal 10 9" xfId="773" xr:uid="{00000000-0005-0000-0000-000006020000}"/>
    <cellStyle name="Normal 10 9 2" xfId="989" xr:uid="{00000000-0005-0000-0000-000007020000}"/>
    <cellStyle name="Normal 10 9 2 2" xfId="1422" xr:uid="{00000000-0005-0000-0000-000008020000}"/>
    <cellStyle name="Normal 10 9 3" xfId="1206" xr:uid="{00000000-0005-0000-0000-000009020000}"/>
    <cellStyle name="Normal 11" xfId="183" xr:uid="{00000000-0005-0000-0000-00000A020000}"/>
    <cellStyle name="Normal 11 2" xfId="616" xr:uid="{00000000-0005-0000-0000-00000B020000}"/>
    <cellStyle name="Normal 11 2 2" xfId="733" xr:uid="{00000000-0005-0000-0000-00000C020000}"/>
    <cellStyle name="Normal 11 2 2 2" xfId="961" xr:uid="{00000000-0005-0000-0000-00000D020000}"/>
    <cellStyle name="Normal 11 2 2 2 2" xfId="1394" xr:uid="{00000000-0005-0000-0000-00000E020000}"/>
    <cellStyle name="Normal 11 2 2 3" xfId="1178" xr:uid="{00000000-0005-0000-0000-00000F020000}"/>
    <cellStyle name="Normal 11 2 3" xfId="817" xr:uid="{00000000-0005-0000-0000-000010020000}"/>
    <cellStyle name="Normal 11 2 3 2" xfId="1033" xr:uid="{00000000-0005-0000-0000-000011020000}"/>
    <cellStyle name="Normal 11 2 3 2 2" xfId="1466" xr:uid="{00000000-0005-0000-0000-000012020000}"/>
    <cellStyle name="Normal 11 2 3 3" xfId="1250" xr:uid="{00000000-0005-0000-0000-000013020000}"/>
    <cellStyle name="Normal 11 2 4" xfId="889" xr:uid="{00000000-0005-0000-0000-000014020000}"/>
    <cellStyle name="Normal 11 2 4 2" xfId="1322" xr:uid="{00000000-0005-0000-0000-000015020000}"/>
    <cellStyle name="Normal 11 2 5" xfId="1106" xr:uid="{00000000-0005-0000-0000-000016020000}"/>
    <cellStyle name="Normal 11 3" xfId="631" xr:uid="{00000000-0005-0000-0000-000017020000}"/>
    <cellStyle name="Normal 11 3 2" xfId="739" xr:uid="{00000000-0005-0000-0000-000018020000}"/>
    <cellStyle name="Normal 11 3 2 2" xfId="967" xr:uid="{00000000-0005-0000-0000-000019020000}"/>
    <cellStyle name="Normal 11 3 2 2 2" xfId="1400" xr:uid="{00000000-0005-0000-0000-00001A020000}"/>
    <cellStyle name="Normal 11 3 2 3" xfId="1184" xr:uid="{00000000-0005-0000-0000-00001B020000}"/>
    <cellStyle name="Normal 11 3 3" xfId="823" xr:uid="{00000000-0005-0000-0000-00001C020000}"/>
    <cellStyle name="Normal 11 3 3 2" xfId="1039" xr:uid="{00000000-0005-0000-0000-00001D020000}"/>
    <cellStyle name="Normal 11 3 3 2 2" xfId="1472" xr:uid="{00000000-0005-0000-0000-00001E020000}"/>
    <cellStyle name="Normal 11 3 3 3" xfId="1256" xr:uid="{00000000-0005-0000-0000-00001F020000}"/>
    <cellStyle name="Normal 11 3 4" xfId="895" xr:uid="{00000000-0005-0000-0000-000020020000}"/>
    <cellStyle name="Normal 11 3 4 2" xfId="1328" xr:uid="{00000000-0005-0000-0000-000021020000}"/>
    <cellStyle name="Normal 11 3 5" xfId="1112" xr:uid="{00000000-0005-0000-0000-000022020000}"/>
    <cellStyle name="Normal 11 4" xfId="675" xr:uid="{00000000-0005-0000-0000-000023020000}"/>
    <cellStyle name="Normal 11 4 2" xfId="770" xr:uid="{00000000-0005-0000-0000-000024020000}"/>
    <cellStyle name="Normal 11 4 2 2" xfId="986" xr:uid="{00000000-0005-0000-0000-000025020000}"/>
    <cellStyle name="Normal 11 4 2 2 2" xfId="1419" xr:uid="{00000000-0005-0000-0000-000026020000}"/>
    <cellStyle name="Normal 11 4 2 3" xfId="1203" xr:uid="{00000000-0005-0000-0000-000027020000}"/>
    <cellStyle name="Normal 11 4 3" xfId="842" xr:uid="{00000000-0005-0000-0000-000028020000}"/>
    <cellStyle name="Normal 11 4 3 2" xfId="1058" xr:uid="{00000000-0005-0000-0000-000029020000}"/>
    <cellStyle name="Normal 11 4 3 2 2" xfId="1491" xr:uid="{00000000-0005-0000-0000-00002A020000}"/>
    <cellStyle name="Normal 11 4 3 3" xfId="1275" xr:uid="{00000000-0005-0000-0000-00002B020000}"/>
    <cellStyle name="Normal 11 4 4" xfId="914" xr:uid="{00000000-0005-0000-0000-00002C020000}"/>
    <cellStyle name="Normal 11 4 4 2" xfId="1347" xr:uid="{00000000-0005-0000-0000-00002D020000}"/>
    <cellStyle name="Normal 11 4 5" xfId="1131" xr:uid="{00000000-0005-0000-0000-00002E020000}"/>
    <cellStyle name="Normal 12" xfId="365" xr:uid="{00000000-0005-0000-0000-00002F020000}"/>
    <cellStyle name="Normal 12 2" xfId="617" xr:uid="{00000000-0005-0000-0000-000030020000}"/>
    <cellStyle name="Normal 12 3" xfId="701" xr:uid="{00000000-0005-0000-0000-000031020000}"/>
    <cellStyle name="Normal 13" xfId="467" xr:uid="{00000000-0005-0000-0000-000032020000}"/>
    <cellStyle name="Normal 14" xfId="466" xr:uid="{00000000-0005-0000-0000-000033020000}"/>
    <cellStyle name="Normal 15" xfId="465" xr:uid="{00000000-0005-0000-0000-000034020000}"/>
    <cellStyle name="Normal 16" xfId="464" xr:uid="{00000000-0005-0000-0000-000035020000}"/>
    <cellStyle name="Normal 17" xfId="463" xr:uid="{00000000-0005-0000-0000-000036020000}"/>
    <cellStyle name="Normal 18" xfId="462" xr:uid="{00000000-0005-0000-0000-000037020000}"/>
    <cellStyle name="Normal 18 2" xfId="461" xr:uid="{00000000-0005-0000-0000-000038020000}"/>
    <cellStyle name="Normal 18 2 2" xfId="460" xr:uid="{00000000-0005-0000-0000-000039020000}"/>
    <cellStyle name="Normal 18 3" xfId="459" xr:uid="{00000000-0005-0000-0000-00003A020000}"/>
    <cellStyle name="Normal 18 3 2" xfId="458" xr:uid="{00000000-0005-0000-0000-00003B020000}"/>
    <cellStyle name="Normal 18 4" xfId="457" xr:uid="{00000000-0005-0000-0000-00003C020000}"/>
    <cellStyle name="Normal 18 4 2" xfId="456" xr:uid="{00000000-0005-0000-0000-00003D020000}"/>
    <cellStyle name="Normal 18 5" xfId="455" xr:uid="{00000000-0005-0000-0000-00003E020000}"/>
    <cellStyle name="Normal 18 6" xfId="454" xr:uid="{00000000-0005-0000-0000-00003F020000}"/>
    <cellStyle name="Normal 19" xfId="453" xr:uid="{00000000-0005-0000-0000-000040020000}"/>
    <cellStyle name="Normal 19 2" xfId="452" xr:uid="{00000000-0005-0000-0000-000041020000}"/>
    <cellStyle name="Normal 2" xfId="184" xr:uid="{00000000-0005-0000-0000-000042020000}"/>
    <cellStyle name="Normal 2 2" xfId="185" xr:uid="{00000000-0005-0000-0000-000043020000}"/>
    <cellStyle name="Normal 2 2 2" xfId="451" xr:uid="{00000000-0005-0000-0000-000044020000}"/>
    <cellStyle name="Normal 2 2 3" xfId="619" xr:uid="{00000000-0005-0000-0000-000045020000}"/>
    <cellStyle name="Normal 2 2 3 2" xfId="734" xr:uid="{00000000-0005-0000-0000-000046020000}"/>
    <cellStyle name="Normal 2 2 3 2 2" xfId="962" xr:uid="{00000000-0005-0000-0000-000047020000}"/>
    <cellStyle name="Normal 2 2 3 2 2 2" xfId="1395" xr:uid="{00000000-0005-0000-0000-000048020000}"/>
    <cellStyle name="Normal 2 2 3 2 3" xfId="1179" xr:uid="{00000000-0005-0000-0000-000049020000}"/>
    <cellStyle name="Normal 2 2 3 3" xfId="818" xr:uid="{00000000-0005-0000-0000-00004A020000}"/>
    <cellStyle name="Normal 2 2 3 3 2" xfId="1034" xr:uid="{00000000-0005-0000-0000-00004B020000}"/>
    <cellStyle name="Normal 2 2 3 3 2 2" xfId="1467" xr:uid="{00000000-0005-0000-0000-00004C020000}"/>
    <cellStyle name="Normal 2 2 3 3 3" xfId="1251" xr:uid="{00000000-0005-0000-0000-00004D020000}"/>
    <cellStyle name="Normal 2 2 3 4" xfId="890" xr:uid="{00000000-0005-0000-0000-00004E020000}"/>
    <cellStyle name="Normal 2 2 3 4 2" xfId="1323" xr:uid="{00000000-0005-0000-0000-00004F020000}"/>
    <cellStyle name="Normal 2 2 3 5" xfId="1107" xr:uid="{00000000-0005-0000-0000-000050020000}"/>
    <cellStyle name="Normal 2 2 4" xfId="632" xr:uid="{00000000-0005-0000-0000-000051020000}"/>
    <cellStyle name="Normal 2 2 4 2" xfId="740" xr:uid="{00000000-0005-0000-0000-000052020000}"/>
    <cellStyle name="Normal 2 2 4 2 2" xfId="968" xr:uid="{00000000-0005-0000-0000-000053020000}"/>
    <cellStyle name="Normal 2 2 4 2 2 2" xfId="1401" xr:uid="{00000000-0005-0000-0000-000054020000}"/>
    <cellStyle name="Normal 2 2 4 2 3" xfId="1185" xr:uid="{00000000-0005-0000-0000-000055020000}"/>
    <cellStyle name="Normal 2 2 4 3" xfId="824" xr:uid="{00000000-0005-0000-0000-000056020000}"/>
    <cellStyle name="Normal 2 2 4 3 2" xfId="1040" xr:uid="{00000000-0005-0000-0000-000057020000}"/>
    <cellStyle name="Normal 2 2 4 3 2 2" xfId="1473" xr:uid="{00000000-0005-0000-0000-000058020000}"/>
    <cellStyle name="Normal 2 2 4 3 3" xfId="1257" xr:uid="{00000000-0005-0000-0000-000059020000}"/>
    <cellStyle name="Normal 2 2 4 4" xfId="896" xr:uid="{00000000-0005-0000-0000-00005A020000}"/>
    <cellStyle name="Normal 2 2 4 4 2" xfId="1329" xr:uid="{00000000-0005-0000-0000-00005B020000}"/>
    <cellStyle name="Normal 2 2 4 5" xfId="1113" xr:uid="{00000000-0005-0000-0000-00005C020000}"/>
    <cellStyle name="Normal 2 2 5" xfId="676" xr:uid="{00000000-0005-0000-0000-00005D020000}"/>
    <cellStyle name="Normal 2 2 5 2" xfId="771" xr:uid="{00000000-0005-0000-0000-00005E020000}"/>
    <cellStyle name="Normal 2 2 5 2 2" xfId="987" xr:uid="{00000000-0005-0000-0000-00005F020000}"/>
    <cellStyle name="Normal 2 2 5 2 2 2" xfId="1420" xr:uid="{00000000-0005-0000-0000-000060020000}"/>
    <cellStyle name="Normal 2 2 5 2 3" xfId="1204" xr:uid="{00000000-0005-0000-0000-000061020000}"/>
    <cellStyle name="Normal 2 2 5 3" xfId="843" xr:uid="{00000000-0005-0000-0000-000062020000}"/>
    <cellStyle name="Normal 2 2 5 3 2" xfId="1059" xr:uid="{00000000-0005-0000-0000-000063020000}"/>
    <cellStyle name="Normal 2 2 5 3 2 2" xfId="1492" xr:uid="{00000000-0005-0000-0000-000064020000}"/>
    <cellStyle name="Normal 2 2 5 3 3" xfId="1276" xr:uid="{00000000-0005-0000-0000-000065020000}"/>
    <cellStyle name="Normal 2 2 5 4" xfId="915" xr:uid="{00000000-0005-0000-0000-000066020000}"/>
    <cellStyle name="Normal 2 2 5 4 2" xfId="1348" xr:uid="{00000000-0005-0000-0000-000067020000}"/>
    <cellStyle name="Normal 2 2 5 5" xfId="1132" xr:uid="{00000000-0005-0000-0000-000068020000}"/>
    <cellStyle name="Normal 2 3" xfId="450" xr:uid="{00000000-0005-0000-0000-000069020000}"/>
    <cellStyle name="Normal 2 4" xfId="618" xr:uid="{00000000-0005-0000-0000-00006A020000}"/>
    <cellStyle name="Normal 20" xfId="449" xr:uid="{00000000-0005-0000-0000-00006B020000}"/>
    <cellStyle name="Normal 20 2" xfId="448" xr:uid="{00000000-0005-0000-0000-00006C020000}"/>
    <cellStyle name="Normal 21" xfId="447" xr:uid="{00000000-0005-0000-0000-00006D020000}"/>
    <cellStyle name="Normal 21 2" xfId="446" xr:uid="{00000000-0005-0000-0000-00006E020000}"/>
    <cellStyle name="Normal 22" xfId="556" xr:uid="{00000000-0005-0000-0000-00006F020000}"/>
    <cellStyle name="Normal 23" xfId="635" xr:uid="{00000000-0005-0000-0000-000070020000}"/>
    <cellStyle name="Normal 23 2" xfId="742" xr:uid="{00000000-0005-0000-0000-000071020000}"/>
    <cellStyle name="Normal 24" xfId="648" xr:uid="{00000000-0005-0000-0000-000072020000}"/>
    <cellStyle name="Normal 24 2" xfId="753" xr:uid="{00000000-0005-0000-0000-000073020000}"/>
    <cellStyle name="Normal 25" xfId="1061" xr:uid="{00000000-0005-0000-0000-000074020000}"/>
    <cellStyle name="Normal 3" xfId="186" xr:uid="{00000000-0005-0000-0000-000075020000}"/>
    <cellStyle name="Normal 3 2" xfId="187" xr:uid="{00000000-0005-0000-0000-000076020000}"/>
    <cellStyle name="Normal 3 3" xfId="620" xr:uid="{00000000-0005-0000-0000-000077020000}"/>
    <cellStyle name="Normal 3_Attach O, GG, Support -New Method 2-14-11" xfId="188" xr:uid="{00000000-0005-0000-0000-000078020000}"/>
    <cellStyle name="Normal 35 2" xfId="1494" xr:uid="{00000000-0005-0000-0000-000079020000}"/>
    <cellStyle name="Normal 4" xfId="189" xr:uid="{00000000-0005-0000-0000-00007A020000}"/>
    <cellStyle name="Normal 4 2" xfId="190" xr:uid="{00000000-0005-0000-0000-00007B020000}"/>
    <cellStyle name="Normal 4 2 2" xfId="445" xr:uid="{00000000-0005-0000-0000-00007C020000}"/>
    <cellStyle name="Normal 4 3" xfId="621" xr:uid="{00000000-0005-0000-0000-00007D020000}"/>
    <cellStyle name="Normal 4 3 2" xfId="600" xr:uid="{00000000-0005-0000-0000-00007E020000}"/>
    <cellStyle name="Normal 4 4" xfId="601" xr:uid="{00000000-0005-0000-0000-00007F020000}"/>
    <cellStyle name="Normal 4 5" xfId="645" xr:uid="{00000000-0005-0000-0000-000080020000}"/>
    <cellStyle name="Normal 4 5 2" xfId="750" xr:uid="{00000000-0005-0000-0000-000081020000}"/>
    <cellStyle name="Normal 4_Attach O, GG, Support -New Method 2-14-11" xfId="191" xr:uid="{00000000-0005-0000-0000-000082020000}"/>
    <cellStyle name="Normal 5" xfId="192" xr:uid="{00000000-0005-0000-0000-000083020000}"/>
    <cellStyle name="Normal 5 2" xfId="602" xr:uid="{00000000-0005-0000-0000-000084020000}"/>
    <cellStyle name="Normal 6" xfId="193" xr:uid="{00000000-0005-0000-0000-000085020000}"/>
    <cellStyle name="Normal 6 10" xfId="774" xr:uid="{00000000-0005-0000-0000-000086020000}"/>
    <cellStyle name="Normal 6 10 2" xfId="990" xr:uid="{00000000-0005-0000-0000-000087020000}"/>
    <cellStyle name="Normal 6 10 2 2" xfId="1423" xr:uid="{00000000-0005-0000-0000-000088020000}"/>
    <cellStyle name="Normal 6 10 3" xfId="1207" xr:uid="{00000000-0005-0000-0000-000089020000}"/>
    <cellStyle name="Normal 6 11" xfId="846" xr:uid="{00000000-0005-0000-0000-00008A020000}"/>
    <cellStyle name="Normal 6 11 2" xfId="1279" xr:uid="{00000000-0005-0000-0000-00008B020000}"/>
    <cellStyle name="Normal 6 12" xfId="1063" xr:uid="{00000000-0005-0000-0000-00008C020000}"/>
    <cellStyle name="Normal 6 2" xfId="194" xr:uid="{00000000-0005-0000-0000-00008D020000}"/>
    <cellStyle name="Normal 6 2 10" xfId="1064" xr:uid="{00000000-0005-0000-0000-00008E020000}"/>
    <cellStyle name="Normal 6 2 2" xfId="195" xr:uid="{00000000-0005-0000-0000-00008F020000}"/>
    <cellStyle name="Normal 6 2 2 2" xfId="196" xr:uid="{00000000-0005-0000-0000-000090020000}"/>
    <cellStyle name="Normal 6 2 2 2 2" xfId="371" xr:uid="{00000000-0005-0000-0000-000091020000}"/>
    <cellStyle name="Normal 6 2 2 2 2 2" xfId="706" xr:uid="{00000000-0005-0000-0000-000092020000}"/>
    <cellStyle name="Normal 6 2 2 2 2 2 2" xfId="934" xr:uid="{00000000-0005-0000-0000-000093020000}"/>
    <cellStyle name="Normal 6 2 2 2 2 2 2 2" xfId="1367" xr:uid="{00000000-0005-0000-0000-000094020000}"/>
    <cellStyle name="Normal 6 2 2 2 2 2 3" xfId="1151" xr:uid="{00000000-0005-0000-0000-000095020000}"/>
    <cellStyle name="Normal 6 2 2 2 2 3" xfId="790" xr:uid="{00000000-0005-0000-0000-000096020000}"/>
    <cellStyle name="Normal 6 2 2 2 2 3 2" xfId="1006" xr:uid="{00000000-0005-0000-0000-000097020000}"/>
    <cellStyle name="Normal 6 2 2 2 2 3 2 2" xfId="1439" xr:uid="{00000000-0005-0000-0000-000098020000}"/>
    <cellStyle name="Normal 6 2 2 2 2 3 3" xfId="1223" xr:uid="{00000000-0005-0000-0000-000099020000}"/>
    <cellStyle name="Normal 6 2 2 2 2 4" xfId="862" xr:uid="{00000000-0005-0000-0000-00009A020000}"/>
    <cellStyle name="Normal 6 2 2 2 2 4 2" xfId="1295" xr:uid="{00000000-0005-0000-0000-00009B020000}"/>
    <cellStyle name="Normal 6 2 2 2 2 5" xfId="1079" xr:uid="{00000000-0005-0000-0000-00009C020000}"/>
    <cellStyle name="Normal 6 2 2 2 3" xfId="413" xr:uid="{00000000-0005-0000-0000-00009D020000}"/>
    <cellStyle name="Normal 6 2 2 2 3 2" xfId="719" xr:uid="{00000000-0005-0000-0000-00009E020000}"/>
    <cellStyle name="Normal 6 2 2 2 3 2 2" xfId="947" xr:uid="{00000000-0005-0000-0000-00009F020000}"/>
    <cellStyle name="Normal 6 2 2 2 3 2 2 2" xfId="1380" xr:uid="{00000000-0005-0000-0000-0000A0020000}"/>
    <cellStyle name="Normal 6 2 2 2 3 2 3" xfId="1164" xr:uid="{00000000-0005-0000-0000-0000A1020000}"/>
    <cellStyle name="Normal 6 2 2 2 3 3" xfId="803" xr:uid="{00000000-0005-0000-0000-0000A2020000}"/>
    <cellStyle name="Normal 6 2 2 2 3 3 2" xfId="1019" xr:uid="{00000000-0005-0000-0000-0000A3020000}"/>
    <cellStyle name="Normal 6 2 2 2 3 3 2 2" xfId="1452" xr:uid="{00000000-0005-0000-0000-0000A4020000}"/>
    <cellStyle name="Normal 6 2 2 2 3 3 3" xfId="1236" xr:uid="{00000000-0005-0000-0000-0000A5020000}"/>
    <cellStyle name="Normal 6 2 2 2 3 4" xfId="875" xr:uid="{00000000-0005-0000-0000-0000A6020000}"/>
    <cellStyle name="Normal 6 2 2 2 3 4 2" xfId="1308" xr:uid="{00000000-0005-0000-0000-0000A7020000}"/>
    <cellStyle name="Normal 6 2 2 2 3 5" xfId="1092" xr:uid="{00000000-0005-0000-0000-0000A8020000}"/>
    <cellStyle name="Normal 6 2 2 2 4" xfId="653" xr:uid="{00000000-0005-0000-0000-0000A9020000}"/>
    <cellStyle name="Normal 6 2 2 2 4 2" xfId="758" xr:uid="{00000000-0005-0000-0000-0000AA020000}"/>
    <cellStyle name="Normal 6 2 2 2 4 2 2" xfId="974" xr:uid="{00000000-0005-0000-0000-0000AB020000}"/>
    <cellStyle name="Normal 6 2 2 2 4 2 2 2" xfId="1407" xr:uid="{00000000-0005-0000-0000-0000AC020000}"/>
    <cellStyle name="Normal 6 2 2 2 4 2 3" xfId="1191" xr:uid="{00000000-0005-0000-0000-0000AD020000}"/>
    <cellStyle name="Normal 6 2 2 2 4 3" xfId="830" xr:uid="{00000000-0005-0000-0000-0000AE020000}"/>
    <cellStyle name="Normal 6 2 2 2 4 3 2" xfId="1046" xr:uid="{00000000-0005-0000-0000-0000AF020000}"/>
    <cellStyle name="Normal 6 2 2 2 4 3 2 2" xfId="1479" xr:uid="{00000000-0005-0000-0000-0000B0020000}"/>
    <cellStyle name="Normal 6 2 2 2 4 3 3" xfId="1263" xr:uid="{00000000-0005-0000-0000-0000B1020000}"/>
    <cellStyle name="Normal 6 2 2 2 4 4" xfId="902" xr:uid="{00000000-0005-0000-0000-0000B2020000}"/>
    <cellStyle name="Normal 6 2 2 2 4 4 2" xfId="1335" xr:uid="{00000000-0005-0000-0000-0000B3020000}"/>
    <cellStyle name="Normal 6 2 2 2 4 5" xfId="1119" xr:uid="{00000000-0005-0000-0000-0000B4020000}"/>
    <cellStyle name="Normal 6 2 2 2 5" xfId="692" xr:uid="{00000000-0005-0000-0000-0000B5020000}"/>
    <cellStyle name="Normal 6 2 2 2 5 2" xfId="921" xr:uid="{00000000-0005-0000-0000-0000B6020000}"/>
    <cellStyle name="Normal 6 2 2 2 5 2 2" xfId="1354" xr:uid="{00000000-0005-0000-0000-0000B7020000}"/>
    <cellStyle name="Normal 6 2 2 2 5 3" xfId="1138" xr:uid="{00000000-0005-0000-0000-0000B8020000}"/>
    <cellStyle name="Normal 6 2 2 2 6" xfId="777" xr:uid="{00000000-0005-0000-0000-0000B9020000}"/>
    <cellStyle name="Normal 6 2 2 2 6 2" xfId="993" xr:uid="{00000000-0005-0000-0000-0000BA020000}"/>
    <cellStyle name="Normal 6 2 2 2 6 2 2" xfId="1426" xr:uid="{00000000-0005-0000-0000-0000BB020000}"/>
    <cellStyle name="Normal 6 2 2 2 6 3" xfId="1210" xr:uid="{00000000-0005-0000-0000-0000BC020000}"/>
    <cellStyle name="Normal 6 2 2 2 7" xfId="849" xr:uid="{00000000-0005-0000-0000-0000BD020000}"/>
    <cellStyle name="Normal 6 2 2 2 7 2" xfId="1282" xr:uid="{00000000-0005-0000-0000-0000BE020000}"/>
    <cellStyle name="Normal 6 2 2 2 8" xfId="1066" xr:uid="{00000000-0005-0000-0000-0000BF020000}"/>
    <cellStyle name="Normal 6 2 2 3" xfId="370" xr:uid="{00000000-0005-0000-0000-0000C0020000}"/>
    <cellStyle name="Normal 6 2 2 3 2" xfId="705" xr:uid="{00000000-0005-0000-0000-0000C1020000}"/>
    <cellStyle name="Normal 6 2 2 3 2 2" xfId="933" xr:uid="{00000000-0005-0000-0000-0000C2020000}"/>
    <cellStyle name="Normal 6 2 2 3 2 2 2" xfId="1366" xr:uid="{00000000-0005-0000-0000-0000C3020000}"/>
    <cellStyle name="Normal 6 2 2 3 2 3" xfId="1150" xr:uid="{00000000-0005-0000-0000-0000C4020000}"/>
    <cellStyle name="Normal 6 2 2 3 3" xfId="789" xr:uid="{00000000-0005-0000-0000-0000C5020000}"/>
    <cellStyle name="Normal 6 2 2 3 3 2" xfId="1005" xr:uid="{00000000-0005-0000-0000-0000C6020000}"/>
    <cellStyle name="Normal 6 2 2 3 3 2 2" xfId="1438" xr:uid="{00000000-0005-0000-0000-0000C7020000}"/>
    <cellStyle name="Normal 6 2 2 3 3 3" xfId="1222" xr:uid="{00000000-0005-0000-0000-0000C8020000}"/>
    <cellStyle name="Normal 6 2 2 3 4" xfId="861" xr:uid="{00000000-0005-0000-0000-0000C9020000}"/>
    <cellStyle name="Normal 6 2 2 3 4 2" xfId="1294" xr:uid="{00000000-0005-0000-0000-0000CA020000}"/>
    <cellStyle name="Normal 6 2 2 3 5" xfId="1078" xr:uid="{00000000-0005-0000-0000-0000CB020000}"/>
    <cellStyle name="Normal 6 2 2 4" xfId="412" xr:uid="{00000000-0005-0000-0000-0000CC020000}"/>
    <cellStyle name="Normal 6 2 2 4 2" xfId="718" xr:uid="{00000000-0005-0000-0000-0000CD020000}"/>
    <cellStyle name="Normal 6 2 2 4 2 2" xfId="946" xr:uid="{00000000-0005-0000-0000-0000CE020000}"/>
    <cellStyle name="Normal 6 2 2 4 2 2 2" xfId="1379" xr:uid="{00000000-0005-0000-0000-0000CF020000}"/>
    <cellStyle name="Normal 6 2 2 4 2 3" xfId="1163" xr:uid="{00000000-0005-0000-0000-0000D0020000}"/>
    <cellStyle name="Normal 6 2 2 4 3" xfId="802" xr:uid="{00000000-0005-0000-0000-0000D1020000}"/>
    <cellStyle name="Normal 6 2 2 4 3 2" xfId="1018" xr:uid="{00000000-0005-0000-0000-0000D2020000}"/>
    <cellStyle name="Normal 6 2 2 4 3 2 2" xfId="1451" xr:uid="{00000000-0005-0000-0000-0000D3020000}"/>
    <cellStyle name="Normal 6 2 2 4 3 3" xfId="1235" xr:uid="{00000000-0005-0000-0000-0000D4020000}"/>
    <cellStyle name="Normal 6 2 2 4 4" xfId="874" xr:uid="{00000000-0005-0000-0000-0000D5020000}"/>
    <cellStyle name="Normal 6 2 2 4 4 2" xfId="1307" xr:uid="{00000000-0005-0000-0000-0000D6020000}"/>
    <cellStyle name="Normal 6 2 2 4 5" xfId="1091" xr:uid="{00000000-0005-0000-0000-0000D7020000}"/>
    <cellStyle name="Normal 6 2 2 5" xfId="652" xr:uid="{00000000-0005-0000-0000-0000D8020000}"/>
    <cellStyle name="Normal 6 2 2 5 2" xfId="757" xr:uid="{00000000-0005-0000-0000-0000D9020000}"/>
    <cellStyle name="Normal 6 2 2 5 2 2" xfId="973" xr:uid="{00000000-0005-0000-0000-0000DA020000}"/>
    <cellStyle name="Normal 6 2 2 5 2 2 2" xfId="1406" xr:uid="{00000000-0005-0000-0000-0000DB020000}"/>
    <cellStyle name="Normal 6 2 2 5 2 3" xfId="1190" xr:uid="{00000000-0005-0000-0000-0000DC020000}"/>
    <cellStyle name="Normal 6 2 2 5 3" xfId="829" xr:uid="{00000000-0005-0000-0000-0000DD020000}"/>
    <cellStyle name="Normal 6 2 2 5 3 2" xfId="1045" xr:uid="{00000000-0005-0000-0000-0000DE020000}"/>
    <cellStyle name="Normal 6 2 2 5 3 2 2" xfId="1478" xr:uid="{00000000-0005-0000-0000-0000DF020000}"/>
    <cellStyle name="Normal 6 2 2 5 3 3" xfId="1262" xr:uid="{00000000-0005-0000-0000-0000E0020000}"/>
    <cellStyle name="Normal 6 2 2 5 4" xfId="901" xr:uid="{00000000-0005-0000-0000-0000E1020000}"/>
    <cellStyle name="Normal 6 2 2 5 4 2" xfId="1334" xr:uid="{00000000-0005-0000-0000-0000E2020000}"/>
    <cellStyle name="Normal 6 2 2 5 5" xfId="1118" xr:uid="{00000000-0005-0000-0000-0000E3020000}"/>
    <cellStyle name="Normal 6 2 2 6" xfId="691" xr:uid="{00000000-0005-0000-0000-0000E4020000}"/>
    <cellStyle name="Normal 6 2 2 6 2" xfId="920" xr:uid="{00000000-0005-0000-0000-0000E5020000}"/>
    <cellStyle name="Normal 6 2 2 6 2 2" xfId="1353" xr:uid="{00000000-0005-0000-0000-0000E6020000}"/>
    <cellStyle name="Normal 6 2 2 6 3" xfId="1137" xr:uid="{00000000-0005-0000-0000-0000E7020000}"/>
    <cellStyle name="Normal 6 2 2 7" xfId="776" xr:uid="{00000000-0005-0000-0000-0000E8020000}"/>
    <cellStyle name="Normal 6 2 2 7 2" xfId="992" xr:uid="{00000000-0005-0000-0000-0000E9020000}"/>
    <cellStyle name="Normal 6 2 2 7 2 2" xfId="1425" xr:uid="{00000000-0005-0000-0000-0000EA020000}"/>
    <cellStyle name="Normal 6 2 2 7 3" xfId="1209" xr:uid="{00000000-0005-0000-0000-0000EB020000}"/>
    <cellStyle name="Normal 6 2 2 8" xfId="848" xr:uid="{00000000-0005-0000-0000-0000EC020000}"/>
    <cellStyle name="Normal 6 2 2 8 2" xfId="1281" xr:uid="{00000000-0005-0000-0000-0000ED020000}"/>
    <cellStyle name="Normal 6 2 2 9" xfId="1065" xr:uid="{00000000-0005-0000-0000-0000EE020000}"/>
    <cellStyle name="Normal 6 2 3" xfId="197" xr:uid="{00000000-0005-0000-0000-0000EF020000}"/>
    <cellStyle name="Normal 6 2 3 2" xfId="372" xr:uid="{00000000-0005-0000-0000-0000F0020000}"/>
    <cellStyle name="Normal 6 2 3 2 2" xfId="707" xr:uid="{00000000-0005-0000-0000-0000F1020000}"/>
    <cellStyle name="Normal 6 2 3 2 2 2" xfId="935" xr:uid="{00000000-0005-0000-0000-0000F2020000}"/>
    <cellStyle name="Normal 6 2 3 2 2 2 2" xfId="1368" xr:uid="{00000000-0005-0000-0000-0000F3020000}"/>
    <cellStyle name="Normal 6 2 3 2 2 3" xfId="1152" xr:uid="{00000000-0005-0000-0000-0000F4020000}"/>
    <cellStyle name="Normal 6 2 3 2 3" xfId="791" xr:uid="{00000000-0005-0000-0000-0000F5020000}"/>
    <cellStyle name="Normal 6 2 3 2 3 2" xfId="1007" xr:uid="{00000000-0005-0000-0000-0000F6020000}"/>
    <cellStyle name="Normal 6 2 3 2 3 2 2" xfId="1440" xr:uid="{00000000-0005-0000-0000-0000F7020000}"/>
    <cellStyle name="Normal 6 2 3 2 3 3" xfId="1224" xr:uid="{00000000-0005-0000-0000-0000F8020000}"/>
    <cellStyle name="Normal 6 2 3 2 4" xfId="863" xr:uid="{00000000-0005-0000-0000-0000F9020000}"/>
    <cellStyle name="Normal 6 2 3 2 4 2" xfId="1296" xr:uid="{00000000-0005-0000-0000-0000FA020000}"/>
    <cellStyle name="Normal 6 2 3 2 5" xfId="1080" xr:uid="{00000000-0005-0000-0000-0000FB020000}"/>
    <cellStyle name="Normal 6 2 3 3" xfId="414" xr:uid="{00000000-0005-0000-0000-0000FC020000}"/>
    <cellStyle name="Normal 6 2 3 3 2" xfId="720" xr:uid="{00000000-0005-0000-0000-0000FD020000}"/>
    <cellStyle name="Normal 6 2 3 3 2 2" xfId="948" xr:uid="{00000000-0005-0000-0000-0000FE020000}"/>
    <cellStyle name="Normal 6 2 3 3 2 2 2" xfId="1381" xr:uid="{00000000-0005-0000-0000-0000FF020000}"/>
    <cellStyle name="Normal 6 2 3 3 2 3" xfId="1165" xr:uid="{00000000-0005-0000-0000-000000030000}"/>
    <cellStyle name="Normal 6 2 3 3 3" xfId="804" xr:uid="{00000000-0005-0000-0000-000001030000}"/>
    <cellStyle name="Normal 6 2 3 3 3 2" xfId="1020" xr:uid="{00000000-0005-0000-0000-000002030000}"/>
    <cellStyle name="Normal 6 2 3 3 3 2 2" xfId="1453" xr:uid="{00000000-0005-0000-0000-000003030000}"/>
    <cellStyle name="Normal 6 2 3 3 3 3" xfId="1237" xr:uid="{00000000-0005-0000-0000-000004030000}"/>
    <cellStyle name="Normal 6 2 3 3 4" xfId="876" xr:uid="{00000000-0005-0000-0000-000005030000}"/>
    <cellStyle name="Normal 6 2 3 3 4 2" xfId="1309" xr:uid="{00000000-0005-0000-0000-000006030000}"/>
    <cellStyle name="Normal 6 2 3 3 5" xfId="1093" xr:uid="{00000000-0005-0000-0000-000007030000}"/>
    <cellStyle name="Normal 6 2 3 4" xfId="654" xr:uid="{00000000-0005-0000-0000-000008030000}"/>
    <cellStyle name="Normal 6 2 3 4 2" xfId="759" xr:uid="{00000000-0005-0000-0000-000009030000}"/>
    <cellStyle name="Normal 6 2 3 4 2 2" xfId="975" xr:uid="{00000000-0005-0000-0000-00000A030000}"/>
    <cellStyle name="Normal 6 2 3 4 2 2 2" xfId="1408" xr:uid="{00000000-0005-0000-0000-00000B030000}"/>
    <cellStyle name="Normal 6 2 3 4 2 3" xfId="1192" xr:uid="{00000000-0005-0000-0000-00000C030000}"/>
    <cellStyle name="Normal 6 2 3 4 3" xfId="831" xr:uid="{00000000-0005-0000-0000-00000D030000}"/>
    <cellStyle name="Normal 6 2 3 4 3 2" xfId="1047" xr:uid="{00000000-0005-0000-0000-00000E030000}"/>
    <cellStyle name="Normal 6 2 3 4 3 2 2" xfId="1480" xr:uid="{00000000-0005-0000-0000-00000F030000}"/>
    <cellStyle name="Normal 6 2 3 4 3 3" xfId="1264" xr:uid="{00000000-0005-0000-0000-000010030000}"/>
    <cellStyle name="Normal 6 2 3 4 4" xfId="903" xr:uid="{00000000-0005-0000-0000-000011030000}"/>
    <cellStyle name="Normal 6 2 3 4 4 2" xfId="1336" xr:uid="{00000000-0005-0000-0000-000012030000}"/>
    <cellStyle name="Normal 6 2 3 4 5" xfId="1120" xr:uid="{00000000-0005-0000-0000-000013030000}"/>
    <cellStyle name="Normal 6 2 3 5" xfId="693" xr:uid="{00000000-0005-0000-0000-000014030000}"/>
    <cellStyle name="Normal 6 2 3 5 2" xfId="922" xr:uid="{00000000-0005-0000-0000-000015030000}"/>
    <cellStyle name="Normal 6 2 3 5 2 2" xfId="1355" xr:uid="{00000000-0005-0000-0000-000016030000}"/>
    <cellStyle name="Normal 6 2 3 5 3" xfId="1139" xr:uid="{00000000-0005-0000-0000-000017030000}"/>
    <cellStyle name="Normal 6 2 3 6" xfId="778" xr:uid="{00000000-0005-0000-0000-000018030000}"/>
    <cellStyle name="Normal 6 2 3 6 2" xfId="994" xr:uid="{00000000-0005-0000-0000-000019030000}"/>
    <cellStyle name="Normal 6 2 3 6 2 2" xfId="1427" xr:uid="{00000000-0005-0000-0000-00001A030000}"/>
    <cellStyle name="Normal 6 2 3 6 3" xfId="1211" xr:uid="{00000000-0005-0000-0000-00001B030000}"/>
    <cellStyle name="Normal 6 2 3 7" xfId="850" xr:uid="{00000000-0005-0000-0000-00001C030000}"/>
    <cellStyle name="Normal 6 2 3 7 2" xfId="1283" xr:uid="{00000000-0005-0000-0000-00001D030000}"/>
    <cellStyle name="Normal 6 2 3 8" xfId="1067" xr:uid="{00000000-0005-0000-0000-00001E030000}"/>
    <cellStyle name="Normal 6 2 4" xfId="369" xr:uid="{00000000-0005-0000-0000-00001F030000}"/>
    <cellStyle name="Normal 6 2 4 2" xfId="704" xr:uid="{00000000-0005-0000-0000-000020030000}"/>
    <cellStyle name="Normal 6 2 4 2 2" xfId="932" xr:uid="{00000000-0005-0000-0000-000021030000}"/>
    <cellStyle name="Normal 6 2 4 2 2 2" xfId="1365" xr:uid="{00000000-0005-0000-0000-000022030000}"/>
    <cellStyle name="Normal 6 2 4 2 3" xfId="1149" xr:uid="{00000000-0005-0000-0000-000023030000}"/>
    <cellStyle name="Normal 6 2 4 3" xfId="788" xr:uid="{00000000-0005-0000-0000-000024030000}"/>
    <cellStyle name="Normal 6 2 4 3 2" xfId="1004" xr:uid="{00000000-0005-0000-0000-000025030000}"/>
    <cellStyle name="Normal 6 2 4 3 2 2" xfId="1437" xr:uid="{00000000-0005-0000-0000-000026030000}"/>
    <cellStyle name="Normal 6 2 4 3 3" xfId="1221" xr:uid="{00000000-0005-0000-0000-000027030000}"/>
    <cellStyle name="Normal 6 2 4 4" xfId="860" xr:uid="{00000000-0005-0000-0000-000028030000}"/>
    <cellStyle name="Normal 6 2 4 4 2" xfId="1293" xr:uid="{00000000-0005-0000-0000-000029030000}"/>
    <cellStyle name="Normal 6 2 4 5" xfId="1077" xr:uid="{00000000-0005-0000-0000-00002A030000}"/>
    <cellStyle name="Normal 6 2 5" xfId="411" xr:uid="{00000000-0005-0000-0000-00002B030000}"/>
    <cellStyle name="Normal 6 2 5 2" xfId="717" xr:uid="{00000000-0005-0000-0000-00002C030000}"/>
    <cellStyle name="Normal 6 2 5 2 2" xfId="945" xr:uid="{00000000-0005-0000-0000-00002D030000}"/>
    <cellStyle name="Normal 6 2 5 2 2 2" xfId="1378" xr:uid="{00000000-0005-0000-0000-00002E030000}"/>
    <cellStyle name="Normal 6 2 5 2 3" xfId="1162" xr:uid="{00000000-0005-0000-0000-00002F030000}"/>
    <cellStyle name="Normal 6 2 5 3" xfId="801" xr:uid="{00000000-0005-0000-0000-000030030000}"/>
    <cellStyle name="Normal 6 2 5 3 2" xfId="1017" xr:uid="{00000000-0005-0000-0000-000031030000}"/>
    <cellStyle name="Normal 6 2 5 3 2 2" xfId="1450" xr:uid="{00000000-0005-0000-0000-000032030000}"/>
    <cellStyle name="Normal 6 2 5 3 3" xfId="1234" xr:uid="{00000000-0005-0000-0000-000033030000}"/>
    <cellStyle name="Normal 6 2 5 4" xfId="873" xr:uid="{00000000-0005-0000-0000-000034030000}"/>
    <cellStyle name="Normal 6 2 5 4 2" xfId="1306" xr:uid="{00000000-0005-0000-0000-000035030000}"/>
    <cellStyle name="Normal 6 2 5 5" xfId="1090" xr:uid="{00000000-0005-0000-0000-000036030000}"/>
    <cellStyle name="Normal 6 2 6" xfId="651" xr:uid="{00000000-0005-0000-0000-000037030000}"/>
    <cellStyle name="Normal 6 2 6 2" xfId="756" xr:uid="{00000000-0005-0000-0000-000038030000}"/>
    <cellStyle name="Normal 6 2 6 2 2" xfId="972" xr:uid="{00000000-0005-0000-0000-000039030000}"/>
    <cellStyle name="Normal 6 2 6 2 2 2" xfId="1405" xr:uid="{00000000-0005-0000-0000-00003A030000}"/>
    <cellStyle name="Normal 6 2 6 2 3" xfId="1189" xr:uid="{00000000-0005-0000-0000-00003B030000}"/>
    <cellStyle name="Normal 6 2 6 3" xfId="828" xr:uid="{00000000-0005-0000-0000-00003C030000}"/>
    <cellStyle name="Normal 6 2 6 3 2" xfId="1044" xr:uid="{00000000-0005-0000-0000-00003D030000}"/>
    <cellStyle name="Normal 6 2 6 3 2 2" xfId="1477" xr:uid="{00000000-0005-0000-0000-00003E030000}"/>
    <cellStyle name="Normal 6 2 6 3 3" xfId="1261" xr:uid="{00000000-0005-0000-0000-00003F030000}"/>
    <cellStyle name="Normal 6 2 6 4" xfId="900" xr:uid="{00000000-0005-0000-0000-000040030000}"/>
    <cellStyle name="Normal 6 2 6 4 2" xfId="1333" xr:uid="{00000000-0005-0000-0000-000041030000}"/>
    <cellStyle name="Normal 6 2 6 5" xfId="1117" xr:uid="{00000000-0005-0000-0000-000042030000}"/>
    <cellStyle name="Normal 6 2 7" xfId="690" xr:uid="{00000000-0005-0000-0000-000043030000}"/>
    <cellStyle name="Normal 6 2 7 2" xfId="919" xr:uid="{00000000-0005-0000-0000-000044030000}"/>
    <cellStyle name="Normal 6 2 7 2 2" xfId="1352" xr:uid="{00000000-0005-0000-0000-000045030000}"/>
    <cellStyle name="Normal 6 2 7 3" xfId="1136" xr:uid="{00000000-0005-0000-0000-000046030000}"/>
    <cellStyle name="Normal 6 2 8" xfId="775" xr:uid="{00000000-0005-0000-0000-000047030000}"/>
    <cellStyle name="Normal 6 2 8 2" xfId="991" xr:uid="{00000000-0005-0000-0000-000048030000}"/>
    <cellStyle name="Normal 6 2 8 2 2" xfId="1424" xr:uid="{00000000-0005-0000-0000-000049030000}"/>
    <cellStyle name="Normal 6 2 8 3" xfId="1208" xr:uid="{00000000-0005-0000-0000-00004A030000}"/>
    <cellStyle name="Normal 6 2 9" xfId="847" xr:uid="{00000000-0005-0000-0000-00004B030000}"/>
    <cellStyle name="Normal 6 2 9 2" xfId="1280" xr:uid="{00000000-0005-0000-0000-00004C030000}"/>
    <cellStyle name="Normal 6 3" xfId="198" xr:uid="{00000000-0005-0000-0000-00004D030000}"/>
    <cellStyle name="Normal 6 3 2" xfId="199" xr:uid="{00000000-0005-0000-0000-00004E030000}"/>
    <cellStyle name="Normal 6 3 2 2" xfId="374" xr:uid="{00000000-0005-0000-0000-00004F030000}"/>
    <cellStyle name="Normal 6 3 2 2 2" xfId="709" xr:uid="{00000000-0005-0000-0000-000050030000}"/>
    <cellStyle name="Normal 6 3 2 2 2 2" xfId="937" xr:uid="{00000000-0005-0000-0000-000051030000}"/>
    <cellStyle name="Normal 6 3 2 2 2 2 2" xfId="1370" xr:uid="{00000000-0005-0000-0000-000052030000}"/>
    <cellStyle name="Normal 6 3 2 2 2 3" xfId="1154" xr:uid="{00000000-0005-0000-0000-000053030000}"/>
    <cellStyle name="Normal 6 3 2 2 3" xfId="793" xr:uid="{00000000-0005-0000-0000-000054030000}"/>
    <cellStyle name="Normal 6 3 2 2 3 2" xfId="1009" xr:uid="{00000000-0005-0000-0000-000055030000}"/>
    <cellStyle name="Normal 6 3 2 2 3 2 2" xfId="1442" xr:uid="{00000000-0005-0000-0000-000056030000}"/>
    <cellStyle name="Normal 6 3 2 2 3 3" xfId="1226" xr:uid="{00000000-0005-0000-0000-000057030000}"/>
    <cellStyle name="Normal 6 3 2 2 4" xfId="865" xr:uid="{00000000-0005-0000-0000-000058030000}"/>
    <cellStyle name="Normal 6 3 2 2 4 2" xfId="1298" xr:uid="{00000000-0005-0000-0000-000059030000}"/>
    <cellStyle name="Normal 6 3 2 2 5" xfId="1082" xr:uid="{00000000-0005-0000-0000-00005A030000}"/>
    <cellStyle name="Normal 6 3 2 3" xfId="416" xr:uid="{00000000-0005-0000-0000-00005B030000}"/>
    <cellStyle name="Normal 6 3 2 3 2" xfId="722" xr:uid="{00000000-0005-0000-0000-00005C030000}"/>
    <cellStyle name="Normal 6 3 2 3 2 2" xfId="950" xr:uid="{00000000-0005-0000-0000-00005D030000}"/>
    <cellStyle name="Normal 6 3 2 3 2 2 2" xfId="1383" xr:uid="{00000000-0005-0000-0000-00005E030000}"/>
    <cellStyle name="Normal 6 3 2 3 2 3" xfId="1167" xr:uid="{00000000-0005-0000-0000-00005F030000}"/>
    <cellStyle name="Normal 6 3 2 3 3" xfId="806" xr:uid="{00000000-0005-0000-0000-000060030000}"/>
    <cellStyle name="Normal 6 3 2 3 3 2" xfId="1022" xr:uid="{00000000-0005-0000-0000-000061030000}"/>
    <cellStyle name="Normal 6 3 2 3 3 2 2" xfId="1455" xr:uid="{00000000-0005-0000-0000-000062030000}"/>
    <cellStyle name="Normal 6 3 2 3 3 3" xfId="1239" xr:uid="{00000000-0005-0000-0000-000063030000}"/>
    <cellStyle name="Normal 6 3 2 3 4" xfId="878" xr:uid="{00000000-0005-0000-0000-000064030000}"/>
    <cellStyle name="Normal 6 3 2 3 4 2" xfId="1311" xr:uid="{00000000-0005-0000-0000-000065030000}"/>
    <cellStyle name="Normal 6 3 2 3 5" xfId="1095" xr:uid="{00000000-0005-0000-0000-000066030000}"/>
    <cellStyle name="Normal 6 3 2 4" xfId="656" xr:uid="{00000000-0005-0000-0000-000067030000}"/>
    <cellStyle name="Normal 6 3 2 4 2" xfId="761" xr:uid="{00000000-0005-0000-0000-000068030000}"/>
    <cellStyle name="Normal 6 3 2 4 2 2" xfId="977" xr:uid="{00000000-0005-0000-0000-000069030000}"/>
    <cellStyle name="Normal 6 3 2 4 2 2 2" xfId="1410" xr:uid="{00000000-0005-0000-0000-00006A030000}"/>
    <cellStyle name="Normal 6 3 2 4 2 3" xfId="1194" xr:uid="{00000000-0005-0000-0000-00006B030000}"/>
    <cellStyle name="Normal 6 3 2 4 3" xfId="833" xr:uid="{00000000-0005-0000-0000-00006C030000}"/>
    <cellStyle name="Normal 6 3 2 4 3 2" xfId="1049" xr:uid="{00000000-0005-0000-0000-00006D030000}"/>
    <cellStyle name="Normal 6 3 2 4 3 2 2" xfId="1482" xr:uid="{00000000-0005-0000-0000-00006E030000}"/>
    <cellStyle name="Normal 6 3 2 4 3 3" xfId="1266" xr:uid="{00000000-0005-0000-0000-00006F030000}"/>
    <cellStyle name="Normal 6 3 2 4 4" xfId="905" xr:uid="{00000000-0005-0000-0000-000070030000}"/>
    <cellStyle name="Normal 6 3 2 4 4 2" xfId="1338" xr:uid="{00000000-0005-0000-0000-000071030000}"/>
    <cellStyle name="Normal 6 3 2 4 5" xfId="1122" xr:uid="{00000000-0005-0000-0000-000072030000}"/>
    <cellStyle name="Normal 6 3 2 5" xfId="695" xr:uid="{00000000-0005-0000-0000-000073030000}"/>
    <cellStyle name="Normal 6 3 2 5 2" xfId="924" xr:uid="{00000000-0005-0000-0000-000074030000}"/>
    <cellStyle name="Normal 6 3 2 5 2 2" xfId="1357" xr:uid="{00000000-0005-0000-0000-000075030000}"/>
    <cellStyle name="Normal 6 3 2 5 3" xfId="1141" xr:uid="{00000000-0005-0000-0000-000076030000}"/>
    <cellStyle name="Normal 6 3 2 6" xfId="780" xr:uid="{00000000-0005-0000-0000-000077030000}"/>
    <cellStyle name="Normal 6 3 2 6 2" xfId="996" xr:uid="{00000000-0005-0000-0000-000078030000}"/>
    <cellStyle name="Normal 6 3 2 6 2 2" xfId="1429" xr:uid="{00000000-0005-0000-0000-000079030000}"/>
    <cellStyle name="Normal 6 3 2 6 3" xfId="1213" xr:uid="{00000000-0005-0000-0000-00007A030000}"/>
    <cellStyle name="Normal 6 3 2 7" xfId="852" xr:uid="{00000000-0005-0000-0000-00007B030000}"/>
    <cellStyle name="Normal 6 3 2 7 2" xfId="1285" xr:uid="{00000000-0005-0000-0000-00007C030000}"/>
    <cellStyle name="Normal 6 3 2 8" xfId="1069" xr:uid="{00000000-0005-0000-0000-00007D030000}"/>
    <cellStyle name="Normal 6 3 3" xfId="373" xr:uid="{00000000-0005-0000-0000-00007E030000}"/>
    <cellStyle name="Normal 6 3 3 2" xfId="708" xr:uid="{00000000-0005-0000-0000-00007F030000}"/>
    <cellStyle name="Normal 6 3 3 2 2" xfId="936" xr:uid="{00000000-0005-0000-0000-000080030000}"/>
    <cellStyle name="Normal 6 3 3 2 2 2" xfId="1369" xr:uid="{00000000-0005-0000-0000-000081030000}"/>
    <cellStyle name="Normal 6 3 3 2 3" xfId="1153" xr:uid="{00000000-0005-0000-0000-000082030000}"/>
    <cellStyle name="Normal 6 3 3 3" xfId="792" xr:uid="{00000000-0005-0000-0000-000083030000}"/>
    <cellStyle name="Normal 6 3 3 3 2" xfId="1008" xr:uid="{00000000-0005-0000-0000-000084030000}"/>
    <cellStyle name="Normal 6 3 3 3 2 2" xfId="1441" xr:uid="{00000000-0005-0000-0000-000085030000}"/>
    <cellStyle name="Normal 6 3 3 3 3" xfId="1225" xr:uid="{00000000-0005-0000-0000-000086030000}"/>
    <cellStyle name="Normal 6 3 3 4" xfId="864" xr:uid="{00000000-0005-0000-0000-000087030000}"/>
    <cellStyle name="Normal 6 3 3 4 2" xfId="1297" xr:uid="{00000000-0005-0000-0000-000088030000}"/>
    <cellStyle name="Normal 6 3 3 5" xfId="1081" xr:uid="{00000000-0005-0000-0000-000089030000}"/>
    <cellStyle name="Normal 6 3 4" xfId="415" xr:uid="{00000000-0005-0000-0000-00008A030000}"/>
    <cellStyle name="Normal 6 3 4 2" xfId="721" xr:uid="{00000000-0005-0000-0000-00008B030000}"/>
    <cellStyle name="Normal 6 3 4 2 2" xfId="949" xr:uid="{00000000-0005-0000-0000-00008C030000}"/>
    <cellStyle name="Normal 6 3 4 2 2 2" xfId="1382" xr:uid="{00000000-0005-0000-0000-00008D030000}"/>
    <cellStyle name="Normal 6 3 4 2 3" xfId="1166" xr:uid="{00000000-0005-0000-0000-00008E030000}"/>
    <cellStyle name="Normal 6 3 4 3" xfId="805" xr:uid="{00000000-0005-0000-0000-00008F030000}"/>
    <cellStyle name="Normal 6 3 4 3 2" xfId="1021" xr:uid="{00000000-0005-0000-0000-000090030000}"/>
    <cellStyle name="Normal 6 3 4 3 2 2" xfId="1454" xr:uid="{00000000-0005-0000-0000-000091030000}"/>
    <cellStyle name="Normal 6 3 4 3 3" xfId="1238" xr:uid="{00000000-0005-0000-0000-000092030000}"/>
    <cellStyle name="Normal 6 3 4 4" xfId="877" xr:uid="{00000000-0005-0000-0000-000093030000}"/>
    <cellStyle name="Normal 6 3 4 4 2" xfId="1310" xr:uid="{00000000-0005-0000-0000-000094030000}"/>
    <cellStyle name="Normal 6 3 4 5" xfId="1094" xr:uid="{00000000-0005-0000-0000-000095030000}"/>
    <cellStyle name="Normal 6 3 5" xfId="655" xr:uid="{00000000-0005-0000-0000-000096030000}"/>
    <cellStyle name="Normal 6 3 5 2" xfId="760" xr:uid="{00000000-0005-0000-0000-000097030000}"/>
    <cellStyle name="Normal 6 3 5 2 2" xfId="976" xr:uid="{00000000-0005-0000-0000-000098030000}"/>
    <cellStyle name="Normal 6 3 5 2 2 2" xfId="1409" xr:uid="{00000000-0005-0000-0000-000099030000}"/>
    <cellStyle name="Normal 6 3 5 2 3" xfId="1193" xr:uid="{00000000-0005-0000-0000-00009A030000}"/>
    <cellStyle name="Normal 6 3 5 3" xfId="832" xr:uid="{00000000-0005-0000-0000-00009B030000}"/>
    <cellStyle name="Normal 6 3 5 3 2" xfId="1048" xr:uid="{00000000-0005-0000-0000-00009C030000}"/>
    <cellStyle name="Normal 6 3 5 3 2 2" xfId="1481" xr:uid="{00000000-0005-0000-0000-00009D030000}"/>
    <cellStyle name="Normal 6 3 5 3 3" xfId="1265" xr:uid="{00000000-0005-0000-0000-00009E030000}"/>
    <cellStyle name="Normal 6 3 5 4" xfId="904" xr:uid="{00000000-0005-0000-0000-00009F030000}"/>
    <cellStyle name="Normal 6 3 5 4 2" xfId="1337" xr:uid="{00000000-0005-0000-0000-0000A0030000}"/>
    <cellStyle name="Normal 6 3 5 5" xfId="1121" xr:uid="{00000000-0005-0000-0000-0000A1030000}"/>
    <cellStyle name="Normal 6 3 6" xfId="694" xr:uid="{00000000-0005-0000-0000-0000A2030000}"/>
    <cellStyle name="Normal 6 3 6 2" xfId="923" xr:uid="{00000000-0005-0000-0000-0000A3030000}"/>
    <cellStyle name="Normal 6 3 6 2 2" xfId="1356" xr:uid="{00000000-0005-0000-0000-0000A4030000}"/>
    <cellStyle name="Normal 6 3 6 3" xfId="1140" xr:uid="{00000000-0005-0000-0000-0000A5030000}"/>
    <cellStyle name="Normal 6 3 7" xfId="779" xr:uid="{00000000-0005-0000-0000-0000A6030000}"/>
    <cellStyle name="Normal 6 3 7 2" xfId="995" xr:uid="{00000000-0005-0000-0000-0000A7030000}"/>
    <cellStyle name="Normal 6 3 7 2 2" xfId="1428" xr:uid="{00000000-0005-0000-0000-0000A8030000}"/>
    <cellStyle name="Normal 6 3 7 3" xfId="1212" xr:uid="{00000000-0005-0000-0000-0000A9030000}"/>
    <cellStyle name="Normal 6 3 8" xfId="851" xr:uid="{00000000-0005-0000-0000-0000AA030000}"/>
    <cellStyle name="Normal 6 3 8 2" xfId="1284" xr:uid="{00000000-0005-0000-0000-0000AB030000}"/>
    <cellStyle name="Normal 6 3 9" xfId="1068" xr:uid="{00000000-0005-0000-0000-0000AC030000}"/>
    <cellStyle name="Normal 6 4" xfId="200" xr:uid="{00000000-0005-0000-0000-0000AD030000}"/>
    <cellStyle name="Normal 6 4 2" xfId="375" xr:uid="{00000000-0005-0000-0000-0000AE030000}"/>
    <cellStyle name="Normal 6 4 2 2" xfId="710" xr:uid="{00000000-0005-0000-0000-0000AF030000}"/>
    <cellStyle name="Normal 6 4 2 2 2" xfId="938" xr:uid="{00000000-0005-0000-0000-0000B0030000}"/>
    <cellStyle name="Normal 6 4 2 2 2 2" xfId="1371" xr:uid="{00000000-0005-0000-0000-0000B1030000}"/>
    <cellStyle name="Normal 6 4 2 2 3" xfId="1155" xr:uid="{00000000-0005-0000-0000-0000B2030000}"/>
    <cellStyle name="Normal 6 4 2 3" xfId="794" xr:uid="{00000000-0005-0000-0000-0000B3030000}"/>
    <cellStyle name="Normal 6 4 2 3 2" xfId="1010" xr:uid="{00000000-0005-0000-0000-0000B4030000}"/>
    <cellStyle name="Normal 6 4 2 3 2 2" xfId="1443" xr:uid="{00000000-0005-0000-0000-0000B5030000}"/>
    <cellStyle name="Normal 6 4 2 3 3" xfId="1227" xr:uid="{00000000-0005-0000-0000-0000B6030000}"/>
    <cellStyle name="Normal 6 4 2 4" xfId="866" xr:uid="{00000000-0005-0000-0000-0000B7030000}"/>
    <cellStyle name="Normal 6 4 2 4 2" xfId="1299" xr:uid="{00000000-0005-0000-0000-0000B8030000}"/>
    <cellStyle name="Normal 6 4 2 5" xfId="1083" xr:uid="{00000000-0005-0000-0000-0000B9030000}"/>
    <cellStyle name="Normal 6 4 3" xfId="417" xr:uid="{00000000-0005-0000-0000-0000BA030000}"/>
    <cellStyle name="Normal 6 4 3 2" xfId="723" xr:uid="{00000000-0005-0000-0000-0000BB030000}"/>
    <cellStyle name="Normal 6 4 3 2 2" xfId="951" xr:uid="{00000000-0005-0000-0000-0000BC030000}"/>
    <cellStyle name="Normal 6 4 3 2 2 2" xfId="1384" xr:uid="{00000000-0005-0000-0000-0000BD030000}"/>
    <cellStyle name="Normal 6 4 3 2 3" xfId="1168" xr:uid="{00000000-0005-0000-0000-0000BE030000}"/>
    <cellStyle name="Normal 6 4 3 3" xfId="807" xr:uid="{00000000-0005-0000-0000-0000BF030000}"/>
    <cellStyle name="Normal 6 4 3 3 2" xfId="1023" xr:uid="{00000000-0005-0000-0000-0000C0030000}"/>
    <cellStyle name="Normal 6 4 3 3 2 2" xfId="1456" xr:uid="{00000000-0005-0000-0000-0000C1030000}"/>
    <cellStyle name="Normal 6 4 3 3 3" xfId="1240" xr:uid="{00000000-0005-0000-0000-0000C2030000}"/>
    <cellStyle name="Normal 6 4 3 4" xfId="879" xr:uid="{00000000-0005-0000-0000-0000C3030000}"/>
    <cellStyle name="Normal 6 4 3 4 2" xfId="1312" xr:uid="{00000000-0005-0000-0000-0000C4030000}"/>
    <cellStyle name="Normal 6 4 3 5" xfId="1096" xr:uid="{00000000-0005-0000-0000-0000C5030000}"/>
    <cellStyle name="Normal 6 4 4" xfId="657" xr:uid="{00000000-0005-0000-0000-0000C6030000}"/>
    <cellStyle name="Normal 6 4 4 2" xfId="762" xr:uid="{00000000-0005-0000-0000-0000C7030000}"/>
    <cellStyle name="Normal 6 4 4 2 2" xfId="978" xr:uid="{00000000-0005-0000-0000-0000C8030000}"/>
    <cellStyle name="Normal 6 4 4 2 2 2" xfId="1411" xr:uid="{00000000-0005-0000-0000-0000C9030000}"/>
    <cellStyle name="Normal 6 4 4 2 3" xfId="1195" xr:uid="{00000000-0005-0000-0000-0000CA030000}"/>
    <cellStyle name="Normal 6 4 4 3" xfId="834" xr:uid="{00000000-0005-0000-0000-0000CB030000}"/>
    <cellStyle name="Normal 6 4 4 3 2" xfId="1050" xr:uid="{00000000-0005-0000-0000-0000CC030000}"/>
    <cellStyle name="Normal 6 4 4 3 2 2" xfId="1483" xr:uid="{00000000-0005-0000-0000-0000CD030000}"/>
    <cellStyle name="Normal 6 4 4 3 3" xfId="1267" xr:uid="{00000000-0005-0000-0000-0000CE030000}"/>
    <cellStyle name="Normal 6 4 4 4" xfId="906" xr:uid="{00000000-0005-0000-0000-0000CF030000}"/>
    <cellStyle name="Normal 6 4 4 4 2" xfId="1339" xr:uid="{00000000-0005-0000-0000-0000D0030000}"/>
    <cellStyle name="Normal 6 4 4 5" xfId="1123" xr:uid="{00000000-0005-0000-0000-0000D1030000}"/>
    <cellStyle name="Normal 6 4 5" xfId="696" xr:uid="{00000000-0005-0000-0000-0000D2030000}"/>
    <cellStyle name="Normal 6 4 5 2" xfId="925" xr:uid="{00000000-0005-0000-0000-0000D3030000}"/>
    <cellStyle name="Normal 6 4 5 2 2" xfId="1358" xr:uid="{00000000-0005-0000-0000-0000D4030000}"/>
    <cellStyle name="Normal 6 4 5 3" xfId="1142" xr:uid="{00000000-0005-0000-0000-0000D5030000}"/>
    <cellStyle name="Normal 6 4 6" xfId="781" xr:uid="{00000000-0005-0000-0000-0000D6030000}"/>
    <cellStyle name="Normal 6 4 6 2" xfId="997" xr:uid="{00000000-0005-0000-0000-0000D7030000}"/>
    <cellStyle name="Normal 6 4 6 2 2" xfId="1430" xr:uid="{00000000-0005-0000-0000-0000D8030000}"/>
    <cellStyle name="Normal 6 4 6 3" xfId="1214" xr:uid="{00000000-0005-0000-0000-0000D9030000}"/>
    <cellStyle name="Normal 6 4 7" xfId="853" xr:uid="{00000000-0005-0000-0000-0000DA030000}"/>
    <cellStyle name="Normal 6 4 7 2" xfId="1286" xr:uid="{00000000-0005-0000-0000-0000DB030000}"/>
    <cellStyle name="Normal 6 4 8" xfId="1070" xr:uid="{00000000-0005-0000-0000-0000DC030000}"/>
    <cellStyle name="Normal 6 5" xfId="368" xr:uid="{00000000-0005-0000-0000-0000DD030000}"/>
    <cellStyle name="Normal 6 5 2" xfId="703" xr:uid="{00000000-0005-0000-0000-0000DE030000}"/>
    <cellStyle name="Normal 6 5 2 2" xfId="931" xr:uid="{00000000-0005-0000-0000-0000DF030000}"/>
    <cellStyle name="Normal 6 5 2 2 2" xfId="1364" xr:uid="{00000000-0005-0000-0000-0000E0030000}"/>
    <cellStyle name="Normal 6 5 2 3" xfId="1148" xr:uid="{00000000-0005-0000-0000-0000E1030000}"/>
    <cellStyle name="Normal 6 5 3" xfId="787" xr:uid="{00000000-0005-0000-0000-0000E2030000}"/>
    <cellStyle name="Normal 6 5 3 2" xfId="1003" xr:uid="{00000000-0005-0000-0000-0000E3030000}"/>
    <cellStyle name="Normal 6 5 3 2 2" xfId="1436" xr:uid="{00000000-0005-0000-0000-0000E4030000}"/>
    <cellStyle name="Normal 6 5 3 3" xfId="1220" xr:uid="{00000000-0005-0000-0000-0000E5030000}"/>
    <cellStyle name="Normal 6 5 4" xfId="859" xr:uid="{00000000-0005-0000-0000-0000E6030000}"/>
    <cellStyle name="Normal 6 5 4 2" xfId="1292" xr:uid="{00000000-0005-0000-0000-0000E7030000}"/>
    <cellStyle name="Normal 6 5 5" xfId="1076" xr:uid="{00000000-0005-0000-0000-0000E8030000}"/>
    <cellStyle name="Normal 6 6" xfId="410" xr:uid="{00000000-0005-0000-0000-0000E9030000}"/>
    <cellStyle name="Normal 6 6 2" xfId="716" xr:uid="{00000000-0005-0000-0000-0000EA030000}"/>
    <cellStyle name="Normal 6 6 2 2" xfId="944" xr:uid="{00000000-0005-0000-0000-0000EB030000}"/>
    <cellStyle name="Normal 6 6 2 2 2" xfId="1377" xr:uid="{00000000-0005-0000-0000-0000EC030000}"/>
    <cellStyle name="Normal 6 6 2 3" xfId="1161" xr:uid="{00000000-0005-0000-0000-0000ED030000}"/>
    <cellStyle name="Normal 6 6 3" xfId="800" xr:uid="{00000000-0005-0000-0000-0000EE030000}"/>
    <cellStyle name="Normal 6 6 3 2" xfId="1016" xr:uid="{00000000-0005-0000-0000-0000EF030000}"/>
    <cellStyle name="Normal 6 6 3 2 2" xfId="1449" xr:uid="{00000000-0005-0000-0000-0000F0030000}"/>
    <cellStyle name="Normal 6 6 3 3" xfId="1233" xr:uid="{00000000-0005-0000-0000-0000F1030000}"/>
    <cellStyle name="Normal 6 6 4" xfId="872" xr:uid="{00000000-0005-0000-0000-0000F2030000}"/>
    <cellStyle name="Normal 6 6 4 2" xfId="1305" xr:uid="{00000000-0005-0000-0000-0000F3030000}"/>
    <cellStyle name="Normal 6 6 5" xfId="1089" xr:uid="{00000000-0005-0000-0000-0000F4030000}"/>
    <cellStyle name="Normal 6 7" xfId="622" xr:uid="{00000000-0005-0000-0000-0000F5030000}"/>
    <cellStyle name="Normal 6 8" xfId="650" xr:uid="{00000000-0005-0000-0000-0000F6030000}"/>
    <cellStyle name="Normal 6 8 2" xfId="755" xr:uid="{00000000-0005-0000-0000-0000F7030000}"/>
    <cellStyle name="Normal 6 8 2 2" xfId="971" xr:uid="{00000000-0005-0000-0000-0000F8030000}"/>
    <cellStyle name="Normal 6 8 2 2 2" xfId="1404" xr:uid="{00000000-0005-0000-0000-0000F9030000}"/>
    <cellStyle name="Normal 6 8 2 3" xfId="1188" xr:uid="{00000000-0005-0000-0000-0000FA030000}"/>
    <cellStyle name="Normal 6 8 3" xfId="827" xr:uid="{00000000-0005-0000-0000-0000FB030000}"/>
    <cellStyle name="Normal 6 8 3 2" xfId="1043" xr:uid="{00000000-0005-0000-0000-0000FC030000}"/>
    <cellStyle name="Normal 6 8 3 2 2" xfId="1476" xr:uid="{00000000-0005-0000-0000-0000FD030000}"/>
    <cellStyle name="Normal 6 8 3 3" xfId="1260" xr:uid="{00000000-0005-0000-0000-0000FE030000}"/>
    <cellStyle name="Normal 6 8 4" xfId="899" xr:uid="{00000000-0005-0000-0000-0000FF030000}"/>
    <cellStyle name="Normal 6 8 4 2" xfId="1332" xr:uid="{00000000-0005-0000-0000-000000040000}"/>
    <cellStyle name="Normal 6 8 5" xfId="1116" xr:uid="{00000000-0005-0000-0000-000001040000}"/>
    <cellStyle name="Normal 6 9" xfId="689" xr:uid="{00000000-0005-0000-0000-000002040000}"/>
    <cellStyle name="Normal 6 9 2" xfId="918" xr:uid="{00000000-0005-0000-0000-000003040000}"/>
    <cellStyle name="Normal 6 9 2 2" xfId="1351" xr:uid="{00000000-0005-0000-0000-000004040000}"/>
    <cellStyle name="Normal 6 9 3" xfId="1135" xr:uid="{00000000-0005-0000-0000-000005040000}"/>
    <cellStyle name="Normal 69 3" xfId="1496" xr:uid="{00000000-0005-0000-0000-000006040000}"/>
    <cellStyle name="Normal 69 3 2" xfId="1501" xr:uid="{00000000-0005-0000-0000-000007040000}"/>
    <cellStyle name="Normal 7" xfId="201" xr:uid="{00000000-0005-0000-0000-000008040000}"/>
    <cellStyle name="Normal 7 2" xfId="444" xr:uid="{00000000-0005-0000-0000-000009040000}"/>
    <cellStyle name="Normal 8" xfId="202" xr:uid="{00000000-0005-0000-0000-00000A040000}"/>
    <cellStyle name="Normal 8 10" xfId="443" xr:uid="{00000000-0005-0000-0000-00000B040000}"/>
    <cellStyle name="Normal 8 10 2" xfId="442" xr:uid="{00000000-0005-0000-0000-00000C040000}"/>
    <cellStyle name="Normal 8 11" xfId="441" xr:uid="{00000000-0005-0000-0000-00000D040000}"/>
    <cellStyle name="Normal 8 12" xfId="440" xr:uid="{00000000-0005-0000-0000-00000E040000}"/>
    <cellStyle name="Normal 8 13" xfId="658" xr:uid="{00000000-0005-0000-0000-00000F040000}"/>
    <cellStyle name="Normal 8 13 2" xfId="763" xr:uid="{00000000-0005-0000-0000-000010040000}"/>
    <cellStyle name="Normal 8 13 2 2" xfId="979" xr:uid="{00000000-0005-0000-0000-000011040000}"/>
    <cellStyle name="Normal 8 13 2 2 2" xfId="1412" xr:uid="{00000000-0005-0000-0000-000012040000}"/>
    <cellStyle name="Normal 8 13 2 3" xfId="1196" xr:uid="{00000000-0005-0000-0000-000013040000}"/>
    <cellStyle name="Normal 8 13 3" xfId="835" xr:uid="{00000000-0005-0000-0000-000014040000}"/>
    <cellStyle name="Normal 8 13 3 2" xfId="1051" xr:uid="{00000000-0005-0000-0000-000015040000}"/>
    <cellStyle name="Normal 8 13 3 2 2" xfId="1484" xr:uid="{00000000-0005-0000-0000-000016040000}"/>
    <cellStyle name="Normal 8 13 3 3" xfId="1268" xr:uid="{00000000-0005-0000-0000-000017040000}"/>
    <cellStyle name="Normal 8 13 4" xfId="907" xr:uid="{00000000-0005-0000-0000-000018040000}"/>
    <cellStyle name="Normal 8 13 4 2" xfId="1340" xr:uid="{00000000-0005-0000-0000-000019040000}"/>
    <cellStyle name="Normal 8 13 5" xfId="1124" xr:uid="{00000000-0005-0000-0000-00001A040000}"/>
    <cellStyle name="Normal 8 14" xfId="697" xr:uid="{00000000-0005-0000-0000-00001B040000}"/>
    <cellStyle name="Normal 8 14 2" xfId="926" xr:uid="{00000000-0005-0000-0000-00001C040000}"/>
    <cellStyle name="Normal 8 14 2 2" xfId="1359" xr:uid="{00000000-0005-0000-0000-00001D040000}"/>
    <cellStyle name="Normal 8 14 3" xfId="1143" xr:uid="{00000000-0005-0000-0000-00001E040000}"/>
    <cellStyle name="Normal 8 15" xfId="782" xr:uid="{00000000-0005-0000-0000-00001F040000}"/>
    <cellStyle name="Normal 8 15 2" xfId="998" xr:uid="{00000000-0005-0000-0000-000020040000}"/>
    <cellStyle name="Normal 8 15 2 2" xfId="1431" xr:uid="{00000000-0005-0000-0000-000021040000}"/>
    <cellStyle name="Normal 8 15 3" xfId="1215" xr:uid="{00000000-0005-0000-0000-000022040000}"/>
    <cellStyle name="Normal 8 16" xfId="854" xr:uid="{00000000-0005-0000-0000-000023040000}"/>
    <cellStyle name="Normal 8 16 2" xfId="1287" xr:uid="{00000000-0005-0000-0000-000024040000}"/>
    <cellStyle name="Normal 8 17" xfId="1071" xr:uid="{00000000-0005-0000-0000-000025040000}"/>
    <cellStyle name="Normal 8 2" xfId="203" xr:uid="{00000000-0005-0000-0000-000026040000}"/>
    <cellStyle name="Normal 8 2 10" xfId="855" xr:uid="{00000000-0005-0000-0000-000027040000}"/>
    <cellStyle name="Normal 8 2 10 2" xfId="1288" xr:uid="{00000000-0005-0000-0000-000028040000}"/>
    <cellStyle name="Normal 8 2 11" xfId="1072" xr:uid="{00000000-0005-0000-0000-000029040000}"/>
    <cellStyle name="Normal 8 2 2" xfId="377" xr:uid="{00000000-0005-0000-0000-00002A040000}"/>
    <cellStyle name="Normal 8 2 2 2" xfId="439" xr:uid="{00000000-0005-0000-0000-00002B040000}"/>
    <cellStyle name="Normal 8 2 2 3" xfId="712" xr:uid="{00000000-0005-0000-0000-00002C040000}"/>
    <cellStyle name="Normal 8 2 2 3 2" xfId="940" xr:uid="{00000000-0005-0000-0000-00002D040000}"/>
    <cellStyle name="Normal 8 2 2 3 2 2" xfId="1373" xr:uid="{00000000-0005-0000-0000-00002E040000}"/>
    <cellStyle name="Normal 8 2 2 3 3" xfId="1157" xr:uid="{00000000-0005-0000-0000-00002F040000}"/>
    <cellStyle name="Normal 8 2 2 4" xfId="796" xr:uid="{00000000-0005-0000-0000-000030040000}"/>
    <cellStyle name="Normal 8 2 2 4 2" xfId="1012" xr:uid="{00000000-0005-0000-0000-000031040000}"/>
    <cellStyle name="Normal 8 2 2 4 2 2" xfId="1445" xr:uid="{00000000-0005-0000-0000-000032040000}"/>
    <cellStyle name="Normal 8 2 2 4 3" xfId="1229" xr:uid="{00000000-0005-0000-0000-000033040000}"/>
    <cellStyle name="Normal 8 2 2 5" xfId="868" xr:uid="{00000000-0005-0000-0000-000034040000}"/>
    <cellStyle name="Normal 8 2 2 5 2" xfId="1301" xr:uid="{00000000-0005-0000-0000-000035040000}"/>
    <cellStyle name="Normal 8 2 2 6" xfId="1085" xr:uid="{00000000-0005-0000-0000-000036040000}"/>
    <cellStyle name="Normal 8 2 3" xfId="420" xr:uid="{00000000-0005-0000-0000-000037040000}"/>
    <cellStyle name="Normal 8 2 3 2" xfId="438" xr:uid="{00000000-0005-0000-0000-000038040000}"/>
    <cellStyle name="Normal 8 2 3 3" xfId="725" xr:uid="{00000000-0005-0000-0000-000039040000}"/>
    <cellStyle name="Normal 8 2 3 3 2" xfId="953" xr:uid="{00000000-0005-0000-0000-00003A040000}"/>
    <cellStyle name="Normal 8 2 3 3 2 2" xfId="1386" xr:uid="{00000000-0005-0000-0000-00003B040000}"/>
    <cellStyle name="Normal 8 2 3 3 3" xfId="1170" xr:uid="{00000000-0005-0000-0000-00003C040000}"/>
    <cellStyle name="Normal 8 2 3 4" xfId="809" xr:uid="{00000000-0005-0000-0000-00003D040000}"/>
    <cellStyle name="Normal 8 2 3 4 2" xfId="1025" xr:uid="{00000000-0005-0000-0000-00003E040000}"/>
    <cellStyle name="Normal 8 2 3 4 2 2" xfId="1458" xr:uid="{00000000-0005-0000-0000-00003F040000}"/>
    <cellStyle name="Normal 8 2 3 4 3" xfId="1242" xr:uid="{00000000-0005-0000-0000-000040040000}"/>
    <cellStyle name="Normal 8 2 3 5" xfId="881" xr:uid="{00000000-0005-0000-0000-000041040000}"/>
    <cellStyle name="Normal 8 2 3 5 2" xfId="1314" xr:uid="{00000000-0005-0000-0000-000042040000}"/>
    <cellStyle name="Normal 8 2 3 6" xfId="1098" xr:uid="{00000000-0005-0000-0000-000043040000}"/>
    <cellStyle name="Normal 8 2 4" xfId="437" xr:uid="{00000000-0005-0000-0000-000044040000}"/>
    <cellStyle name="Normal 8 2 4 2" xfId="436" xr:uid="{00000000-0005-0000-0000-000045040000}"/>
    <cellStyle name="Normal 8 2 5" xfId="435" xr:uid="{00000000-0005-0000-0000-000046040000}"/>
    <cellStyle name="Normal 8 2 6" xfId="434" xr:uid="{00000000-0005-0000-0000-000047040000}"/>
    <cellStyle name="Normal 8 2 7" xfId="659" xr:uid="{00000000-0005-0000-0000-000048040000}"/>
    <cellStyle name="Normal 8 2 7 2" xfId="764" xr:uid="{00000000-0005-0000-0000-000049040000}"/>
    <cellStyle name="Normal 8 2 7 2 2" xfId="980" xr:uid="{00000000-0005-0000-0000-00004A040000}"/>
    <cellStyle name="Normal 8 2 7 2 2 2" xfId="1413" xr:uid="{00000000-0005-0000-0000-00004B040000}"/>
    <cellStyle name="Normal 8 2 7 2 3" xfId="1197" xr:uid="{00000000-0005-0000-0000-00004C040000}"/>
    <cellStyle name="Normal 8 2 7 3" xfId="836" xr:uid="{00000000-0005-0000-0000-00004D040000}"/>
    <cellStyle name="Normal 8 2 7 3 2" xfId="1052" xr:uid="{00000000-0005-0000-0000-00004E040000}"/>
    <cellStyle name="Normal 8 2 7 3 2 2" xfId="1485" xr:uid="{00000000-0005-0000-0000-00004F040000}"/>
    <cellStyle name="Normal 8 2 7 3 3" xfId="1269" xr:uid="{00000000-0005-0000-0000-000050040000}"/>
    <cellStyle name="Normal 8 2 7 4" xfId="908" xr:uid="{00000000-0005-0000-0000-000051040000}"/>
    <cellStyle name="Normal 8 2 7 4 2" xfId="1341" xr:uid="{00000000-0005-0000-0000-000052040000}"/>
    <cellStyle name="Normal 8 2 7 5" xfId="1125" xr:uid="{00000000-0005-0000-0000-000053040000}"/>
    <cellStyle name="Normal 8 2 8" xfId="698" xr:uid="{00000000-0005-0000-0000-000054040000}"/>
    <cellStyle name="Normal 8 2 8 2" xfId="927" xr:uid="{00000000-0005-0000-0000-000055040000}"/>
    <cellStyle name="Normal 8 2 8 2 2" xfId="1360" xr:uid="{00000000-0005-0000-0000-000056040000}"/>
    <cellStyle name="Normal 8 2 8 3" xfId="1144" xr:uid="{00000000-0005-0000-0000-000057040000}"/>
    <cellStyle name="Normal 8 2 9" xfId="783" xr:uid="{00000000-0005-0000-0000-000058040000}"/>
    <cellStyle name="Normal 8 2 9 2" xfId="999" xr:uid="{00000000-0005-0000-0000-000059040000}"/>
    <cellStyle name="Normal 8 2 9 2 2" xfId="1432" xr:uid="{00000000-0005-0000-0000-00005A040000}"/>
    <cellStyle name="Normal 8 2 9 3" xfId="1216" xr:uid="{00000000-0005-0000-0000-00005B040000}"/>
    <cellStyle name="Normal 8 3" xfId="376" xr:uid="{00000000-0005-0000-0000-00005C040000}"/>
    <cellStyle name="Normal 8 3 10" xfId="1084" xr:uid="{00000000-0005-0000-0000-00005D040000}"/>
    <cellStyle name="Normal 8 3 2" xfId="433" xr:uid="{00000000-0005-0000-0000-00005E040000}"/>
    <cellStyle name="Normal 8 3 2 2" xfId="432" xr:uid="{00000000-0005-0000-0000-00005F040000}"/>
    <cellStyle name="Normal 8 3 3" xfId="431" xr:uid="{00000000-0005-0000-0000-000060040000}"/>
    <cellStyle name="Normal 8 3 3 2" xfId="430" xr:uid="{00000000-0005-0000-0000-000061040000}"/>
    <cellStyle name="Normal 8 3 4" xfId="429" xr:uid="{00000000-0005-0000-0000-000062040000}"/>
    <cellStyle name="Normal 8 3 4 2" xfId="428" xr:uid="{00000000-0005-0000-0000-000063040000}"/>
    <cellStyle name="Normal 8 3 5" xfId="427" xr:uid="{00000000-0005-0000-0000-000064040000}"/>
    <cellStyle name="Normal 8 3 6" xfId="426" xr:uid="{00000000-0005-0000-0000-000065040000}"/>
    <cellStyle name="Normal 8 3 7" xfId="711" xr:uid="{00000000-0005-0000-0000-000066040000}"/>
    <cellStyle name="Normal 8 3 7 2" xfId="939" xr:uid="{00000000-0005-0000-0000-000067040000}"/>
    <cellStyle name="Normal 8 3 7 2 2" xfId="1372" xr:uid="{00000000-0005-0000-0000-000068040000}"/>
    <cellStyle name="Normal 8 3 7 3" xfId="1156" xr:uid="{00000000-0005-0000-0000-000069040000}"/>
    <cellStyle name="Normal 8 3 8" xfId="795" xr:uid="{00000000-0005-0000-0000-00006A040000}"/>
    <cellStyle name="Normal 8 3 8 2" xfId="1011" xr:uid="{00000000-0005-0000-0000-00006B040000}"/>
    <cellStyle name="Normal 8 3 8 2 2" xfId="1444" xr:uid="{00000000-0005-0000-0000-00006C040000}"/>
    <cellStyle name="Normal 8 3 8 3" xfId="1228" xr:uid="{00000000-0005-0000-0000-00006D040000}"/>
    <cellStyle name="Normal 8 3 9" xfId="867" xr:uid="{00000000-0005-0000-0000-00006E040000}"/>
    <cellStyle name="Normal 8 3 9 2" xfId="1300" xr:uid="{00000000-0005-0000-0000-00006F040000}"/>
    <cellStyle name="Normal 8 4" xfId="419" xr:uid="{00000000-0005-0000-0000-000070040000}"/>
    <cellStyle name="Normal 8 4 10" xfId="1097" xr:uid="{00000000-0005-0000-0000-000071040000}"/>
    <cellStyle name="Normal 8 4 2" xfId="425" xr:uid="{00000000-0005-0000-0000-000072040000}"/>
    <cellStyle name="Normal 8 4 2 2" xfId="424" xr:uid="{00000000-0005-0000-0000-000073040000}"/>
    <cellStyle name="Normal 8 4 3" xfId="423" xr:uid="{00000000-0005-0000-0000-000074040000}"/>
    <cellStyle name="Normal 8 4 3 2" xfId="418" xr:uid="{00000000-0005-0000-0000-000075040000}"/>
    <cellStyle name="Normal 8 4 4" xfId="409" xr:uid="{00000000-0005-0000-0000-000076040000}"/>
    <cellStyle name="Normal 8 4 4 2" xfId="408" xr:uid="{00000000-0005-0000-0000-000077040000}"/>
    <cellStyle name="Normal 8 4 5" xfId="407" xr:uid="{00000000-0005-0000-0000-000078040000}"/>
    <cellStyle name="Normal 8 4 6" xfId="406" xr:uid="{00000000-0005-0000-0000-000079040000}"/>
    <cellStyle name="Normal 8 4 7" xfId="724" xr:uid="{00000000-0005-0000-0000-00007A040000}"/>
    <cellStyle name="Normal 8 4 7 2" xfId="952" xr:uid="{00000000-0005-0000-0000-00007B040000}"/>
    <cellStyle name="Normal 8 4 7 2 2" xfId="1385" xr:uid="{00000000-0005-0000-0000-00007C040000}"/>
    <cellStyle name="Normal 8 4 7 3" xfId="1169" xr:uid="{00000000-0005-0000-0000-00007D040000}"/>
    <cellStyle name="Normal 8 4 8" xfId="808" xr:uid="{00000000-0005-0000-0000-00007E040000}"/>
    <cellStyle name="Normal 8 4 8 2" xfId="1024" xr:uid="{00000000-0005-0000-0000-00007F040000}"/>
    <cellStyle name="Normal 8 4 8 2 2" xfId="1457" xr:uid="{00000000-0005-0000-0000-000080040000}"/>
    <cellStyle name="Normal 8 4 8 3" xfId="1241" xr:uid="{00000000-0005-0000-0000-000081040000}"/>
    <cellStyle name="Normal 8 4 9" xfId="880" xr:uid="{00000000-0005-0000-0000-000082040000}"/>
    <cellStyle name="Normal 8 4 9 2" xfId="1313" xr:uid="{00000000-0005-0000-0000-000083040000}"/>
    <cellStyle name="Normal 8 5" xfId="405" xr:uid="{00000000-0005-0000-0000-000084040000}"/>
    <cellStyle name="Normal 8 5 2" xfId="404" xr:uid="{00000000-0005-0000-0000-000085040000}"/>
    <cellStyle name="Normal 8 5 2 2" xfId="403" xr:uid="{00000000-0005-0000-0000-000086040000}"/>
    <cellStyle name="Normal 8 5 3" xfId="402" xr:uid="{00000000-0005-0000-0000-000087040000}"/>
    <cellStyle name="Normal 8 5 3 2" xfId="401" xr:uid="{00000000-0005-0000-0000-000088040000}"/>
    <cellStyle name="Normal 8 5 4" xfId="400" xr:uid="{00000000-0005-0000-0000-000089040000}"/>
    <cellStyle name="Normal 8 5 5" xfId="398" xr:uid="{00000000-0005-0000-0000-00008A040000}"/>
    <cellStyle name="Normal 8 6" xfId="380" xr:uid="{00000000-0005-0000-0000-00008B040000}"/>
    <cellStyle name="Normal 8 6 2" xfId="397" xr:uid="{00000000-0005-0000-0000-00008C040000}"/>
    <cellStyle name="Normal 8 6 2 2" xfId="396" xr:uid="{00000000-0005-0000-0000-00008D040000}"/>
    <cellStyle name="Normal 8 6 3" xfId="395" xr:uid="{00000000-0005-0000-0000-00008E040000}"/>
    <cellStyle name="Normal 8 6 3 2" xfId="394" xr:uid="{00000000-0005-0000-0000-00008F040000}"/>
    <cellStyle name="Normal 8 6 4" xfId="393" xr:uid="{00000000-0005-0000-0000-000090040000}"/>
    <cellStyle name="Normal 8 6 5" xfId="392" xr:uid="{00000000-0005-0000-0000-000091040000}"/>
    <cellStyle name="Normal 8 7" xfId="391" xr:uid="{00000000-0005-0000-0000-000092040000}"/>
    <cellStyle name="Normal 8 7 2" xfId="390" xr:uid="{00000000-0005-0000-0000-000093040000}"/>
    <cellStyle name="Normal 8 7 2 2" xfId="389" xr:uid="{00000000-0005-0000-0000-000094040000}"/>
    <cellStyle name="Normal 8 7 3" xfId="388" xr:uid="{00000000-0005-0000-0000-000095040000}"/>
    <cellStyle name="Normal 8 7 3 2" xfId="387" xr:uid="{00000000-0005-0000-0000-000096040000}"/>
    <cellStyle name="Normal 8 7 4" xfId="386" xr:uid="{00000000-0005-0000-0000-000097040000}"/>
    <cellStyle name="Normal 8 7 5" xfId="385" xr:uid="{00000000-0005-0000-0000-000098040000}"/>
    <cellStyle name="Normal 8 8" xfId="384" xr:uid="{00000000-0005-0000-0000-000099040000}"/>
    <cellStyle name="Normal 8 8 2" xfId="383" xr:uid="{00000000-0005-0000-0000-00009A040000}"/>
    <cellStyle name="Normal 8 9" xfId="382" xr:uid="{00000000-0005-0000-0000-00009B040000}"/>
    <cellStyle name="Normal 8 9 2" xfId="381" xr:uid="{00000000-0005-0000-0000-00009C040000}"/>
    <cellStyle name="Normal 9" xfId="204" xr:uid="{00000000-0005-0000-0000-00009D040000}"/>
    <cellStyle name="Normal 9 10" xfId="784" xr:uid="{00000000-0005-0000-0000-00009E040000}"/>
    <cellStyle name="Normal 9 10 2" xfId="1000" xr:uid="{00000000-0005-0000-0000-00009F040000}"/>
    <cellStyle name="Normal 9 10 2 2" xfId="1433" xr:uid="{00000000-0005-0000-0000-0000A0040000}"/>
    <cellStyle name="Normal 9 10 3" xfId="1217" xr:uid="{00000000-0005-0000-0000-0000A1040000}"/>
    <cellStyle name="Normal 9 11" xfId="856" xr:uid="{00000000-0005-0000-0000-0000A2040000}"/>
    <cellStyle name="Normal 9 11 2" xfId="1289" xr:uid="{00000000-0005-0000-0000-0000A3040000}"/>
    <cellStyle name="Normal 9 12" xfId="1073" xr:uid="{00000000-0005-0000-0000-0000A4040000}"/>
    <cellStyle name="Normal 9 2" xfId="205" xr:uid="{00000000-0005-0000-0000-0000A5040000}"/>
    <cellStyle name="Normal 9 2 2" xfId="379" xr:uid="{00000000-0005-0000-0000-0000A6040000}"/>
    <cellStyle name="Normal 9 2 2 2" xfId="714" xr:uid="{00000000-0005-0000-0000-0000A7040000}"/>
    <cellStyle name="Normal 9 2 2 2 2" xfId="942" xr:uid="{00000000-0005-0000-0000-0000A8040000}"/>
    <cellStyle name="Normal 9 2 2 2 2 2" xfId="1375" xr:uid="{00000000-0005-0000-0000-0000A9040000}"/>
    <cellStyle name="Normal 9 2 2 2 3" xfId="1159" xr:uid="{00000000-0005-0000-0000-0000AA040000}"/>
    <cellStyle name="Normal 9 2 2 3" xfId="798" xr:uid="{00000000-0005-0000-0000-0000AB040000}"/>
    <cellStyle name="Normal 9 2 2 3 2" xfId="1014" xr:uid="{00000000-0005-0000-0000-0000AC040000}"/>
    <cellStyle name="Normal 9 2 2 3 2 2" xfId="1447" xr:uid="{00000000-0005-0000-0000-0000AD040000}"/>
    <cellStyle name="Normal 9 2 2 3 3" xfId="1231" xr:uid="{00000000-0005-0000-0000-0000AE040000}"/>
    <cellStyle name="Normal 9 2 2 4" xfId="870" xr:uid="{00000000-0005-0000-0000-0000AF040000}"/>
    <cellStyle name="Normal 9 2 2 4 2" xfId="1303" xr:uid="{00000000-0005-0000-0000-0000B0040000}"/>
    <cellStyle name="Normal 9 2 2 5" xfId="1087" xr:uid="{00000000-0005-0000-0000-0000B1040000}"/>
    <cellStyle name="Normal 9 2 3" xfId="422" xr:uid="{00000000-0005-0000-0000-0000B2040000}"/>
    <cellStyle name="Normal 9 2 3 2" xfId="727" xr:uid="{00000000-0005-0000-0000-0000B3040000}"/>
    <cellStyle name="Normal 9 2 3 2 2" xfId="955" xr:uid="{00000000-0005-0000-0000-0000B4040000}"/>
    <cellStyle name="Normal 9 2 3 2 2 2" xfId="1388" xr:uid="{00000000-0005-0000-0000-0000B5040000}"/>
    <cellStyle name="Normal 9 2 3 2 3" xfId="1172" xr:uid="{00000000-0005-0000-0000-0000B6040000}"/>
    <cellStyle name="Normal 9 2 3 3" xfId="811" xr:uid="{00000000-0005-0000-0000-0000B7040000}"/>
    <cellStyle name="Normal 9 2 3 3 2" xfId="1027" xr:uid="{00000000-0005-0000-0000-0000B8040000}"/>
    <cellStyle name="Normal 9 2 3 3 2 2" xfId="1460" xr:uid="{00000000-0005-0000-0000-0000B9040000}"/>
    <cellStyle name="Normal 9 2 3 3 3" xfId="1244" xr:uid="{00000000-0005-0000-0000-0000BA040000}"/>
    <cellStyle name="Normal 9 2 3 4" xfId="883" xr:uid="{00000000-0005-0000-0000-0000BB040000}"/>
    <cellStyle name="Normal 9 2 3 4 2" xfId="1316" xr:uid="{00000000-0005-0000-0000-0000BC040000}"/>
    <cellStyle name="Normal 9 2 3 5" xfId="1100" xr:uid="{00000000-0005-0000-0000-0000BD040000}"/>
    <cellStyle name="Normal 9 2 4" xfId="661" xr:uid="{00000000-0005-0000-0000-0000BE040000}"/>
    <cellStyle name="Normal 9 2 4 2" xfId="766" xr:uid="{00000000-0005-0000-0000-0000BF040000}"/>
    <cellStyle name="Normal 9 2 4 2 2" xfId="982" xr:uid="{00000000-0005-0000-0000-0000C0040000}"/>
    <cellStyle name="Normal 9 2 4 2 2 2" xfId="1415" xr:uid="{00000000-0005-0000-0000-0000C1040000}"/>
    <cellStyle name="Normal 9 2 4 2 3" xfId="1199" xr:uid="{00000000-0005-0000-0000-0000C2040000}"/>
    <cellStyle name="Normal 9 2 4 3" xfId="838" xr:uid="{00000000-0005-0000-0000-0000C3040000}"/>
    <cellStyle name="Normal 9 2 4 3 2" xfId="1054" xr:uid="{00000000-0005-0000-0000-0000C4040000}"/>
    <cellStyle name="Normal 9 2 4 3 2 2" xfId="1487" xr:uid="{00000000-0005-0000-0000-0000C5040000}"/>
    <cellStyle name="Normal 9 2 4 3 3" xfId="1271" xr:uid="{00000000-0005-0000-0000-0000C6040000}"/>
    <cellStyle name="Normal 9 2 4 4" xfId="910" xr:uid="{00000000-0005-0000-0000-0000C7040000}"/>
    <cellStyle name="Normal 9 2 4 4 2" xfId="1343" xr:uid="{00000000-0005-0000-0000-0000C8040000}"/>
    <cellStyle name="Normal 9 2 4 5" xfId="1127" xr:uid="{00000000-0005-0000-0000-0000C9040000}"/>
    <cellStyle name="Normal 9 2 5" xfId="700" xr:uid="{00000000-0005-0000-0000-0000CA040000}"/>
    <cellStyle name="Normal 9 2 5 2" xfId="929" xr:uid="{00000000-0005-0000-0000-0000CB040000}"/>
    <cellStyle name="Normal 9 2 5 2 2" xfId="1362" xr:uid="{00000000-0005-0000-0000-0000CC040000}"/>
    <cellStyle name="Normal 9 2 5 3" xfId="1146" xr:uid="{00000000-0005-0000-0000-0000CD040000}"/>
    <cellStyle name="Normal 9 2 6" xfId="785" xr:uid="{00000000-0005-0000-0000-0000CE040000}"/>
    <cellStyle name="Normal 9 2 6 2" xfId="1001" xr:uid="{00000000-0005-0000-0000-0000CF040000}"/>
    <cellStyle name="Normal 9 2 6 2 2" xfId="1434" xr:uid="{00000000-0005-0000-0000-0000D0040000}"/>
    <cellStyle name="Normal 9 2 6 3" xfId="1218" xr:uid="{00000000-0005-0000-0000-0000D1040000}"/>
    <cellStyle name="Normal 9 2 7" xfId="857" xr:uid="{00000000-0005-0000-0000-0000D2040000}"/>
    <cellStyle name="Normal 9 2 7 2" xfId="1290" xr:uid="{00000000-0005-0000-0000-0000D3040000}"/>
    <cellStyle name="Normal 9 2 8" xfId="1074" xr:uid="{00000000-0005-0000-0000-0000D4040000}"/>
    <cellStyle name="Normal 9 3" xfId="378" xr:uid="{00000000-0005-0000-0000-0000D5040000}"/>
    <cellStyle name="Normal 9 3 2" xfId="713" xr:uid="{00000000-0005-0000-0000-0000D6040000}"/>
    <cellStyle name="Normal 9 3 2 2" xfId="941" xr:uid="{00000000-0005-0000-0000-0000D7040000}"/>
    <cellStyle name="Normal 9 3 2 2 2" xfId="1374" xr:uid="{00000000-0005-0000-0000-0000D8040000}"/>
    <cellStyle name="Normal 9 3 2 3" xfId="1158" xr:uid="{00000000-0005-0000-0000-0000D9040000}"/>
    <cellStyle name="Normal 9 3 3" xfId="797" xr:uid="{00000000-0005-0000-0000-0000DA040000}"/>
    <cellStyle name="Normal 9 3 3 2" xfId="1013" xr:uid="{00000000-0005-0000-0000-0000DB040000}"/>
    <cellStyle name="Normal 9 3 3 2 2" xfId="1446" xr:uid="{00000000-0005-0000-0000-0000DC040000}"/>
    <cellStyle name="Normal 9 3 3 3" xfId="1230" xr:uid="{00000000-0005-0000-0000-0000DD040000}"/>
    <cellStyle name="Normal 9 3 4" xfId="869" xr:uid="{00000000-0005-0000-0000-0000DE040000}"/>
    <cellStyle name="Normal 9 3 4 2" xfId="1302" xr:uid="{00000000-0005-0000-0000-0000DF040000}"/>
    <cellStyle name="Normal 9 3 5" xfId="1086" xr:uid="{00000000-0005-0000-0000-0000E0040000}"/>
    <cellStyle name="Normal 9 4" xfId="421" xr:uid="{00000000-0005-0000-0000-0000E1040000}"/>
    <cellStyle name="Normal 9 4 2" xfId="726" xr:uid="{00000000-0005-0000-0000-0000E2040000}"/>
    <cellStyle name="Normal 9 4 2 2" xfId="954" xr:uid="{00000000-0005-0000-0000-0000E3040000}"/>
    <cellStyle name="Normal 9 4 2 2 2" xfId="1387" xr:uid="{00000000-0005-0000-0000-0000E4040000}"/>
    <cellStyle name="Normal 9 4 2 3" xfId="1171" xr:uid="{00000000-0005-0000-0000-0000E5040000}"/>
    <cellStyle name="Normal 9 4 3" xfId="810" xr:uid="{00000000-0005-0000-0000-0000E6040000}"/>
    <cellStyle name="Normal 9 4 3 2" xfId="1026" xr:uid="{00000000-0005-0000-0000-0000E7040000}"/>
    <cellStyle name="Normal 9 4 3 2 2" xfId="1459" xr:uid="{00000000-0005-0000-0000-0000E8040000}"/>
    <cellStyle name="Normal 9 4 3 3" xfId="1243" xr:uid="{00000000-0005-0000-0000-0000E9040000}"/>
    <cellStyle name="Normal 9 4 4" xfId="882" xr:uid="{00000000-0005-0000-0000-0000EA040000}"/>
    <cellStyle name="Normal 9 4 4 2" xfId="1315" xr:uid="{00000000-0005-0000-0000-0000EB040000}"/>
    <cellStyle name="Normal 9 4 5" xfId="1099" xr:uid="{00000000-0005-0000-0000-0000EC040000}"/>
    <cellStyle name="Normal 9 5" xfId="624" xr:uid="{00000000-0005-0000-0000-0000ED040000}"/>
    <cellStyle name="Normal 9 5 2" xfId="735" xr:uid="{00000000-0005-0000-0000-0000EE040000}"/>
    <cellStyle name="Normal 9 5 2 2" xfId="963" xr:uid="{00000000-0005-0000-0000-0000EF040000}"/>
    <cellStyle name="Normal 9 5 2 2 2" xfId="1396" xr:uid="{00000000-0005-0000-0000-0000F0040000}"/>
    <cellStyle name="Normal 9 5 2 3" xfId="1180" xr:uid="{00000000-0005-0000-0000-0000F1040000}"/>
    <cellStyle name="Normal 9 5 3" xfId="819" xr:uid="{00000000-0005-0000-0000-0000F2040000}"/>
    <cellStyle name="Normal 9 5 3 2" xfId="1035" xr:uid="{00000000-0005-0000-0000-0000F3040000}"/>
    <cellStyle name="Normal 9 5 3 2 2" xfId="1468" xr:uid="{00000000-0005-0000-0000-0000F4040000}"/>
    <cellStyle name="Normal 9 5 3 3" xfId="1252" xr:uid="{00000000-0005-0000-0000-0000F5040000}"/>
    <cellStyle name="Normal 9 5 4" xfId="891" xr:uid="{00000000-0005-0000-0000-0000F6040000}"/>
    <cellStyle name="Normal 9 5 4 2" xfId="1324" xr:uid="{00000000-0005-0000-0000-0000F7040000}"/>
    <cellStyle name="Normal 9 5 5" xfId="1108" xr:uid="{00000000-0005-0000-0000-0000F8040000}"/>
    <cellStyle name="Normal 9 6" xfId="633" xr:uid="{00000000-0005-0000-0000-0000F9040000}"/>
    <cellStyle name="Normal 9 6 2" xfId="741" xr:uid="{00000000-0005-0000-0000-0000FA040000}"/>
    <cellStyle name="Normal 9 6 2 2" xfId="969" xr:uid="{00000000-0005-0000-0000-0000FB040000}"/>
    <cellStyle name="Normal 9 6 2 2 2" xfId="1402" xr:uid="{00000000-0005-0000-0000-0000FC040000}"/>
    <cellStyle name="Normal 9 6 2 3" xfId="1186" xr:uid="{00000000-0005-0000-0000-0000FD040000}"/>
    <cellStyle name="Normal 9 6 3" xfId="825" xr:uid="{00000000-0005-0000-0000-0000FE040000}"/>
    <cellStyle name="Normal 9 6 3 2" xfId="1041" xr:uid="{00000000-0005-0000-0000-0000FF040000}"/>
    <cellStyle name="Normal 9 6 3 2 2" xfId="1474" xr:uid="{00000000-0005-0000-0000-000000050000}"/>
    <cellStyle name="Normal 9 6 3 3" xfId="1258" xr:uid="{00000000-0005-0000-0000-000001050000}"/>
    <cellStyle name="Normal 9 6 4" xfId="897" xr:uid="{00000000-0005-0000-0000-000002050000}"/>
    <cellStyle name="Normal 9 6 4 2" xfId="1330" xr:uid="{00000000-0005-0000-0000-000003050000}"/>
    <cellStyle name="Normal 9 6 5" xfId="1114" xr:uid="{00000000-0005-0000-0000-000004050000}"/>
    <cellStyle name="Normal 9 7" xfId="660" xr:uid="{00000000-0005-0000-0000-000005050000}"/>
    <cellStyle name="Normal 9 7 2" xfId="765" xr:uid="{00000000-0005-0000-0000-000006050000}"/>
    <cellStyle name="Normal 9 7 2 2" xfId="981" xr:uid="{00000000-0005-0000-0000-000007050000}"/>
    <cellStyle name="Normal 9 7 2 2 2" xfId="1414" xr:uid="{00000000-0005-0000-0000-000008050000}"/>
    <cellStyle name="Normal 9 7 2 3" xfId="1198" xr:uid="{00000000-0005-0000-0000-000009050000}"/>
    <cellStyle name="Normal 9 7 3" xfId="837" xr:uid="{00000000-0005-0000-0000-00000A050000}"/>
    <cellStyle name="Normal 9 7 3 2" xfId="1053" xr:uid="{00000000-0005-0000-0000-00000B050000}"/>
    <cellStyle name="Normal 9 7 3 2 2" xfId="1486" xr:uid="{00000000-0005-0000-0000-00000C050000}"/>
    <cellStyle name="Normal 9 7 3 3" xfId="1270" xr:uid="{00000000-0005-0000-0000-00000D050000}"/>
    <cellStyle name="Normal 9 7 4" xfId="909" xr:uid="{00000000-0005-0000-0000-00000E050000}"/>
    <cellStyle name="Normal 9 7 4 2" xfId="1342" xr:uid="{00000000-0005-0000-0000-00000F050000}"/>
    <cellStyle name="Normal 9 7 5" xfId="1126" xr:uid="{00000000-0005-0000-0000-000010050000}"/>
    <cellStyle name="Normal 9 8" xfId="678" xr:uid="{00000000-0005-0000-0000-000011050000}"/>
    <cellStyle name="Normal 9 8 2" xfId="772" xr:uid="{00000000-0005-0000-0000-000012050000}"/>
    <cellStyle name="Normal 9 8 2 2" xfId="988" xr:uid="{00000000-0005-0000-0000-000013050000}"/>
    <cellStyle name="Normal 9 8 2 2 2" xfId="1421" xr:uid="{00000000-0005-0000-0000-000014050000}"/>
    <cellStyle name="Normal 9 8 2 3" xfId="1205" xr:uid="{00000000-0005-0000-0000-000015050000}"/>
    <cellStyle name="Normal 9 8 3" xfId="844" xr:uid="{00000000-0005-0000-0000-000016050000}"/>
    <cellStyle name="Normal 9 8 3 2" xfId="1060" xr:uid="{00000000-0005-0000-0000-000017050000}"/>
    <cellStyle name="Normal 9 8 3 2 2" xfId="1493" xr:uid="{00000000-0005-0000-0000-000018050000}"/>
    <cellStyle name="Normal 9 8 3 3" xfId="1277" xr:uid="{00000000-0005-0000-0000-000019050000}"/>
    <cellStyle name="Normal 9 8 4" xfId="916" xr:uid="{00000000-0005-0000-0000-00001A050000}"/>
    <cellStyle name="Normal 9 8 4 2" xfId="1349" xr:uid="{00000000-0005-0000-0000-00001B050000}"/>
    <cellStyle name="Normal 9 8 5" xfId="1133" xr:uid="{00000000-0005-0000-0000-00001C050000}"/>
    <cellStyle name="Normal 9 9" xfId="699" xr:uid="{00000000-0005-0000-0000-00001D050000}"/>
    <cellStyle name="Normal 9 9 2" xfId="928" xr:uid="{00000000-0005-0000-0000-00001E050000}"/>
    <cellStyle name="Normal 9 9 2 2" xfId="1361" xr:uid="{00000000-0005-0000-0000-00001F050000}"/>
    <cellStyle name="Normal 9 9 3" xfId="1145" xr:uid="{00000000-0005-0000-0000-000020050000}"/>
    <cellStyle name="Normal_21 Exh B" xfId="206" xr:uid="{00000000-0005-0000-0000-000021050000}"/>
    <cellStyle name="Normal_ADITAnalysisID090805" xfId="1495" xr:uid="{00000000-0005-0000-0000-000022050000}"/>
    <cellStyle name="Normal_ATC Projected 2008 Monthly Plant Balances for Attachment O 2 (2)" xfId="207" xr:uid="{00000000-0005-0000-0000-000023050000}"/>
    <cellStyle name="Normal_Attachment GG Example 8 26 09" xfId="208" xr:uid="{00000000-0005-0000-0000-000024050000}"/>
    <cellStyle name="Normal_Attachment GG Template ER11-28 11-18-10" xfId="209" xr:uid="{00000000-0005-0000-0000-000025050000}"/>
    <cellStyle name="Normal_Attachment Os for 2002 True-up" xfId="210" xr:uid="{00000000-0005-0000-0000-000026050000}"/>
    <cellStyle name="Normal_FERC Functional M&amp;S All Cos" xfId="554" xr:uid="{00000000-0005-0000-0000-000027050000}"/>
    <cellStyle name="Normal_FN1 Ratebase Draft SPP template (6-11-04) v2" xfId="625" xr:uid="{00000000-0005-0000-0000-000028050000}"/>
    <cellStyle name="Normal_Schedule O Info for Mike" xfId="211" xr:uid="{00000000-0005-0000-0000-000029050000}"/>
    <cellStyle name="Normal_Support 2003 PSI Peak Demand excluding Joint Owners 2" xfId="555" xr:uid="{00000000-0005-0000-0000-00002A050000}"/>
    <cellStyle name="Note 2" xfId="604" xr:uid="{00000000-0005-0000-0000-00002B050000}"/>
    <cellStyle name="Output 2" xfId="605" xr:uid="{00000000-0005-0000-0000-00002C050000}"/>
    <cellStyle name="Output1_Back" xfId="212" xr:uid="{00000000-0005-0000-0000-00002D050000}"/>
    <cellStyle name="p" xfId="213" xr:uid="{00000000-0005-0000-0000-00002E050000}"/>
    <cellStyle name="p_2010 Attachment O  GG_082709" xfId="214" xr:uid="{00000000-0005-0000-0000-00002F050000}"/>
    <cellStyle name="p_2010 Attachment O Template Supporting Work Papers_ITC Midwest" xfId="215" xr:uid="{00000000-0005-0000-0000-000030050000}"/>
    <cellStyle name="p_2010 Attachment O Template Supporting Work Papers_ITCTransmission" xfId="216" xr:uid="{00000000-0005-0000-0000-000031050000}"/>
    <cellStyle name="p_2010 Attachment O Template Supporting Work Papers_METC" xfId="217" xr:uid="{00000000-0005-0000-0000-000032050000}"/>
    <cellStyle name="p_2Mod11" xfId="218" xr:uid="{00000000-0005-0000-0000-000033050000}"/>
    <cellStyle name="p_aavidmod11.xls Chart 1" xfId="219" xr:uid="{00000000-0005-0000-0000-000034050000}"/>
    <cellStyle name="p_aavidmod11.xls Chart 2" xfId="220" xr:uid="{00000000-0005-0000-0000-000035050000}"/>
    <cellStyle name="p_Attachment O &amp; GG" xfId="221" xr:uid="{00000000-0005-0000-0000-000036050000}"/>
    <cellStyle name="p_charts for capm" xfId="222" xr:uid="{00000000-0005-0000-0000-000037050000}"/>
    <cellStyle name="p_DCF" xfId="223" xr:uid="{00000000-0005-0000-0000-000038050000}"/>
    <cellStyle name="p_DCF_2Mod11" xfId="224" xr:uid="{00000000-0005-0000-0000-000039050000}"/>
    <cellStyle name="p_DCF_aavidmod11.xls Chart 1" xfId="225" xr:uid="{00000000-0005-0000-0000-00003A050000}"/>
    <cellStyle name="p_DCF_aavidmod11.xls Chart 2" xfId="226" xr:uid="{00000000-0005-0000-0000-00003B050000}"/>
    <cellStyle name="p_DCF_charts for capm" xfId="227" xr:uid="{00000000-0005-0000-0000-00003C050000}"/>
    <cellStyle name="p_DCF_DCF5" xfId="228" xr:uid="{00000000-0005-0000-0000-00003D050000}"/>
    <cellStyle name="p_DCF_Template2" xfId="229" xr:uid="{00000000-0005-0000-0000-00003E050000}"/>
    <cellStyle name="p_DCF_Template2_1" xfId="230" xr:uid="{00000000-0005-0000-0000-00003F050000}"/>
    <cellStyle name="p_DCF_VERA" xfId="231" xr:uid="{00000000-0005-0000-0000-000040050000}"/>
    <cellStyle name="p_DCF_VERA_1" xfId="232" xr:uid="{00000000-0005-0000-0000-000041050000}"/>
    <cellStyle name="p_DCF_VERA_1_Template2" xfId="233" xr:uid="{00000000-0005-0000-0000-000042050000}"/>
    <cellStyle name="p_DCF_VERA_aavidmod11.xls Chart 2" xfId="234" xr:uid="{00000000-0005-0000-0000-000043050000}"/>
    <cellStyle name="p_DCF_VERA_Model02" xfId="235" xr:uid="{00000000-0005-0000-0000-000044050000}"/>
    <cellStyle name="p_DCF_VERA_Template2" xfId="236" xr:uid="{00000000-0005-0000-0000-000045050000}"/>
    <cellStyle name="p_DCF_VERA_VERA" xfId="237" xr:uid="{00000000-0005-0000-0000-000046050000}"/>
    <cellStyle name="p_DCF_VERA_VERA_1" xfId="238" xr:uid="{00000000-0005-0000-0000-000047050000}"/>
    <cellStyle name="p_DCF_VERA_VERA_2" xfId="239" xr:uid="{00000000-0005-0000-0000-000048050000}"/>
    <cellStyle name="p_DCF_VERA_VERA_Template2" xfId="240" xr:uid="{00000000-0005-0000-0000-000049050000}"/>
    <cellStyle name="p_DCF5" xfId="241" xr:uid="{00000000-0005-0000-0000-00004A050000}"/>
    <cellStyle name="p_ITC Great Plains Formula 1-12-09a" xfId="242" xr:uid="{00000000-0005-0000-0000-00004B050000}"/>
    <cellStyle name="p_ITCM 2010 Template" xfId="243" xr:uid="{00000000-0005-0000-0000-00004C050000}"/>
    <cellStyle name="p_ITCMW 2009 Rate" xfId="244" xr:uid="{00000000-0005-0000-0000-00004D050000}"/>
    <cellStyle name="p_ITCMW 2010 Rate_083109" xfId="245" xr:uid="{00000000-0005-0000-0000-00004E050000}"/>
    <cellStyle name="p_ITCOP 2010 Rate_083109" xfId="246" xr:uid="{00000000-0005-0000-0000-00004F050000}"/>
    <cellStyle name="p_ITCT 2009 Rate" xfId="247" xr:uid="{00000000-0005-0000-0000-000050050000}"/>
    <cellStyle name="p_ITCT New 2010 Attachment O &amp; GG_111209NL" xfId="248" xr:uid="{00000000-0005-0000-0000-000051050000}"/>
    <cellStyle name="p_METC 2010 Rate_083109" xfId="249" xr:uid="{00000000-0005-0000-0000-000052050000}"/>
    <cellStyle name="p_Template2" xfId="250" xr:uid="{00000000-0005-0000-0000-000053050000}"/>
    <cellStyle name="p_Template2_1" xfId="251" xr:uid="{00000000-0005-0000-0000-000054050000}"/>
    <cellStyle name="p_VERA" xfId="252" xr:uid="{00000000-0005-0000-0000-000055050000}"/>
    <cellStyle name="p_VERA_1" xfId="253" xr:uid="{00000000-0005-0000-0000-000056050000}"/>
    <cellStyle name="p_VERA_1_Template2" xfId="254" xr:uid="{00000000-0005-0000-0000-000057050000}"/>
    <cellStyle name="p_VERA_aavidmod11.xls Chart 2" xfId="255" xr:uid="{00000000-0005-0000-0000-000058050000}"/>
    <cellStyle name="p_VERA_Model02" xfId="256" xr:uid="{00000000-0005-0000-0000-000059050000}"/>
    <cellStyle name="p_VERA_Template2" xfId="257" xr:uid="{00000000-0005-0000-0000-00005A050000}"/>
    <cellStyle name="p_VERA_VERA" xfId="258" xr:uid="{00000000-0005-0000-0000-00005B050000}"/>
    <cellStyle name="p_VERA_VERA_1" xfId="259" xr:uid="{00000000-0005-0000-0000-00005C050000}"/>
    <cellStyle name="p_VERA_VERA_2" xfId="260" xr:uid="{00000000-0005-0000-0000-00005D050000}"/>
    <cellStyle name="p_VERA_VERA_Template2" xfId="261" xr:uid="{00000000-0005-0000-0000-00005E050000}"/>
    <cellStyle name="p1" xfId="262" xr:uid="{00000000-0005-0000-0000-00005F050000}"/>
    <cellStyle name="p2" xfId="263" xr:uid="{00000000-0005-0000-0000-000060050000}"/>
    <cellStyle name="p3" xfId="264" xr:uid="{00000000-0005-0000-0000-000061050000}"/>
    <cellStyle name="Percent" xfId="265" builtinId="5"/>
    <cellStyle name="Percent %" xfId="266" xr:uid="{00000000-0005-0000-0000-000063050000}"/>
    <cellStyle name="Percent % Long Underline" xfId="267" xr:uid="{00000000-0005-0000-0000-000064050000}"/>
    <cellStyle name="Percent (0)" xfId="268" xr:uid="{00000000-0005-0000-0000-000065050000}"/>
    <cellStyle name="Percent [0]" xfId="269" xr:uid="{00000000-0005-0000-0000-000066050000}"/>
    <cellStyle name="Percent [1]" xfId="270" xr:uid="{00000000-0005-0000-0000-000067050000}"/>
    <cellStyle name="Percent [2]" xfId="271" xr:uid="{00000000-0005-0000-0000-000068050000}"/>
    <cellStyle name="Percent [3]" xfId="272" xr:uid="{00000000-0005-0000-0000-000069050000}"/>
    <cellStyle name="Percent 0.0%" xfId="273" xr:uid="{00000000-0005-0000-0000-00006A050000}"/>
    <cellStyle name="Percent 0.0% Long Underline" xfId="274" xr:uid="{00000000-0005-0000-0000-00006B050000}"/>
    <cellStyle name="Percent 0.00%" xfId="275" xr:uid="{00000000-0005-0000-0000-00006C050000}"/>
    <cellStyle name="Percent 0.00% Long Underline" xfId="276" xr:uid="{00000000-0005-0000-0000-00006D050000}"/>
    <cellStyle name="Percent 0.000%" xfId="277" xr:uid="{00000000-0005-0000-0000-00006E050000}"/>
    <cellStyle name="Percent 0.000% Long Underline" xfId="278" xr:uid="{00000000-0005-0000-0000-00006F050000}"/>
    <cellStyle name="Percent 0.0000%" xfId="279" xr:uid="{00000000-0005-0000-0000-000070050000}"/>
    <cellStyle name="Percent 0.0000% Long Underline" xfId="280" xr:uid="{00000000-0005-0000-0000-000071050000}"/>
    <cellStyle name="Percent 10" xfId="634" xr:uid="{00000000-0005-0000-0000-000072050000}"/>
    <cellStyle name="Percent 10 2" xfId="1499" xr:uid="{00000000-0005-0000-0000-000073050000}"/>
    <cellStyle name="Percent 11" xfId="646" xr:uid="{00000000-0005-0000-0000-000074050000}"/>
    <cellStyle name="Percent 11 2" xfId="751" xr:uid="{00000000-0005-0000-0000-000075050000}"/>
    <cellStyle name="Percent 12" xfId="636" xr:uid="{00000000-0005-0000-0000-000076050000}"/>
    <cellStyle name="Percent 12 2" xfId="743" xr:uid="{00000000-0005-0000-0000-000077050000}"/>
    <cellStyle name="Percent 13" xfId="683" xr:uid="{00000000-0005-0000-0000-000078050000}"/>
    <cellStyle name="Percent 14" xfId="662" xr:uid="{00000000-0005-0000-0000-000079050000}"/>
    <cellStyle name="Percent 15" xfId="684" xr:uid="{00000000-0005-0000-0000-00007A050000}"/>
    <cellStyle name="Percent 16" xfId="667" xr:uid="{00000000-0005-0000-0000-00007B050000}"/>
    <cellStyle name="Percent 17" xfId="685" xr:uid="{00000000-0005-0000-0000-00007C050000}"/>
    <cellStyle name="Percent 18" xfId="666" xr:uid="{00000000-0005-0000-0000-00007D050000}"/>
    <cellStyle name="Percent 19" xfId="686" xr:uid="{00000000-0005-0000-0000-00007E050000}"/>
    <cellStyle name="Percent 2" xfId="281" xr:uid="{00000000-0005-0000-0000-00007F050000}"/>
    <cellStyle name="Percent 2 2" xfId="282" xr:uid="{00000000-0005-0000-0000-000080050000}"/>
    <cellStyle name="Percent 20" xfId="664" xr:uid="{00000000-0005-0000-0000-000081050000}"/>
    <cellStyle name="Percent 21" xfId="687" xr:uid="{00000000-0005-0000-0000-000082050000}"/>
    <cellStyle name="Percent 22" xfId="663" xr:uid="{00000000-0005-0000-0000-000083050000}"/>
    <cellStyle name="Percent 3" xfId="283" xr:uid="{00000000-0005-0000-0000-000084050000}"/>
    <cellStyle name="Percent 3 2" xfId="284" xr:uid="{00000000-0005-0000-0000-000085050000}"/>
    <cellStyle name="Percent 3 3" xfId="606" xr:uid="{00000000-0005-0000-0000-000086050000}"/>
    <cellStyle name="Percent 3 4" xfId="607" xr:uid="{00000000-0005-0000-0000-000087050000}"/>
    <cellStyle name="Percent 3 5" xfId="647" xr:uid="{00000000-0005-0000-0000-000088050000}"/>
    <cellStyle name="Percent 3 5 2" xfId="752" xr:uid="{00000000-0005-0000-0000-000089050000}"/>
    <cellStyle name="Percent 4" xfId="285" xr:uid="{00000000-0005-0000-0000-00008A050000}"/>
    <cellStyle name="Percent 4 2" xfId="608" xr:uid="{00000000-0005-0000-0000-00008B050000}"/>
    <cellStyle name="Percent 5" xfId="286" xr:uid="{00000000-0005-0000-0000-00008C050000}"/>
    <cellStyle name="Percent 6" xfId="287" xr:uid="{00000000-0005-0000-0000-00008D050000}"/>
    <cellStyle name="Percent 7" xfId="288" xr:uid="{00000000-0005-0000-0000-00008E050000}"/>
    <cellStyle name="Percent 70" xfId="1498" xr:uid="{00000000-0005-0000-0000-00008F050000}"/>
    <cellStyle name="Percent 8" xfId="626" xr:uid="{00000000-0005-0000-0000-000090050000}"/>
    <cellStyle name="Percent 9" xfId="584" xr:uid="{00000000-0005-0000-0000-000091050000}"/>
    <cellStyle name="Percent Input" xfId="289" xr:uid="{00000000-0005-0000-0000-000092050000}"/>
    <cellStyle name="Percent0" xfId="290" xr:uid="{00000000-0005-0000-0000-000093050000}"/>
    <cellStyle name="Percent1" xfId="291" xr:uid="{00000000-0005-0000-0000-000094050000}"/>
    <cellStyle name="Percent2" xfId="292" xr:uid="{00000000-0005-0000-0000-000095050000}"/>
    <cellStyle name="PSChar" xfId="293" xr:uid="{00000000-0005-0000-0000-000096050000}"/>
    <cellStyle name="PSDate" xfId="294" xr:uid="{00000000-0005-0000-0000-000097050000}"/>
    <cellStyle name="PSDec" xfId="295" xr:uid="{00000000-0005-0000-0000-000098050000}"/>
    <cellStyle name="PSdesc" xfId="296" xr:uid="{00000000-0005-0000-0000-000099050000}"/>
    <cellStyle name="PSHeading" xfId="297" xr:uid="{00000000-0005-0000-0000-00009A050000}"/>
    <cellStyle name="PSInt" xfId="298" xr:uid="{00000000-0005-0000-0000-00009B050000}"/>
    <cellStyle name="PSSpacer" xfId="299" xr:uid="{00000000-0005-0000-0000-00009C050000}"/>
    <cellStyle name="PStest" xfId="300" xr:uid="{00000000-0005-0000-0000-00009D050000}"/>
    <cellStyle name="R00A" xfId="301" xr:uid="{00000000-0005-0000-0000-00009E050000}"/>
    <cellStyle name="R00B" xfId="302" xr:uid="{00000000-0005-0000-0000-00009F050000}"/>
    <cellStyle name="R00L" xfId="303" xr:uid="{00000000-0005-0000-0000-0000A0050000}"/>
    <cellStyle name="R01A" xfId="304" xr:uid="{00000000-0005-0000-0000-0000A1050000}"/>
    <cellStyle name="R01B" xfId="305" xr:uid="{00000000-0005-0000-0000-0000A2050000}"/>
    <cellStyle name="R01H" xfId="306" xr:uid="{00000000-0005-0000-0000-0000A3050000}"/>
    <cellStyle name="R01L" xfId="307" xr:uid="{00000000-0005-0000-0000-0000A4050000}"/>
    <cellStyle name="R02A" xfId="308" xr:uid="{00000000-0005-0000-0000-0000A5050000}"/>
    <cellStyle name="R02B" xfId="309" xr:uid="{00000000-0005-0000-0000-0000A6050000}"/>
    <cellStyle name="R02H" xfId="310" xr:uid="{00000000-0005-0000-0000-0000A7050000}"/>
    <cellStyle name="R02L" xfId="311" xr:uid="{00000000-0005-0000-0000-0000A8050000}"/>
    <cellStyle name="R03A" xfId="312" xr:uid="{00000000-0005-0000-0000-0000A9050000}"/>
    <cellStyle name="R03B" xfId="313" xr:uid="{00000000-0005-0000-0000-0000AA050000}"/>
    <cellStyle name="R03H" xfId="314" xr:uid="{00000000-0005-0000-0000-0000AB050000}"/>
    <cellStyle name="R03L" xfId="315" xr:uid="{00000000-0005-0000-0000-0000AC050000}"/>
    <cellStyle name="R04A" xfId="316" xr:uid="{00000000-0005-0000-0000-0000AD050000}"/>
    <cellStyle name="R04B" xfId="317" xr:uid="{00000000-0005-0000-0000-0000AE050000}"/>
    <cellStyle name="R04H" xfId="318" xr:uid="{00000000-0005-0000-0000-0000AF050000}"/>
    <cellStyle name="R04L" xfId="319" xr:uid="{00000000-0005-0000-0000-0000B0050000}"/>
    <cellStyle name="R05A" xfId="320" xr:uid="{00000000-0005-0000-0000-0000B1050000}"/>
    <cellStyle name="R05B" xfId="321" xr:uid="{00000000-0005-0000-0000-0000B2050000}"/>
    <cellStyle name="R05H" xfId="322" xr:uid="{00000000-0005-0000-0000-0000B3050000}"/>
    <cellStyle name="R05L" xfId="323" xr:uid="{00000000-0005-0000-0000-0000B4050000}"/>
    <cellStyle name="R05L 2" xfId="324" xr:uid="{00000000-0005-0000-0000-0000B5050000}"/>
    <cellStyle name="R06A" xfId="325" xr:uid="{00000000-0005-0000-0000-0000B6050000}"/>
    <cellStyle name="R06B" xfId="326" xr:uid="{00000000-0005-0000-0000-0000B7050000}"/>
    <cellStyle name="R06H" xfId="327" xr:uid="{00000000-0005-0000-0000-0000B8050000}"/>
    <cellStyle name="R06L" xfId="328" xr:uid="{00000000-0005-0000-0000-0000B9050000}"/>
    <cellStyle name="R07A" xfId="329" xr:uid="{00000000-0005-0000-0000-0000BA050000}"/>
    <cellStyle name="R07B" xfId="330" xr:uid="{00000000-0005-0000-0000-0000BB050000}"/>
    <cellStyle name="R07H" xfId="331" xr:uid="{00000000-0005-0000-0000-0000BC050000}"/>
    <cellStyle name="R07L" xfId="332" xr:uid="{00000000-0005-0000-0000-0000BD050000}"/>
    <cellStyle name="rborder" xfId="333" xr:uid="{00000000-0005-0000-0000-0000BE050000}"/>
    <cellStyle name="red" xfId="334" xr:uid="{00000000-0005-0000-0000-0000BF050000}"/>
    <cellStyle name="s_HardInc " xfId="335" xr:uid="{00000000-0005-0000-0000-0000C0050000}"/>
    <cellStyle name="s_HardInc _ITC Great Plains Formula 1-12-09a" xfId="336" xr:uid="{00000000-0005-0000-0000-0000C1050000}"/>
    <cellStyle name="scenario" xfId="337" xr:uid="{00000000-0005-0000-0000-0000C2050000}"/>
    <cellStyle name="SECTION" xfId="338" xr:uid="{00000000-0005-0000-0000-0000C3050000}"/>
    <cellStyle name="Sheetmult" xfId="339" xr:uid="{00000000-0005-0000-0000-0000C4050000}"/>
    <cellStyle name="Shtmultx" xfId="340" xr:uid="{00000000-0005-0000-0000-0000C5050000}"/>
    <cellStyle name="Style 1" xfId="341" xr:uid="{00000000-0005-0000-0000-0000C6050000}"/>
    <cellStyle name="STYLE1" xfId="342" xr:uid="{00000000-0005-0000-0000-0000C7050000}"/>
    <cellStyle name="STYLE2" xfId="343" xr:uid="{00000000-0005-0000-0000-0000C8050000}"/>
    <cellStyle name="System Defined" xfId="344" xr:uid="{00000000-0005-0000-0000-0000C9050000}"/>
    <cellStyle name="TableHeading" xfId="345" xr:uid="{00000000-0005-0000-0000-0000CA050000}"/>
    <cellStyle name="tb" xfId="346" xr:uid="{00000000-0005-0000-0000-0000CB050000}"/>
    <cellStyle name="Tickmark" xfId="347" xr:uid="{00000000-0005-0000-0000-0000CC050000}"/>
    <cellStyle name="Title 2" xfId="613" xr:uid="{00000000-0005-0000-0000-0000CD050000}"/>
    <cellStyle name="Title1" xfId="348" xr:uid="{00000000-0005-0000-0000-0000CE050000}"/>
    <cellStyle name="top" xfId="349" xr:uid="{00000000-0005-0000-0000-0000CF050000}"/>
    <cellStyle name="Total" xfId="350" builtinId="25" customBuiltin="1"/>
    <cellStyle name="w" xfId="351" xr:uid="{00000000-0005-0000-0000-0000D1050000}"/>
    <cellStyle name="Warning Text 2" xfId="614" xr:uid="{00000000-0005-0000-0000-0000D2050000}"/>
    <cellStyle name="XComma" xfId="352" xr:uid="{00000000-0005-0000-0000-0000D3050000}"/>
    <cellStyle name="XComma 0.0" xfId="353" xr:uid="{00000000-0005-0000-0000-0000D4050000}"/>
    <cellStyle name="XComma 0.00" xfId="354" xr:uid="{00000000-0005-0000-0000-0000D5050000}"/>
    <cellStyle name="XComma 0.000" xfId="355" xr:uid="{00000000-0005-0000-0000-0000D6050000}"/>
    <cellStyle name="XCurrency" xfId="356" xr:uid="{00000000-0005-0000-0000-0000D7050000}"/>
    <cellStyle name="XCurrency 0.0" xfId="357" xr:uid="{00000000-0005-0000-0000-0000D8050000}"/>
    <cellStyle name="XCurrency 0.00" xfId="358" xr:uid="{00000000-0005-0000-0000-0000D9050000}"/>
    <cellStyle name="XCurrency 0.000" xfId="359" xr:uid="{00000000-0005-0000-0000-0000DA050000}"/>
    <cellStyle name="yra" xfId="360" xr:uid="{00000000-0005-0000-0000-0000DB050000}"/>
    <cellStyle name="yrActual" xfId="361" xr:uid="{00000000-0005-0000-0000-0000DC050000}"/>
    <cellStyle name="yre" xfId="362" xr:uid="{00000000-0005-0000-0000-0000DD050000}"/>
    <cellStyle name="yrExpect" xfId="363" xr:uid="{00000000-0005-0000-0000-0000DE050000}"/>
  </cellStyles>
  <dxfs count="0"/>
  <tableStyles count="0" defaultTableStyle="TableStyleMedium2" defaultPivotStyle="PivotStyleLight16"/>
  <colors>
    <mruColors>
      <color rgb="FFFFFF99"/>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28"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374650</xdr:colOff>
          <xdr:row>4</xdr:row>
          <xdr:rowOff>12700</xdr:rowOff>
        </xdr:from>
        <xdr:to>
          <xdr:col>2</xdr:col>
          <xdr:colOff>1022350</xdr:colOff>
          <xdr:row>4</xdr:row>
          <xdr:rowOff>12700</xdr:rowOff>
        </xdr:to>
        <xdr:sp macro="" textlink="">
          <xdr:nvSpPr>
            <xdr:cNvPr id="98305" name="Object 1" hidden="1">
              <a:extLst>
                <a:ext uri="{63B3BB69-23CF-44E3-9099-C40C66FF867C}">
                  <a14:compatExt spid="_x0000_s98305"/>
                </a:ext>
                <a:ext uri="{FF2B5EF4-FFF2-40B4-BE49-F238E27FC236}">
                  <a16:creationId xmlns:a16="http://schemas.microsoft.com/office/drawing/2014/main" id="{00000000-0008-0000-0E00-00000180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374650</xdr:colOff>
          <xdr:row>3</xdr:row>
          <xdr:rowOff>152400</xdr:rowOff>
        </xdr:from>
        <xdr:to>
          <xdr:col>2</xdr:col>
          <xdr:colOff>1003300</xdr:colOff>
          <xdr:row>3</xdr:row>
          <xdr:rowOff>152400</xdr:rowOff>
        </xdr:to>
        <xdr:sp macro="" textlink="">
          <xdr:nvSpPr>
            <xdr:cNvPr id="96257" name="Object 1" hidden="1">
              <a:extLst>
                <a:ext uri="{63B3BB69-23CF-44E3-9099-C40C66FF867C}">
                  <a14:compatExt spid="_x0000_s96257"/>
                </a:ext>
                <a:ext uri="{FF2B5EF4-FFF2-40B4-BE49-F238E27FC236}">
                  <a16:creationId xmlns:a16="http://schemas.microsoft.com/office/drawing/2014/main" id="{00000000-0008-0000-0F00-0000017801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6" Type="http://schemas.openxmlformats.org/officeDocument/2006/relationships/image" Target="../media/image1.emf"/><Relationship Id="rId5" Type="http://schemas.openxmlformats.org/officeDocument/2006/relationships/oleObject" Target="../embeddings/oleObject1.bin"/><Relationship Id="rId4" Type="http://schemas.openxmlformats.org/officeDocument/2006/relationships/vmlDrawing" Target="../drawings/vmlDrawing1.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6" Type="http://schemas.openxmlformats.org/officeDocument/2006/relationships/image" Target="../media/image1.emf"/><Relationship Id="rId5" Type="http://schemas.openxmlformats.org/officeDocument/2006/relationships/oleObject" Target="../embeddings/oleObject2.bin"/><Relationship Id="rId4" Type="http://schemas.openxmlformats.org/officeDocument/2006/relationships/vmlDrawing" Target="../drawings/vmlDrawing2.vml"/></Relationships>
</file>

<file path=xl/worksheets/_rels/sheet17.xml.rels><?xml version="1.0" encoding="UTF-8" standalone="yes"?>
<Relationships xmlns="http://schemas.openxmlformats.org/package/2006/relationships"><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35.bin"/><Relationship Id="rId1" Type="http://schemas.openxmlformats.org/officeDocument/2006/relationships/printerSettings" Target="../printerSettings/printerSettings34.bin"/></Relationships>
</file>

<file path=xl/worksheets/_rels/sheet19.xml.rels><?xml version="1.0" encoding="UTF-8" standalone="yes"?>
<Relationships xmlns="http://schemas.openxmlformats.org/package/2006/relationships"><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247"/>
  <sheetViews>
    <sheetView tabSelected="1" view="pageBreakPreview" zoomScale="70" zoomScaleNormal="100" zoomScaleSheetLayoutView="70" workbookViewId="0">
      <selection activeCell="I29" sqref="I29"/>
    </sheetView>
  </sheetViews>
  <sheetFormatPr defaultColWidth="8.84375" defaultRowHeight="13"/>
  <cols>
    <col min="1" max="1" width="6.84375" style="13" customWidth="1"/>
    <col min="2" max="2" width="43.53515625" style="13" customWidth="1"/>
    <col min="3" max="3" width="36.07421875" style="13" customWidth="1"/>
    <col min="4" max="4" width="16.3046875" style="13" customWidth="1"/>
    <col min="5" max="5" width="6.84375" style="13" customWidth="1"/>
    <col min="6" max="6" width="7.3046875" style="13" customWidth="1"/>
    <col min="7" max="7" width="9.4609375" style="13" customWidth="1"/>
    <col min="8" max="8" width="4.84375" style="13" customWidth="1"/>
    <col min="9" max="9" width="13.53515625" style="13" customWidth="1"/>
    <col min="10" max="10" width="4.61328125" style="13" customWidth="1"/>
    <col min="11" max="11" width="14.07421875" style="13" customWidth="1"/>
    <col min="12" max="12" width="14.4609375" style="13" bestFit="1" customWidth="1"/>
    <col min="13" max="13" width="14.69140625" style="13" bestFit="1" customWidth="1"/>
    <col min="14" max="16384" width="8.84375" style="13"/>
  </cols>
  <sheetData>
    <row r="1" spans="1:11">
      <c r="A1" s="104"/>
      <c r="B1" s="104"/>
      <c r="C1" s="104"/>
      <c r="D1" s="104"/>
      <c r="E1" s="104"/>
      <c r="F1" s="104"/>
      <c r="G1" s="104"/>
      <c r="H1" s="104"/>
      <c r="I1" s="104"/>
      <c r="J1" s="104"/>
      <c r="K1" s="105" t="s">
        <v>704</v>
      </c>
    </row>
    <row r="2" spans="1:11">
      <c r="A2" s="104"/>
      <c r="B2" s="104"/>
      <c r="C2" s="104"/>
      <c r="D2" s="104"/>
      <c r="E2" s="104"/>
      <c r="F2" s="104"/>
      <c r="G2" s="104"/>
      <c r="H2" s="104"/>
      <c r="I2" s="104"/>
      <c r="J2" s="104"/>
      <c r="K2" s="104"/>
    </row>
    <row r="3" spans="1:11" ht="15" customHeight="1">
      <c r="A3" s="32"/>
      <c r="B3" s="24" t="s">
        <v>1</v>
      </c>
      <c r="C3" s="203"/>
      <c r="D3" s="106" t="s">
        <v>808</v>
      </c>
      <c r="E3" s="24"/>
      <c r="F3" s="24"/>
      <c r="G3" s="107"/>
      <c r="H3" s="108"/>
      <c r="I3" s="109" t="s">
        <v>1019</v>
      </c>
      <c r="J3" s="868"/>
      <c r="K3" s="871">
        <v>45657</v>
      </c>
    </row>
    <row r="4" spans="1:11">
      <c r="A4" s="32"/>
      <c r="C4" s="25"/>
      <c r="D4" s="28" t="s">
        <v>101</v>
      </c>
      <c r="E4" s="25"/>
      <c r="F4" s="25"/>
      <c r="G4" s="25"/>
      <c r="H4" s="110"/>
      <c r="I4" s="110"/>
      <c r="J4" s="111"/>
      <c r="K4" s="1206"/>
    </row>
    <row r="5" spans="1:11" ht="13.5">
      <c r="A5" s="32"/>
      <c r="B5" s="112"/>
      <c r="C5" s="119"/>
      <c r="D5" s="264" t="s">
        <v>410</v>
      </c>
      <c r="E5" s="119"/>
      <c r="F5" s="119"/>
      <c r="G5" s="119"/>
      <c r="H5" s="111"/>
      <c r="I5" s="111"/>
      <c r="J5" s="111"/>
      <c r="K5" s="111"/>
    </row>
    <row r="6" spans="1:11" ht="13.5">
      <c r="B6" s="112"/>
      <c r="J6" s="113"/>
      <c r="K6" s="113"/>
    </row>
    <row r="7" spans="1:11">
      <c r="A7" s="106"/>
      <c r="C7" s="111"/>
      <c r="D7" s="114"/>
      <c r="E7" s="111"/>
      <c r="F7" s="111"/>
      <c r="G7" s="111"/>
      <c r="H7" s="111"/>
      <c r="I7" s="111"/>
      <c r="J7" s="111"/>
      <c r="K7" s="111"/>
    </row>
    <row r="8" spans="1:11">
      <c r="A8" s="106"/>
      <c r="B8" s="115" t="s">
        <v>3</v>
      </c>
      <c r="C8" s="115" t="s">
        <v>4</v>
      </c>
      <c r="D8" s="115" t="s">
        <v>5</v>
      </c>
      <c r="E8" s="25" t="s">
        <v>2</v>
      </c>
      <c r="F8" s="25"/>
      <c r="G8" s="114" t="s">
        <v>6</v>
      </c>
      <c r="H8" s="25"/>
      <c r="I8" s="114" t="s">
        <v>7</v>
      </c>
      <c r="J8" s="111"/>
      <c r="K8" s="111"/>
    </row>
    <row r="9" spans="1:11">
      <c r="A9" s="106" t="s">
        <v>8</v>
      </c>
      <c r="B9" s="111"/>
      <c r="C9" s="111"/>
      <c r="D9" s="116"/>
      <c r="E9" s="111"/>
      <c r="F9" s="111"/>
      <c r="G9" s="111"/>
      <c r="H9" s="111"/>
      <c r="I9" s="106" t="s">
        <v>9</v>
      </c>
      <c r="J9" s="111"/>
      <c r="K9" s="111"/>
    </row>
    <row r="10" spans="1:11" ht="13.5" thickBot="1">
      <c r="A10" s="29" t="s">
        <v>10</v>
      </c>
      <c r="B10" s="111"/>
      <c r="C10" s="144" t="s">
        <v>205</v>
      </c>
      <c r="D10" s="111"/>
      <c r="E10" s="111"/>
      <c r="F10" s="111"/>
      <c r="G10" s="111"/>
      <c r="H10" s="111"/>
      <c r="I10" s="29" t="s">
        <v>11</v>
      </c>
      <c r="J10" s="111"/>
      <c r="K10" s="111"/>
    </row>
    <row r="11" spans="1:11">
      <c r="A11" s="106">
        <v>1</v>
      </c>
      <c r="B11" s="111" t="s">
        <v>567</v>
      </c>
      <c r="C11" s="111" t="s">
        <v>621</v>
      </c>
      <c r="D11" s="117"/>
      <c r="E11" s="111"/>
      <c r="F11" s="111"/>
      <c r="G11" s="111"/>
      <c r="H11" s="111"/>
      <c r="I11" s="118">
        <f>+I170</f>
        <v>9683755.0398403257</v>
      </c>
      <c r="J11" s="111"/>
      <c r="K11" s="119"/>
    </row>
    <row r="12" spans="1:11">
      <c r="A12" s="106"/>
      <c r="B12" s="111"/>
      <c r="C12" s="111"/>
      <c r="D12" s="111"/>
      <c r="E12" s="111"/>
      <c r="F12" s="111"/>
      <c r="G12" s="111"/>
      <c r="H12" s="111"/>
      <c r="I12" s="117"/>
      <c r="J12" s="111"/>
      <c r="K12" s="111"/>
    </row>
    <row r="13" spans="1:11" ht="13.5" thickBot="1">
      <c r="A13" s="106" t="s">
        <v>2</v>
      </c>
      <c r="B13" s="27" t="s">
        <v>12</v>
      </c>
      <c r="C13" s="33" t="s">
        <v>541</v>
      </c>
      <c r="D13" s="29" t="s">
        <v>13</v>
      </c>
      <c r="E13" s="25"/>
      <c r="F13" s="120" t="s">
        <v>14</v>
      </c>
      <c r="G13" s="120"/>
      <c r="H13" s="111"/>
      <c r="I13" s="117"/>
      <c r="J13" s="111"/>
      <c r="K13" s="111"/>
    </row>
    <row r="14" spans="1:11">
      <c r="A14" s="106">
        <f>+A11+1</f>
        <v>2</v>
      </c>
      <c r="B14" s="27" t="s">
        <v>106</v>
      </c>
      <c r="C14" s="33" t="str">
        <f>"(page 4, line "&amp;A209&amp;")"</f>
        <v>(page 4, line 20)</v>
      </c>
      <c r="D14" s="158">
        <f>I209</f>
        <v>360</v>
      </c>
      <c r="E14" s="25"/>
      <c r="F14" s="25" t="s">
        <v>15</v>
      </c>
      <c r="G14" s="167">
        <f>$I$188</f>
        <v>1</v>
      </c>
      <c r="H14" s="40"/>
      <c r="I14" s="15">
        <f>+G14*D14</f>
        <v>360</v>
      </c>
      <c r="J14" s="111"/>
      <c r="K14" s="111"/>
    </row>
    <row r="15" spans="1:11">
      <c r="A15" s="106">
        <f>+A14+1</f>
        <v>3</v>
      </c>
      <c r="B15" s="27" t="s">
        <v>107</v>
      </c>
      <c r="C15" s="500" t="str">
        <f>"(page 4, line "&amp;A211&amp;")"</f>
        <v>(page 4, line 21)</v>
      </c>
      <c r="D15" s="158">
        <f>+I211</f>
        <v>116563.8899999999</v>
      </c>
      <c r="E15" s="25"/>
      <c r="F15" s="25" t="s">
        <v>15</v>
      </c>
      <c r="G15" s="167">
        <f>$I$188</f>
        <v>1</v>
      </c>
      <c r="H15" s="40"/>
      <c r="I15" s="15">
        <f>+G15*D15</f>
        <v>116563.8899999999</v>
      </c>
      <c r="J15" s="111"/>
      <c r="K15" s="111"/>
    </row>
    <row r="16" spans="1:11">
      <c r="A16" s="476">
        <f>+A15+1</f>
        <v>4</v>
      </c>
      <c r="B16" s="121" t="s">
        <v>259</v>
      </c>
      <c r="C16" s="326" t="s">
        <v>554</v>
      </c>
      <c r="D16" s="1142">
        <v>0</v>
      </c>
      <c r="E16" s="25"/>
      <c r="F16" s="25" t="s">
        <v>15</v>
      </c>
      <c r="G16" s="167">
        <f>$I$188</f>
        <v>1</v>
      </c>
      <c r="H16" s="40"/>
      <c r="I16" s="1143">
        <f>+G16*D16</f>
        <v>0</v>
      </c>
      <c r="J16" s="111"/>
      <c r="K16" s="111"/>
    </row>
    <row r="17" spans="1:13" ht="13.5" thickBot="1">
      <c r="A17" s="106">
        <f>+A16+1</f>
        <v>5</v>
      </c>
      <c r="B17" s="121" t="s">
        <v>108</v>
      </c>
      <c r="C17" s="122"/>
      <c r="D17" s="1142">
        <v>0</v>
      </c>
      <c r="E17" s="25"/>
      <c r="F17" s="25" t="s">
        <v>15</v>
      </c>
      <c r="G17" s="167">
        <f>$I$188</f>
        <v>1</v>
      </c>
      <c r="H17" s="40"/>
      <c r="I17" s="1144">
        <f>+G17*D17</f>
        <v>0</v>
      </c>
      <c r="J17" s="111"/>
      <c r="K17" s="111"/>
    </row>
    <row r="18" spans="1:13">
      <c r="A18" s="476">
        <f>+A17+1</f>
        <v>6</v>
      </c>
      <c r="B18" s="27" t="s">
        <v>224</v>
      </c>
      <c r="C18" s="111" t="s">
        <v>555</v>
      </c>
      <c r="D18" s="477">
        <f>SUM(D14:D17)</f>
        <v>116923.8899999999</v>
      </c>
      <c r="E18" s="25"/>
      <c r="F18" s="25"/>
      <c r="G18" s="41"/>
      <c r="H18" s="40"/>
      <c r="I18" s="477">
        <f>SUM(I14:I17)</f>
        <v>116923.8899999999</v>
      </c>
      <c r="J18" s="111"/>
      <c r="K18" s="111"/>
    </row>
    <row r="19" spans="1:13">
      <c r="A19" s="106"/>
      <c r="B19" s="32"/>
      <c r="C19" s="111"/>
      <c r="D19" s="466" t="s">
        <v>2</v>
      </c>
      <c r="E19" s="111"/>
      <c r="F19" s="111"/>
      <c r="G19" s="123"/>
      <c r="H19" s="111"/>
      <c r="I19" s="32"/>
      <c r="J19" s="111"/>
      <c r="K19" s="111"/>
    </row>
    <row r="20" spans="1:13" s="319" customFormat="1">
      <c r="A20" s="476">
        <f>+A18+1</f>
        <v>7</v>
      </c>
      <c r="B20" s="121" t="s">
        <v>786</v>
      </c>
      <c r="C20" s="122" t="s">
        <v>528</v>
      </c>
      <c r="D20" s="158">
        <f>+'11-Corrections'!F30</f>
        <v>0</v>
      </c>
      <c r="E20" s="25"/>
      <c r="F20" s="25" t="s">
        <v>77</v>
      </c>
      <c r="G20" s="167">
        <v>1</v>
      </c>
      <c r="H20" s="25"/>
      <c r="I20" s="1143">
        <f>+G20*D20</f>
        <v>0</v>
      </c>
      <c r="J20" s="111"/>
      <c r="K20" s="111"/>
      <c r="M20" s="124"/>
    </row>
    <row r="21" spans="1:13">
      <c r="A21" s="125">
        <f>+A20+1</f>
        <v>8</v>
      </c>
      <c r="B21" s="126" t="s">
        <v>102</v>
      </c>
      <c r="C21" s="299" t="s">
        <v>641</v>
      </c>
      <c r="D21" s="158">
        <v>0</v>
      </c>
      <c r="E21" s="127"/>
      <c r="F21" s="128" t="s">
        <v>77</v>
      </c>
      <c r="G21" s="489">
        <v>1</v>
      </c>
      <c r="H21" s="127"/>
      <c r="I21" s="1143">
        <f>+G21*D21</f>
        <v>0</v>
      </c>
      <c r="K21" s="129"/>
    </row>
    <row r="22" spans="1:13">
      <c r="A22" s="125"/>
      <c r="B22" s="126"/>
      <c r="C22" s="127"/>
      <c r="D22" s="467"/>
      <c r="E22" s="130"/>
      <c r="F22" s="130"/>
      <c r="G22" s="130"/>
      <c r="H22" s="130"/>
      <c r="I22" s="131"/>
      <c r="K22" s="129"/>
    </row>
    <row r="23" spans="1:13" ht="13.5" thickBot="1">
      <c r="A23" s="125">
        <f>+A21+1</f>
        <v>9</v>
      </c>
      <c r="B23" s="126" t="s">
        <v>429</v>
      </c>
      <c r="C23" s="111" t="s">
        <v>556</v>
      </c>
      <c r="D23" s="130"/>
      <c r="E23" s="131"/>
      <c r="F23" s="131"/>
      <c r="G23" s="131"/>
      <c r="H23" s="131"/>
      <c r="I23" s="132">
        <f>+I11-I18+I20+I21</f>
        <v>9566831.1498403251</v>
      </c>
      <c r="K23" s="129"/>
    </row>
    <row r="24" spans="1:13" ht="13.5" thickTop="1">
      <c r="A24" s="133"/>
      <c r="B24" s="121"/>
      <c r="C24" s="129"/>
      <c r="D24" s="129"/>
      <c r="E24" s="129"/>
      <c r="F24" s="134"/>
      <c r="G24" s="135"/>
      <c r="H24" s="129"/>
      <c r="I24" s="121"/>
      <c r="J24" s="129"/>
      <c r="K24" s="129"/>
    </row>
    <row r="25" spans="1:13" s="319" customFormat="1">
      <c r="A25" s="133"/>
      <c r="B25" s="136"/>
      <c r="C25" s="129"/>
      <c r="D25" s="129"/>
      <c r="E25" s="129"/>
      <c r="F25" s="134"/>
      <c r="G25" s="135"/>
      <c r="H25" s="129"/>
      <c r="I25" s="121"/>
      <c r="J25" s="129"/>
      <c r="K25" s="129"/>
    </row>
    <row r="26" spans="1:13" s="319" customFormat="1">
      <c r="A26" s="476"/>
      <c r="B26" s="27"/>
      <c r="C26" s="111"/>
      <c r="D26" s="137"/>
      <c r="E26" s="138"/>
      <c r="F26" s="138"/>
      <c r="G26" s="138"/>
      <c r="H26" s="138"/>
      <c r="I26" s="138"/>
      <c r="J26" s="138"/>
      <c r="K26" s="111"/>
    </row>
    <row r="27" spans="1:13" s="571" customFormat="1" ht="16" thickBot="1">
      <c r="A27" s="620"/>
      <c r="B27" s="637" t="s">
        <v>628</v>
      </c>
      <c r="C27" s="610"/>
      <c r="D27" s="613"/>
      <c r="E27" s="610"/>
      <c r="G27" s="610"/>
      <c r="H27" s="610"/>
      <c r="I27" s="612"/>
      <c r="J27" s="567"/>
      <c r="K27" s="566"/>
    </row>
    <row r="28" spans="1:13" s="571" customFormat="1" ht="15.5">
      <c r="A28" s="636" t="s">
        <v>598</v>
      </c>
      <c r="B28" s="623" t="s">
        <v>668</v>
      </c>
      <c r="C28" s="568" t="s">
        <v>205</v>
      </c>
      <c r="D28" s="613"/>
      <c r="E28" s="610"/>
      <c r="G28" s="610"/>
      <c r="H28" s="610"/>
      <c r="I28" s="609"/>
      <c r="J28" s="567"/>
      <c r="K28" s="566"/>
    </row>
    <row r="29" spans="1:13" s="571" customFormat="1" ht="26">
      <c r="A29" s="528">
        <v>10</v>
      </c>
      <c r="B29" s="562" t="s">
        <v>661</v>
      </c>
      <c r="C29" s="541" t="s">
        <v>660</v>
      </c>
      <c r="D29" s="592">
        <f>+I23</f>
        <v>9566831.1498403251</v>
      </c>
      <c r="E29" s="564"/>
      <c r="F29" s="564"/>
      <c r="G29" s="564"/>
      <c r="H29" s="564"/>
      <c r="J29" s="567"/>
      <c r="K29" s="566"/>
    </row>
    <row r="30" spans="1:13" s="571" customFormat="1" ht="26">
      <c r="A30" s="528">
        <f t="shared" ref="A30:A33" si="0">+A29+1</f>
        <v>11</v>
      </c>
      <c r="B30" s="562" t="s">
        <v>659</v>
      </c>
      <c r="C30" s="542" t="s">
        <v>662</v>
      </c>
      <c r="D30" s="600">
        <f>+'1-Project Rev Req'!U61</f>
        <v>9566831.1498403251</v>
      </c>
      <c r="E30" s="564"/>
      <c r="F30" s="564"/>
      <c r="G30" s="564"/>
      <c r="H30" s="564"/>
      <c r="J30" s="567"/>
      <c r="K30" s="566"/>
    </row>
    <row r="31" spans="1:13" s="571" customFormat="1">
      <c r="A31" s="528">
        <f t="shared" si="0"/>
        <v>12</v>
      </c>
      <c r="B31" s="565" t="s">
        <v>626</v>
      </c>
      <c r="C31" s="541" t="str">
        <f>"( Line "&amp;A29&amp;" - line "&amp;A30&amp;")"</f>
        <v>( Line 10 - line 11)</v>
      </c>
      <c r="D31" s="1145">
        <f>+D29-D30</f>
        <v>0</v>
      </c>
      <c r="E31" s="564"/>
      <c r="F31" s="564"/>
      <c r="G31" s="564"/>
      <c r="H31" s="564"/>
      <c r="J31" s="567"/>
      <c r="K31" s="566"/>
    </row>
    <row r="32" spans="1:13" s="571" customFormat="1" ht="15.75" customHeight="1">
      <c r="A32" s="528">
        <f t="shared" si="0"/>
        <v>13</v>
      </c>
      <c r="B32" s="562" t="s">
        <v>640</v>
      </c>
      <c r="C32" s="542" t="s">
        <v>663</v>
      </c>
      <c r="D32" s="1146">
        <f>+'1-Project Rev Req'!P65</f>
        <v>0</v>
      </c>
      <c r="E32" s="564"/>
      <c r="F32" s="564"/>
      <c r="G32" s="564"/>
      <c r="H32" s="564"/>
      <c r="J32" s="567"/>
      <c r="K32" s="566"/>
    </row>
    <row r="33" spans="1:21" s="571" customFormat="1">
      <c r="A33" s="528">
        <f t="shared" si="0"/>
        <v>14</v>
      </c>
      <c r="B33" s="565" t="s">
        <v>627</v>
      </c>
      <c r="C33" s="541" t="str">
        <f>"( Line "&amp;A31&amp;" + line "&amp;A32&amp;")"</f>
        <v>( Line 12 + line 13)</v>
      </c>
      <c r="D33" s="1145">
        <f>+D31+D32</f>
        <v>0</v>
      </c>
      <c r="E33" s="564"/>
      <c r="F33" s="564"/>
      <c r="G33" s="564"/>
      <c r="H33" s="564"/>
      <c r="J33" s="567"/>
      <c r="K33" s="566"/>
    </row>
    <row r="34" spans="1:21" s="571" customFormat="1" ht="15.5">
      <c r="A34" s="563"/>
      <c r="B34" s="611"/>
      <c r="C34" s="614"/>
      <c r="D34" s="617"/>
      <c r="E34" s="609"/>
      <c r="G34" s="615"/>
      <c r="H34" s="616"/>
      <c r="J34" s="567"/>
      <c r="K34" s="566"/>
    </row>
    <row r="35" spans="1:21" s="571" customFormat="1">
      <c r="A35" s="622" t="s">
        <v>599</v>
      </c>
      <c r="B35" s="623" t="s">
        <v>600</v>
      </c>
      <c r="C35" s="624"/>
      <c r="D35" s="626"/>
      <c r="E35" s="624"/>
      <c r="G35" s="624"/>
      <c r="H35" s="624"/>
      <c r="J35" s="567"/>
      <c r="K35" s="566"/>
    </row>
    <row r="36" spans="1:21" s="571" customFormat="1">
      <c r="A36" s="563">
        <f>+A33+1</f>
        <v>15</v>
      </c>
      <c r="B36" s="627" t="str">
        <f>"Year"&amp;" "&amp;YEAR(K3)&amp;" "&amp;"AEP East Zone Network Service Peak Load (1 CP)"</f>
        <v>Year 2024 AEP East Zone Network Service Peak Load (1 CP)</v>
      </c>
      <c r="D36" s="323">
        <v>22825.599999999999</v>
      </c>
      <c r="E36" s="1147"/>
      <c r="G36" s="628"/>
      <c r="H36" s="629"/>
      <c r="J36" s="567"/>
      <c r="K36" s="566"/>
    </row>
    <row r="37" spans="1:21" s="571" customFormat="1">
      <c r="A37" s="563">
        <f>+A36+1</f>
        <v>16</v>
      </c>
      <c r="B37" s="621" t="s">
        <v>667</v>
      </c>
      <c r="D37" s="630"/>
      <c r="E37" s="572"/>
      <c r="G37" s="573"/>
      <c r="H37" s="572"/>
      <c r="J37" s="567"/>
      <c r="K37" s="566"/>
    </row>
    <row r="38" spans="1:21" s="571" customFormat="1">
      <c r="A38" s="563">
        <f t="shared" ref="A38:A44" si="1">+A37+1</f>
        <v>17</v>
      </c>
      <c r="B38" s="627" t="str">
        <f>"Annual Point-to-Point Rate in $/MW - Year"</f>
        <v>Annual Point-to-Point Rate in $/MW - Year</v>
      </c>
      <c r="C38" s="541" t="str">
        <f>"( Line "&amp;A33&amp;" / line "&amp;A36&amp;")"</f>
        <v>( Line 14 / line 15)</v>
      </c>
      <c r="D38" s="632">
        <f>IFERROR(ROUND(+D33/D36,4),0)</f>
        <v>0</v>
      </c>
      <c r="E38" s="572"/>
      <c r="G38" s="631"/>
      <c r="H38" s="572"/>
      <c r="J38" s="567"/>
      <c r="K38" s="566"/>
    </row>
    <row r="39" spans="1:21" s="571" customFormat="1">
      <c r="A39" s="563">
        <f t="shared" si="1"/>
        <v>18</v>
      </c>
      <c r="B39" s="627" t="str">
        <f>"Monthly Point-to-Point Rate in $/MW - Month"</f>
        <v>Monthly Point-to-Point Rate in $/MW - Month</v>
      </c>
      <c r="C39" s="638" t="str">
        <f>"( Line "&amp;$A$38&amp;" / 12)"</f>
        <v>( Line 17 / 12)</v>
      </c>
      <c r="D39" s="632">
        <f>ROUND(+D$38/12,4)</f>
        <v>0</v>
      </c>
      <c r="E39" s="572"/>
      <c r="G39" s="631"/>
      <c r="H39" s="572"/>
      <c r="J39" s="567"/>
      <c r="K39" s="566"/>
    </row>
    <row r="40" spans="1:21" s="571" customFormat="1">
      <c r="A40" s="563">
        <f t="shared" si="1"/>
        <v>19</v>
      </c>
      <c r="B40" s="627" t="str">
        <f>"Weekly Point-to-Point Rate in $/MW - Weekly"</f>
        <v>Weekly Point-to-Point Rate in $/MW - Weekly</v>
      </c>
      <c r="C40" s="638" t="str">
        <f>"( Line "&amp;$A$38&amp;" / 52)"</f>
        <v>( Line 17 / 52)</v>
      </c>
      <c r="D40" s="632">
        <f>ROUND(+D38/52,4)</f>
        <v>0</v>
      </c>
      <c r="E40" s="572"/>
      <c r="G40" s="631"/>
      <c r="H40" s="572"/>
      <c r="J40" s="567"/>
      <c r="K40" s="566"/>
    </row>
    <row r="41" spans="1:21" s="571" customFormat="1">
      <c r="A41" s="563">
        <f t="shared" si="1"/>
        <v>20</v>
      </c>
      <c r="B41" s="627" t="str">
        <f>"Daily On-Peak Point-to-Point Rate in $/MW - Day"</f>
        <v>Daily On-Peak Point-to-Point Rate in $/MW - Day</v>
      </c>
      <c r="C41" s="638" t="str">
        <f>"( Line "&amp;$A$38&amp;" / 260)"</f>
        <v>( Line 17 / 260)</v>
      </c>
      <c r="D41" s="632">
        <f>ROUND(+D38/260,4)</f>
        <v>0</v>
      </c>
      <c r="E41" s="572"/>
      <c r="G41" s="631"/>
      <c r="H41" s="572"/>
      <c r="J41" s="567"/>
      <c r="K41" s="566"/>
    </row>
    <row r="42" spans="1:21" s="571" customFormat="1">
      <c r="A42" s="563">
        <f t="shared" si="1"/>
        <v>21</v>
      </c>
      <c r="B42" s="627" t="str">
        <f>"Daily Off-Peak Point-to-Point Rate in $/MW - Day"</f>
        <v>Daily Off-Peak Point-to-Point Rate in $/MW - Day</v>
      </c>
      <c r="C42" s="638" t="str">
        <f>"( Line "&amp;$A$38&amp;" / 365)"</f>
        <v>( Line 17 / 365)</v>
      </c>
      <c r="D42" s="632">
        <f>+D38/365</f>
        <v>0</v>
      </c>
      <c r="E42" s="572"/>
      <c r="G42" s="631"/>
      <c r="H42" s="572"/>
      <c r="J42" s="567"/>
      <c r="K42" s="566"/>
    </row>
    <row r="43" spans="1:21" s="571" customFormat="1">
      <c r="A43" s="563">
        <f t="shared" si="1"/>
        <v>22</v>
      </c>
      <c r="B43" s="627" t="str">
        <f>"Hourly On-Peak Point-to-Point Rate in $/MW - Hour"</f>
        <v>Hourly On-Peak Point-to-Point Rate in $/MW - Hour</v>
      </c>
      <c r="C43" s="638" t="str">
        <f>"( Line "&amp;$A$38&amp;" / 4160)"</f>
        <v>( Line 17 / 4160)</v>
      </c>
      <c r="D43" s="632">
        <f>ROUND(+D38/4160,4)</f>
        <v>0</v>
      </c>
      <c r="E43" s="572"/>
      <c r="G43" s="631"/>
      <c r="H43" s="572"/>
      <c r="J43" s="567"/>
      <c r="K43" s="566"/>
    </row>
    <row r="44" spans="1:21" s="571" customFormat="1">
      <c r="A44" s="563">
        <f t="shared" si="1"/>
        <v>23</v>
      </c>
      <c r="B44" s="627" t="str">
        <f>"Hourly Off-Peak Point-to-Point Rate in $/MW - Hour"</f>
        <v>Hourly Off-Peak Point-to-Point Rate in $/MW - Hour</v>
      </c>
      <c r="C44" s="638" t="str">
        <f>"( Line "&amp;$A$38&amp;" / 8760)"</f>
        <v>( Line 17 / 8760)</v>
      </c>
      <c r="D44" s="632">
        <f>ROUND(+D38/8760,4)</f>
        <v>0</v>
      </c>
      <c r="E44" s="572"/>
      <c r="G44" s="631"/>
      <c r="H44" s="572"/>
      <c r="J44" s="567"/>
      <c r="K44" s="566"/>
    </row>
    <row r="45" spans="1:21" s="571" customFormat="1">
      <c r="A45" s="563"/>
      <c r="B45" s="543"/>
      <c r="C45" s="566"/>
      <c r="D45" s="567"/>
      <c r="E45" s="567"/>
      <c r="F45" s="567"/>
      <c r="G45" s="567"/>
      <c r="H45" s="567"/>
      <c r="J45" s="567"/>
      <c r="K45" s="566"/>
    </row>
    <row r="46" spans="1:21" s="609" customFormat="1" ht="15.5">
      <c r="A46" s="563"/>
      <c r="B46" s="626"/>
      <c r="C46" s="626"/>
      <c r="D46" s="626"/>
      <c r="E46" s="626"/>
      <c r="F46" s="626"/>
      <c r="G46" s="633"/>
      <c r="H46" s="629"/>
      <c r="J46" s="616"/>
      <c r="K46" s="618"/>
      <c r="L46" s="618"/>
      <c r="M46" s="618"/>
      <c r="N46" s="618"/>
      <c r="O46" s="618"/>
      <c r="P46" s="618"/>
      <c r="Q46" s="618"/>
      <c r="R46" s="618"/>
      <c r="S46" s="618"/>
      <c r="T46" s="618"/>
      <c r="U46" s="618"/>
    </row>
    <row r="47" spans="1:21" s="609" customFormat="1" ht="15.5">
      <c r="A47" s="622" t="s">
        <v>601</v>
      </c>
      <c r="B47" s="623" t="s">
        <v>602</v>
      </c>
      <c r="C47" s="625"/>
      <c r="D47" s="626"/>
      <c r="E47" s="625"/>
      <c r="F47" s="624"/>
      <c r="G47" s="634"/>
      <c r="H47" s="624"/>
      <c r="J47" s="610"/>
      <c r="K47" s="588"/>
      <c r="L47" s="588"/>
      <c r="M47" s="588"/>
      <c r="N47" s="588"/>
      <c r="O47" s="588"/>
      <c r="P47" s="588"/>
      <c r="Q47" s="588"/>
      <c r="R47" s="588"/>
      <c r="S47" s="588"/>
      <c r="T47" s="588"/>
    </row>
    <row r="48" spans="1:21" s="609" customFormat="1" ht="15.5">
      <c r="A48" s="563">
        <f>+A44+1</f>
        <v>24</v>
      </c>
      <c r="B48" s="572" t="s">
        <v>642</v>
      </c>
      <c r="C48" s="542" t="s">
        <v>665</v>
      </c>
      <c r="D48" s="635">
        <f>+'1-Project Rev Req'!U61-'1-Project Rev Req'!P61</f>
        <v>9566831.1498403251</v>
      </c>
      <c r="E48" s="537"/>
      <c r="F48" s="537"/>
      <c r="G48" s="537"/>
      <c r="H48" s="537"/>
      <c r="J48" s="619"/>
      <c r="K48" s="588"/>
      <c r="L48" s="588"/>
      <c r="M48" s="588"/>
      <c r="N48" s="588"/>
      <c r="O48" s="588"/>
      <c r="P48" s="588"/>
      <c r="Q48" s="588"/>
      <c r="R48" s="588"/>
      <c r="S48" s="588"/>
      <c r="T48" s="588"/>
    </row>
    <row r="49" spans="1:20" s="609" customFormat="1" ht="15.5">
      <c r="A49" s="563">
        <f>+A48+1</f>
        <v>25</v>
      </c>
      <c r="B49" s="626" t="s">
        <v>803</v>
      </c>
      <c r="C49" s="542" t="s">
        <v>664</v>
      </c>
      <c r="D49" s="1148">
        <f>+'1-Project Rev Req'!P61</f>
        <v>0</v>
      </c>
      <c r="E49" s="537"/>
      <c r="F49" s="537"/>
      <c r="G49" s="537"/>
      <c r="H49" s="537"/>
      <c r="J49" s="619"/>
      <c r="K49" s="588"/>
      <c r="L49" s="588"/>
      <c r="M49" s="588"/>
      <c r="N49" s="588"/>
      <c r="O49" s="588"/>
      <c r="P49" s="588"/>
      <c r="Q49" s="588"/>
      <c r="R49" s="588"/>
      <c r="S49" s="588"/>
      <c r="T49" s="588"/>
    </row>
    <row r="50" spans="1:20" s="609" customFormat="1" ht="15.5">
      <c r="A50" s="563">
        <f>+A49+1</f>
        <v>26</v>
      </c>
      <c r="B50" s="529" t="s">
        <v>666</v>
      </c>
      <c r="C50" s="541" t="str">
        <f>"( Line "&amp;A48&amp;" + line "&amp;A49&amp;")"</f>
        <v>( Line 24 + line 25)</v>
      </c>
      <c r="D50" s="530">
        <f>+D48+D49</f>
        <v>9566831.1498403251</v>
      </c>
      <c r="E50" s="537"/>
      <c r="F50" s="537"/>
      <c r="G50" s="537"/>
      <c r="H50" s="537"/>
      <c r="J50" s="619"/>
      <c r="K50" s="588"/>
      <c r="L50" s="588"/>
      <c r="M50" s="588"/>
      <c r="N50" s="588"/>
      <c r="O50" s="588"/>
      <c r="P50" s="588"/>
      <c r="Q50" s="588"/>
      <c r="R50" s="588"/>
      <c r="S50" s="588"/>
      <c r="T50" s="588"/>
    </row>
    <row r="51" spans="1:20">
      <c r="A51" s="106"/>
      <c r="B51" s="27"/>
      <c r="C51" s="111"/>
      <c r="D51" s="137"/>
      <c r="E51" s="138"/>
      <c r="F51" s="138"/>
      <c r="G51" s="138"/>
      <c r="H51" s="138"/>
      <c r="I51" s="138"/>
      <c r="J51" s="138"/>
      <c r="K51" s="111"/>
    </row>
    <row r="52" spans="1:20">
      <c r="A52" s="106"/>
      <c r="B52" s="27"/>
      <c r="C52" s="111"/>
      <c r="D52" s="137"/>
      <c r="E52" s="138"/>
      <c r="F52" s="138"/>
      <c r="G52" s="138"/>
      <c r="H52" s="138"/>
      <c r="I52" s="138"/>
      <c r="J52" s="138"/>
      <c r="K52" s="111"/>
    </row>
    <row r="53" spans="1:20">
      <c r="A53" s="32"/>
      <c r="B53" s="27"/>
      <c r="C53" s="111"/>
      <c r="D53" s="111"/>
      <c r="E53" s="111"/>
      <c r="F53" s="111"/>
      <c r="G53" s="111"/>
      <c r="H53" s="111"/>
      <c r="I53" s="139"/>
      <c r="J53" s="111"/>
      <c r="K53" s="140" t="s">
        <v>703</v>
      </c>
    </row>
    <row r="54" spans="1:20">
      <c r="A54" s="32"/>
      <c r="B54" s="111"/>
      <c r="C54" s="111"/>
      <c r="D54" s="111"/>
      <c r="E54" s="111"/>
      <c r="F54" s="111"/>
      <c r="G54" s="111"/>
      <c r="H54" s="111"/>
      <c r="I54" s="111"/>
      <c r="J54" s="111"/>
      <c r="K54" s="111"/>
    </row>
    <row r="55" spans="1:20">
      <c r="A55" s="32"/>
      <c r="B55" s="27" t="s">
        <v>1</v>
      </c>
      <c r="C55" s="27"/>
      <c r="D55" s="106" t="s">
        <v>808</v>
      </c>
      <c r="E55" s="27"/>
      <c r="F55" s="27"/>
      <c r="G55" s="27"/>
      <c r="H55" s="27"/>
      <c r="I55" s="104"/>
      <c r="J55" s="140">
        <f>J3</f>
        <v>0</v>
      </c>
      <c r="K55" s="870">
        <f>K3</f>
        <v>45657</v>
      </c>
    </row>
    <row r="56" spans="1:20">
      <c r="A56" s="32"/>
      <c r="B56" s="141"/>
      <c r="C56" s="25"/>
      <c r="D56" s="28" t="s">
        <v>101</v>
      </c>
      <c r="E56" s="25"/>
      <c r="F56" s="25"/>
      <c r="G56" s="25"/>
      <c r="H56" s="25"/>
      <c r="I56" s="25"/>
      <c r="J56" s="25"/>
      <c r="K56" s="25"/>
    </row>
    <row r="57" spans="1:20">
      <c r="A57" s="32"/>
      <c r="B57" s="27"/>
      <c r="C57" s="25"/>
      <c r="D57" s="28" t="str">
        <f>+D5</f>
        <v>Transource West Virginia, LLC</v>
      </c>
      <c r="E57" s="25"/>
      <c r="F57" s="25"/>
      <c r="G57" s="25" t="s">
        <v>2</v>
      </c>
      <c r="H57" s="25"/>
      <c r="I57" s="25"/>
      <c r="J57" s="25"/>
      <c r="K57" s="25"/>
    </row>
    <row r="58" spans="1:20">
      <c r="A58" s="1207"/>
      <c r="B58" s="1207"/>
      <c r="C58" s="1207"/>
      <c r="D58" s="1207"/>
      <c r="E58" s="1207"/>
      <c r="F58" s="1207"/>
      <c r="G58" s="1207"/>
      <c r="H58" s="1207"/>
      <c r="I58" s="1207"/>
      <c r="J58" s="1207"/>
      <c r="K58" s="1207"/>
    </row>
    <row r="59" spans="1:20">
      <c r="A59" s="32"/>
      <c r="B59" s="115" t="s">
        <v>3</v>
      </c>
      <c r="C59" s="115" t="s">
        <v>4</v>
      </c>
      <c r="D59" s="115" t="s">
        <v>5</v>
      </c>
      <c r="E59" s="25" t="s">
        <v>2</v>
      </c>
      <c r="F59" s="25"/>
      <c r="G59" s="114" t="s">
        <v>6</v>
      </c>
      <c r="H59" s="25"/>
      <c r="I59" s="114" t="s">
        <v>7</v>
      </c>
      <c r="J59" s="25"/>
      <c r="K59" s="115"/>
    </row>
    <row r="60" spans="1:20">
      <c r="A60" s="32"/>
      <c r="B60" s="27"/>
      <c r="C60" s="142"/>
      <c r="D60" s="25"/>
      <c r="E60" s="25"/>
      <c r="F60" s="25"/>
      <c r="G60" s="106"/>
      <c r="H60" s="25"/>
      <c r="I60" s="143" t="s">
        <v>16</v>
      </c>
      <c r="J60" s="25"/>
      <c r="K60" s="115"/>
    </row>
    <row r="61" spans="1:20">
      <c r="A61" s="106" t="s">
        <v>8</v>
      </c>
      <c r="B61" s="27"/>
      <c r="C61" s="144" t="s">
        <v>205</v>
      </c>
      <c r="D61" s="143" t="s">
        <v>18</v>
      </c>
      <c r="E61" s="145"/>
      <c r="F61" s="143" t="s">
        <v>19</v>
      </c>
      <c r="G61" s="32"/>
      <c r="H61" s="145"/>
      <c r="I61" s="106" t="s">
        <v>20</v>
      </c>
      <c r="J61" s="25"/>
      <c r="K61" s="115"/>
    </row>
    <row r="62" spans="1:20" ht="13.5" thickBot="1">
      <c r="A62" s="325" t="s">
        <v>10</v>
      </c>
      <c r="B62" s="146" t="s">
        <v>354</v>
      </c>
      <c r="C62" s="25"/>
      <c r="D62" s="25"/>
      <c r="E62" s="25"/>
      <c r="F62" s="25"/>
      <c r="G62" s="25"/>
      <c r="H62" s="25"/>
      <c r="I62" s="25"/>
      <c r="J62" s="25"/>
      <c r="K62" s="25"/>
    </row>
    <row r="63" spans="1:20">
      <c r="A63" s="297"/>
      <c r="B63" s="27" t="s">
        <v>586</v>
      </c>
      <c r="C63" s="25" t="s">
        <v>403</v>
      </c>
      <c r="D63" s="25"/>
      <c r="E63" s="25"/>
      <c r="F63" s="25"/>
      <c r="G63" s="25"/>
      <c r="H63" s="25"/>
      <c r="I63" s="25"/>
      <c r="J63" s="25"/>
      <c r="K63" s="25"/>
    </row>
    <row r="64" spans="1:20">
      <c r="A64" s="297">
        <v>1</v>
      </c>
      <c r="B64" s="27" t="s">
        <v>260</v>
      </c>
      <c r="C64" s="40" t="s">
        <v>264</v>
      </c>
      <c r="D64" s="1142">
        <v>0</v>
      </c>
      <c r="E64" s="25"/>
      <c r="F64" s="25" t="s">
        <v>21</v>
      </c>
      <c r="G64" s="168">
        <v>0</v>
      </c>
      <c r="H64" s="25"/>
      <c r="I64" s="1143">
        <f>+G64*D64</f>
        <v>0</v>
      </c>
      <c r="J64" s="25"/>
      <c r="K64" s="25"/>
    </row>
    <row r="65" spans="1:11">
      <c r="A65" s="297">
        <f>+A64+1</f>
        <v>2</v>
      </c>
      <c r="B65" s="27" t="s">
        <v>22</v>
      </c>
      <c r="C65" s="40" t="s">
        <v>262</v>
      </c>
      <c r="D65" s="158">
        <f>'4- Rate Base'!C23</f>
        <v>84401725.483076915</v>
      </c>
      <c r="E65" s="25"/>
      <c r="F65" s="25" t="s">
        <v>15</v>
      </c>
      <c r="G65" s="167">
        <f>$I$188</f>
        <v>1</v>
      </c>
      <c r="H65" s="40"/>
      <c r="I65" s="1143">
        <f>+G65*D65</f>
        <v>84401725.483076915</v>
      </c>
      <c r="J65" s="25"/>
      <c r="K65" s="25"/>
    </row>
    <row r="66" spans="1:11">
      <c r="A66" s="297">
        <f t="shared" ref="A66:A102" si="2">+A65+1</f>
        <v>3</v>
      </c>
      <c r="B66" s="27" t="s">
        <v>261</v>
      </c>
      <c r="C66" s="40" t="s">
        <v>265</v>
      </c>
      <c r="D66" s="1142">
        <v>0</v>
      </c>
      <c r="E66" s="25"/>
      <c r="F66" s="25" t="s">
        <v>21</v>
      </c>
      <c r="G66" s="168">
        <v>0</v>
      </c>
      <c r="H66" s="40"/>
      <c r="I66" s="1143">
        <f>+G66*D66</f>
        <v>0</v>
      </c>
      <c r="J66" s="25"/>
      <c r="K66" s="25"/>
    </row>
    <row r="67" spans="1:11" ht="13.5" thickBot="1">
      <c r="A67" s="297">
        <f t="shared" si="2"/>
        <v>4</v>
      </c>
      <c r="B67" s="27" t="s">
        <v>88</v>
      </c>
      <c r="C67" s="40" t="s">
        <v>263</v>
      </c>
      <c r="D67" s="148">
        <f>'4- Rate Base'!D23</f>
        <v>732091.67923076928</v>
      </c>
      <c r="E67" s="25"/>
      <c r="F67" s="25" t="s">
        <v>23</v>
      </c>
      <c r="G67" s="167">
        <f>$I$196</f>
        <v>1</v>
      </c>
      <c r="H67" s="40"/>
      <c r="I67" s="1149">
        <f>+G67*D67</f>
        <v>732091.67923076928</v>
      </c>
      <c r="J67" s="25"/>
      <c r="K67" s="25"/>
    </row>
    <row r="68" spans="1:11">
      <c r="A68" s="297">
        <f t="shared" si="2"/>
        <v>5</v>
      </c>
      <c r="B68" s="24" t="s">
        <v>220</v>
      </c>
      <c r="C68" s="25" t="s">
        <v>549</v>
      </c>
      <c r="D68" s="403">
        <f>SUM(D64:D67)</f>
        <v>85133817.16230768</v>
      </c>
      <c r="E68" s="25"/>
      <c r="F68" s="25" t="s">
        <v>24</v>
      </c>
      <c r="G68" s="328">
        <f>IF(I68&gt;0,I68/D68,1)</f>
        <v>1</v>
      </c>
      <c r="H68" s="40"/>
      <c r="I68" s="403">
        <f>SUM(I64:I67)</f>
        <v>85133817.16230768</v>
      </c>
      <c r="J68" s="25"/>
      <c r="K68" s="150"/>
    </row>
    <row r="69" spans="1:11">
      <c r="A69" s="297"/>
      <c r="B69" s="27"/>
      <c r="C69" s="25"/>
      <c r="D69" s="15"/>
      <c r="E69" s="25"/>
      <c r="F69" s="25"/>
      <c r="G69" s="329"/>
      <c r="H69" s="25"/>
      <c r="I69" s="15"/>
      <c r="J69" s="25"/>
      <c r="K69" s="150"/>
    </row>
    <row r="70" spans="1:11">
      <c r="A70" s="297">
        <f>+A68+1</f>
        <v>6</v>
      </c>
      <c r="B70" s="27" t="s">
        <v>585</v>
      </c>
      <c r="C70" s="25" t="s">
        <v>403</v>
      </c>
      <c r="D70" s="15"/>
      <c r="E70" s="25"/>
      <c r="F70" s="25"/>
      <c r="G70" s="167"/>
      <c r="H70" s="25"/>
      <c r="I70" s="15"/>
      <c r="J70" s="25"/>
      <c r="K70" s="25"/>
    </row>
    <row r="71" spans="1:11">
      <c r="A71" s="297">
        <f t="shared" si="2"/>
        <v>7</v>
      </c>
      <c r="B71" s="27" t="s">
        <v>260</v>
      </c>
      <c r="C71" s="25" t="s">
        <v>266</v>
      </c>
      <c r="D71" s="1150">
        <v>0</v>
      </c>
      <c r="E71" s="25"/>
      <c r="F71" s="25" t="s">
        <v>21</v>
      </c>
      <c r="G71" s="167">
        <v>0</v>
      </c>
      <c r="H71" s="25"/>
      <c r="I71" s="1143">
        <f>+G71*D71</f>
        <v>0</v>
      </c>
      <c r="J71" s="25"/>
      <c r="K71" s="25"/>
    </row>
    <row r="72" spans="1:11">
      <c r="A72" s="297">
        <f t="shared" si="2"/>
        <v>8</v>
      </c>
      <c r="B72" s="27" t="s">
        <v>22</v>
      </c>
      <c r="C72" s="25" t="s">
        <v>268</v>
      </c>
      <c r="D72" s="1151">
        <f>'4- Rate Base'!I23</f>
        <v>6507176.5461538471</v>
      </c>
      <c r="E72" s="25"/>
      <c r="F72" s="25" t="s">
        <v>15</v>
      </c>
      <c r="G72" s="167">
        <f>$I$188</f>
        <v>1</v>
      </c>
      <c r="H72" s="40"/>
      <c r="I72" s="1143">
        <f>+G72*D72</f>
        <v>6507176.5461538471</v>
      </c>
      <c r="J72" s="25"/>
      <c r="K72" s="25"/>
    </row>
    <row r="73" spans="1:11">
      <c r="A73" s="297">
        <f t="shared" si="2"/>
        <v>9</v>
      </c>
      <c r="B73" s="27" t="s">
        <v>261</v>
      </c>
      <c r="C73" s="25" t="s">
        <v>267</v>
      </c>
      <c r="D73" s="1142">
        <v>0</v>
      </c>
      <c r="E73" s="25"/>
      <c r="F73" s="25" t="s">
        <v>21</v>
      </c>
      <c r="G73" s="167">
        <f>+G66</f>
        <v>0</v>
      </c>
      <c r="H73" s="40"/>
      <c r="I73" s="1151">
        <f>+G73*D73</f>
        <v>0</v>
      </c>
      <c r="J73" s="25"/>
      <c r="K73" s="25"/>
    </row>
    <row r="74" spans="1:11" ht="13.5" thickBot="1">
      <c r="A74" s="297">
        <f t="shared" si="2"/>
        <v>10</v>
      </c>
      <c r="B74" s="27" t="s">
        <v>88</v>
      </c>
      <c r="C74" s="25" t="s">
        <v>269</v>
      </c>
      <c r="D74" s="1149">
        <f>'4- Rate Base'!J23</f>
        <v>425635.78461538447</v>
      </c>
      <c r="E74" s="25"/>
      <c r="F74" s="25" t="s">
        <v>23</v>
      </c>
      <c r="G74" s="167">
        <f>$I$196</f>
        <v>1</v>
      </c>
      <c r="H74" s="40"/>
      <c r="I74" s="1149">
        <f>+G74*D74</f>
        <v>425635.78461538447</v>
      </c>
      <c r="J74" s="25"/>
      <c r="K74" s="25"/>
    </row>
    <row r="75" spans="1:11">
      <c r="A75" s="297">
        <f t="shared" si="2"/>
        <v>11</v>
      </c>
      <c r="B75" s="27" t="s">
        <v>221</v>
      </c>
      <c r="C75" s="25" t="s">
        <v>235</v>
      </c>
      <c r="D75" s="403">
        <f>SUM(D71:D74)</f>
        <v>6932812.3307692315</v>
      </c>
      <c r="E75" s="25"/>
      <c r="F75" s="25"/>
      <c r="G75" s="23"/>
      <c r="H75" s="40"/>
      <c r="I75" s="403">
        <f>SUM(I71:I74)</f>
        <v>6932812.3307692315</v>
      </c>
      <c r="J75" s="25"/>
      <c r="K75" s="25"/>
    </row>
    <row r="76" spans="1:11">
      <c r="A76" s="297"/>
      <c r="B76" s="32"/>
      <c r="C76" s="25" t="s">
        <v>2</v>
      </c>
      <c r="D76" s="15"/>
      <c r="E76" s="25"/>
      <c r="F76" s="25"/>
      <c r="G76" s="149"/>
      <c r="H76" s="25"/>
      <c r="I76" s="15"/>
      <c r="J76" s="25"/>
      <c r="K76" s="150"/>
    </row>
    <row r="77" spans="1:11">
      <c r="A77" s="297">
        <f>+A75+1</f>
        <v>12</v>
      </c>
      <c r="B77" s="27" t="s">
        <v>25</v>
      </c>
      <c r="C77" s="25"/>
      <c r="D77" s="15"/>
      <c r="E77" s="25"/>
      <c r="F77" s="25"/>
      <c r="G77" s="23"/>
      <c r="H77" s="25"/>
      <c r="I77" s="15"/>
      <c r="J77" s="25"/>
      <c r="K77" s="25"/>
    </row>
    <row r="78" spans="1:11">
      <c r="A78" s="297">
        <f t="shared" si="2"/>
        <v>13</v>
      </c>
      <c r="B78" s="27" t="s">
        <v>260</v>
      </c>
      <c r="C78" s="25" t="str">
        <f>"(line "&amp;A64&amp;" - line "&amp;A71&amp;")"</f>
        <v>(line 1 - line 7)</v>
      </c>
      <c r="D78" s="1143">
        <f>D64-D71</f>
        <v>0</v>
      </c>
      <c r="E78" s="40"/>
      <c r="F78" s="40"/>
      <c r="G78" s="149"/>
      <c r="H78" s="40"/>
      <c r="I78" s="1143">
        <f>I64-I71</f>
        <v>0</v>
      </c>
      <c r="J78" s="25"/>
      <c r="K78" s="150"/>
    </row>
    <row r="79" spans="1:11">
      <c r="A79" s="297">
        <f t="shared" si="2"/>
        <v>14</v>
      </c>
      <c r="B79" s="27" t="s">
        <v>22</v>
      </c>
      <c r="C79" s="25" t="str">
        <f>"(line "&amp;A65&amp;" - line "&amp;A72&amp;")"</f>
        <v>(line 2 - line 8)</v>
      </c>
      <c r="D79" s="1143">
        <f>D65-D72</f>
        <v>77894548.936923072</v>
      </c>
      <c r="E79" s="40"/>
      <c r="F79" s="40"/>
      <c r="G79" s="23"/>
      <c r="H79" s="40"/>
      <c r="I79" s="1143">
        <f>I65-I72</f>
        <v>77894548.936923072</v>
      </c>
      <c r="J79" s="25"/>
      <c r="K79" s="150"/>
    </row>
    <row r="80" spans="1:11">
      <c r="A80" s="297">
        <f t="shared" si="2"/>
        <v>15</v>
      </c>
      <c r="B80" s="27" t="s">
        <v>261</v>
      </c>
      <c r="C80" s="25" t="str">
        <f>"(line "&amp;A66&amp;" - line "&amp;A73&amp;")"</f>
        <v>(line 3 - line 9)</v>
      </c>
      <c r="D80" s="1143">
        <f>D66-D73</f>
        <v>0</v>
      </c>
      <c r="E80" s="40"/>
      <c r="F80" s="40"/>
      <c r="G80" s="149"/>
      <c r="H80" s="40"/>
      <c r="I80" s="1151">
        <f>I66-I73</f>
        <v>0</v>
      </c>
      <c r="J80" s="25"/>
      <c r="K80" s="150"/>
    </row>
    <row r="81" spans="1:11" ht="13.5" thickBot="1">
      <c r="A81" s="297">
        <f t="shared" si="2"/>
        <v>16</v>
      </c>
      <c r="B81" s="27" t="s">
        <v>88</v>
      </c>
      <c r="C81" s="25" t="str">
        <f>"(line "&amp;A67&amp;" - line "&amp;A74&amp;")"</f>
        <v>(line 4 - line 10)</v>
      </c>
      <c r="D81" s="1149">
        <f>D67-D74</f>
        <v>306455.89461538481</v>
      </c>
      <c r="E81" s="40"/>
      <c r="F81" s="40"/>
      <c r="G81" s="149"/>
      <c r="H81" s="40"/>
      <c r="I81" s="1149">
        <f>I67-I74</f>
        <v>306455.89461538481</v>
      </c>
      <c r="J81" s="25"/>
      <c r="K81" s="150"/>
    </row>
    <row r="82" spans="1:11">
      <c r="A82" s="297">
        <f t="shared" si="2"/>
        <v>17</v>
      </c>
      <c r="B82" s="27" t="s">
        <v>223</v>
      </c>
      <c r="C82" s="25" t="str">
        <f>"( Sum of line "&amp;A68&amp;" - line "&amp;A75&amp;")"</f>
        <v>( Sum of line 5 - line 11)</v>
      </c>
      <c r="D82" s="403">
        <f>SUM(D78:D81)</f>
        <v>78201004.831538454</v>
      </c>
      <c r="E82" s="40"/>
      <c r="F82" s="40" t="s">
        <v>26</v>
      </c>
      <c r="G82" s="328">
        <f>IF(I82&gt;0,I82/D82,1)</f>
        <v>1</v>
      </c>
      <c r="H82" s="40"/>
      <c r="I82" s="403">
        <f>SUM(I78:I81)</f>
        <v>78201004.831538454</v>
      </c>
      <c r="J82" s="500"/>
      <c r="K82" s="25"/>
    </row>
    <row r="83" spans="1:11">
      <c r="A83" s="297"/>
      <c r="B83" s="32"/>
      <c r="C83" s="25"/>
      <c r="D83" s="15"/>
      <c r="E83" s="25"/>
      <c r="F83" s="32"/>
      <c r="G83" s="478"/>
      <c r="H83" s="25"/>
      <c r="I83" s="15"/>
      <c r="J83" s="25"/>
      <c r="K83" s="150"/>
    </row>
    <row r="84" spans="1:11">
      <c r="A84" s="297">
        <f>+A82+1</f>
        <v>18</v>
      </c>
      <c r="B84" s="24" t="s">
        <v>270</v>
      </c>
      <c r="C84" s="25"/>
      <c r="D84" s="15"/>
      <c r="E84" s="25"/>
      <c r="F84" s="25"/>
      <c r="G84" s="478"/>
      <c r="H84" s="25"/>
      <c r="I84" s="15"/>
      <c r="J84" s="25"/>
      <c r="K84" s="25"/>
    </row>
    <row r="85" spans="1:11">
      <c r="A85" s="297">
        <f t="shared" si="2"/>
        <v>19</v>
      </c>
      <c r="B85" s="27" t="s">
        <v>89</v>
      </c>
      <c r="C85" s="1186" t="s">
        <v>963</v>
      </c>
      <c r="D85" s="1187">
        <f>-'4- Rate Base'!E42</f>
        <v>0</v>
      </c>
      <c r="E85" s="1188"/>
      <c r="F85" s="1188" t="s">
        <v>21</v>
      </c>
      <c r="G85" s="1196" t="s">
        <v>110</v>
      </c>
      <c r="H85" s="1189"/>
      <c r="I85" s="1190">
        <f>-'4a - ADIT Average Balances'!I40</f>
        <v>0</v>
      </c>
      <c r="J85" s="25"/>
      <c r="K85" s="150"/>
    </row>
    <row r="86" spans="1:11">
      <c r="A86" s="297">
        <f t="shared" si="2"/>
        <v>20</v>
      </c>
      <c r="B86" s="27" t="s">
        <v>90</v>
      </c>
      <c r="C86" s="1186" t="s">
        <v>963</v>
      </c>
      <c r="D86" s="1191">
        <f>-'4- Rate Base'!F42</f>
        <v>-5881103.7700000005</v>
      </c>
      <c r="E86" s="1186"/>
      <c r="F86" s="1186" t="s">
        <v>27</v>
      </c>
      <c r="G86" s="1197">
        <v>1</v>
      </c>
      <c r="H86" s="1189"/>
      <c r="I86" s="1192">
        <f>-'4a - ADIT Average Balances'!I76</f>
        <v>-5881103.7700000005</v>
      </c>
      <c r="J86" s="25"/>
      <c r="K86" s="150"/>
    </row>
    <row r="87" spans="1:11">
      <c r="A87" s="297">
        <f t="shared" si="2"/>
        <v>21</v>
      </c>
      <c r="B87" s="27" t="s">
        <v>91</v>
      </c>
      <c r="C87" s="1186" t="s">
        <v>963</v>
      </c>
      <c r="D87" s="1191">
        <f>-'4- Rate Base'!G42</f>
        <v>-1795187.96</v>
      </c>
      <c r="E87" s="1186"/>
      <c r="F87" s="1186" t="s">
        <v>27</v>
      </c>
      <c r="G87" s="1197">
        <v>1</v>
      </c>
      <c r="H87" s="1189"/>
      <c r="I87" s="1192">
        <f>-'4a - ADIT Average Balances'!I118</f>
        <v>-1795187.96</v>
      </c>
      <c r="J87" s="25"/>
      <c r="K87" s="150"/>
    </row>
    <row r="88" spans="1:11">
      <c r="A88" s="297">
        <f t="shared" si="2"/>
        <v>22</v>
      </c>
      <c r="B88" s="27" t="s">
        <v>96</v>
      </c>
      <c r="C88" s="1186" t="s">
        <v>963</v>
      </c>
      <c r="D88" s="1191">
        <f>+'4- Rate Base'!H42</f>
        <v>457268.16499999998</v>
      </c>
      <c r="E88" s="1186"/>
      <c r="F88" s="1186" t="s">
        <v>27</v>
      </c>
      <c r="G88" s="1197">
        <v>1</v>
      </c>
      <c r="H88" s="1189"/>
      <c r="I88" s="1192">
        <f>'4a - ADIT Average Balances'!I157</f>
        <v>457268.16499999998</v>
      </c>
      <c r="J88" s="25"/>
      <c r="K88" s="150"/>
    </row>
    <row r="89" spans="1:11">
      <c r="A89" s="297">
        <f t="shared" si="2"/>
        <v>23</v>
      </c>
      <c r="B89" s="32" t="s">
        <v>92</v>
      </c>
      <c r="C89" s="32" t="s">
        <v>558</v>
      </c>
      <c r="D89" s="1152">
        <f>-'4- Rate Base'!I42</f>
        <v>0</v>
      </c>
      <c r="E89" s="25"/>
      <c r="F89" s="25" t="s">
        <v>27</v>
      </c>
      <c r="G89" s="167">
        <f>+$G$82</f>
        <v>1</v>
      </c>
      <c r="H89" s="40"/>
      <c r="I89" s="1144">
        <f>D89*G89</f>
        <v>0</v>
      </c>
      <c r="J89" s="25"/>
      <c r="K89" s="150"/>
    </row>
    <row r="90" spans="1:11" s="216" customFormat="1">
      <c r="A90" s="297">
        <f t="shared" si="2"/>
        <v>24</v>
      </c>
      <c r="B90" s="30" t="s">
        <v>406</v>
      </c>
      <c r="C90" s="30" t="s">
        <v>679</v>
      </c>
      <c r="D90" s="1152">
        <f>+'4- Rate Base'!I73</f>
        <v>0</v>
      </c>
      <c r="E90" s="33"/>
      <c r="F90" s="33" t="s">
        <v>77</v>
      </c>
      <c r="G90" s="168">
        <f>G91</f>
        <v>1</v>
      </c>
      <c r="H90" s="159"/>
      <c r="I90" s="1152">
        <f>+G90*D90</f>
        <v>0</v>
      </c>
      <c r="J90" s="33"/>
      <c r="K90" s="298"/>
    </row>
    <row r="91" spans="1:11">
      <c r="A91" s="297">
        <f t="shared" si="2"/>
        <v>25</v>
      </c>
      <c r="B91" s="130" t="s">
        <v>87</v>
      </c>
      <c r="C91" s="155" t="s">
        <v>206</v>
      </c>
      <c r="D91" s="1152">
        <f>'4- Rate Base'!E23</f>
        <v>0</v>
      </c>
      <c r="E91" s="152"/>
      <c r="F91" s="153" t="str">
        <f>+F92</f>
        <v>DA</v>
      </c>
      <c r="G91" s="169">
        <v>1</v>
      </c>
      <c r="H91" s="152"/>
      <c r="I91" s="1144">
        <f>+G91*D91</f>
        <v>0</v>
      </c>
      <c r="K91" s="150"/>
    </row>
    <row r="92" spans="1:11">
      <c r="A92" s="297">
        <f t="shared" si="2"/>
        <v>26</v>
      </c>
      <c r="B92" s="154" t="s">
        <v>104</v>
      </c>
      <c r="C92" s="155" t="s">
        <v>560</v>
      </c>
      <c r="D92" s="1152">
        <f>+'4- Rate Base'!C42</f>
        <v>0</v>
      </c>
      <c r="E92" s="153"/>
      <c r="F92" s="153" t="str">
        <f>+F93</f>
        <v>DA</v>
      </c>
      <c r="G92" s="169">
        <v>1</v>
      </c>
      <c r="H92" s="153"/>
      <c r="I92" s="1144">
        <f>+G92*D92</f>
        <v>0</v>
      </c>
      <c r="K92" s="150"/>
    </row>
    <row r="93" spans="1:11" ht="13.5" thickBot="1">
      <c r="A93" s="297">
        <f t="shared" si="2"/>
        <v>27</v>
      </c>
      <c r="B93" s="154" t="s">
        <v>105</v>
      </c>
      <c r="C93" s="155" t="s">
        <v>561</v>
      </c>
      <c r="D93" s="1153">
        <f>+'4- Rate Base'!D42</f>
        <v>0</v>
      </c>
      <c r="E93" s="152"/>
      <c r="F93" s="152" t="s">
        <v>77</v>
      </c>
      <c r="G93" s="327">
        <v>1</v>
      </c>
      <c r="H93" s="152"/>
      <c r="I93" s="1149">
        <f>+G93*D93</f>
        <v>0</v>
      </c>
      <c r="K93" s="150"/>
    </row>
    <row r="94" spans="1:11">
      <c r="A94" s="297">
        <f t="shared" si="2"/>
        <v>28</v>
      </c>
      <c r="B94" s="27" t="s">
        <v>222</v>
      </c>
      <c r="C94" s="25" t="str">
        <f>"( Sum of line "&amp;A85&amp;" - line "&amp;A93&amp;")"</f>
        <v>( Sum of line 19 - line 27)</v>
      </c>
      <c r="D94" s="15">
        <f>SUM(D85:D93)</f>
        <v>-7219023.5650000004</v>
      </c>
      <c r="E94" s="25"/>
      <c r="F94" s="25"/>
      <c r="G94" s="479"/>
      <c r="H94" s="40"/>
      <c r="I94" s="15">
        <f>SUM(I85:I93)</f>
        <v>-7219023.5650000004</v>
      </c>
      <c r="J94" s="500"/>
      <c r="K94" s="25"/>
    </row>
    <row r="95" spans="1:11">
      <c r="A95" s="297"/>
      <c r="B95" s="32"/>
      <c r="C95" s="25"/>
      <c r="D95" s="15"/>
      <c r="E95" s="25"/>
      <c r="F95" s="25"/>
      <c r="G95" s="327"/>
      <c r="H95" s="25"/>
      <c r="I95" s="15"/>
      <c r="J95" s="25"/>
      <c r="K95" s="150"/>
    </row>
    <row r="96" spans="1:11">
      <c r="A96" s="297">
        <f>+A94+1</f>
        <v>29</v>
      </c>
      <c r="B96" s="24" t="s">
        <v>744</v>
      </c>
      <c r="C96" s="157" t="s">
        <v>562</v>
      </c>
      <c r="D96" s="1151">
        <f>+'4- Rate Base'!F23</f>
        <v>0</v>
      </c>
      <c r="E96" s="25"/>
      <c r="F96" s="25" t="s">
        <v>15</v>
      </c>
      <c r="G96" s="167">
        <f>$I$188</f>
        <v>1</v>
      </c>
      <c r="H96" s="40"/>
      <c r="I96" s="1143">
        <f>+G96*D96</f>
        <v>0</v>
      </c>
      <c r="J96" s="25"/>
      <c r="K96" s="25"/>
    </row>
    <row r="97" spans="1:11">
      <c r="A97" s="297"/>
      <c r="B97" s="27"/>
      <c r="C97" s="25"/>
      <c r="D97" s="15"/>
      <c r="E97" s="25"/>
      <c r="F97" s="25"/>
      <c r="G97" s="327"/>
      <c r="H97" s="40"/>
      <c r="I97" s="15"/>
      <c r="J97" s="25"/>
      <c r="K97" s="25"/>
    </row>
    <row r="98" spans="1:11">
      <c r="A98" s="297">
        <f>+A96+1</f>
        <v>30</v>
      </c>
      <c r="B98" s="27" t="s">
        <v>584</v>
      </c>
      <c r="C98" s="25" t="s">
        <v>583</v>
      </c>
      <c r="D98" s="15"/>
      <c r="E98" s="25"/>
      <c r="F98" s="25"/>
      <c r="G98" s="327"/>
      <c r="H98" s="40"/>
      <c r="I98" s="15"/>
      <c r="J98" s="25"/>
      <c r="K98" s="25"/>
    </row>
    <row r="99" spans="1:11">
      <c r="A99" s="297">
        <f t="shared" si="2"/>
        <v>31</v>
      </c>
      <c r="B99" s="27" t="s">
        <v>701</v>
      </c>
      <c r="C99" s="32" t="s">
        <v>620</v>
      </c>
      <c r="D99" s="158">
        <f>(D133-D130)/8</f>
        <v>53877.754523051844</v>
      </c>
      <c r="E99" s="33"/>
      <c r="F99" s="33"/>
      <c r="G99" s="327"/>
      <c r="H99" s="159"/>
      <c r="I99" s="158">
        <f>(I133-I130)/8</f>
        <v>53877.754523051844</v>
      </c>
      <c r="J99" s="111"/>
      <c r="K99" s="150"/>
    </row>
    <row r="100" spans="1:11">
      <c r="A100" s="297">
        <f t="shared" si="2"/>
        <v>32</v>
      </c>
      <c r="B100" s="27" t="s">
        <v>168</v>
      </c>
      <c r="C100" s="157" t="s">
        <v>564</v>
      </c>
      <c r="D100" s="1151">
        <f>+'4- Rate Base'!G23</f>
        <v>0</v>
      </c>
      <c r="E100" s="25"/>
      <c r="F100" s="25" t="s">
        <v>15</v>
      </c>
      <c r="G100" s="167">
        <f>$I$188</f>
        <v>1</v>
      </c>
      <c r="H100" s="40"/>
      <c r="I100" s="1143">
        <f>+G100*D100</f>
        <v>0</v>
      </c>
      <c r="J100" s="25" t="s">
        <v>2</v>
      </c>
      <c r="K100" s="150"/>
    </row>
    <row r="101" spans="1:11" ht="13.5" thickBot="1">
      <c r="A101" s="106">
        <f t="shared" si="2"/>
        <v>33</v>
      </c>
      <c r="B101" s="27" t="s">
        <v>93</v>
      </c>
      <c r="C101" s="40" t="s">
        <v>271</v>
      </c>
      <c r="D101" s="170">
        <f>+'4- Rate Base'!H23</f>
        <v>35071.603846153841</v>
      </c>
      <c r="E101" s="25"/>
      <c r="F101" s="25" t="s">
        <v>28</v>
      </c>
      <c r="G101" s="327">
        <f>+$G$68</f>
        <v>1</v>
      </c>
      <c r="H101" s="40"/>
      <c r="I101" s="148">
        <f>+G101*D101</f>
        <v>35071.603846153841</v>
      </c>
      <c r="J101" s="25"/>
      <c r="K101" s="150"/>
    </row>
    <row r="102" spans="1:11">
      <c r="A102" s="106">
        <f t="shared" si="2"/>
        <v>34</v>
      </c>
      <c r="B102" s="27" t="s">
        <v>225</v>
      </c>
      <c r="C102" s="25" t="str">
        <f>"( Sum of line "&amp;A99&amp;" - line "&amp;A101&amp;")"</f>
        <v>( Sum of line 31 - line 33)</v>
      </c>
      <c r="D102" s="15">
        <f>SUM(D99:D101)</f>
        <v>88949.358369205685</v>
      </c>
      <c r="E102" s="111"/>
      <c r="F102" s="111"/>
      <c r="G102" s="156"/>
      <c r="H102" s="160"/>
      <c r="I102" s="15">
        <f>I99+I100+I101</f>
        <v>88949.358369205685</v>
      </c>
      <c r="J102" s="566"/>
      <c r="K102" s="111"/>
    </row>
    <row r="103" spans="1:11" ht="13.5" thickBot="1">
      <c r="A103" s="106"/>
      <c r="B103" s="32"/>
      <c r="C103" s="25"/>
      <c r="D103" s="148"/>
      <c r="E103" s="25"/>
      <c r="F103" s="25"/>
      <c r="G103" s="25"/>
      <c r="H103" s="25"/>
      <c r="I103" s="148"/>
      <c r="J103" s="500"/>
      <c r="K103" s="25"/>
    </row>
    <row r="104" spans="1:11" ht="13.5" thickBot="1">
      <c r="A104" s="106">
        <f>+A102+1</f>
        <v>35</v>
      </c>
      <c r="B104" s="27" t="s">
        <v>226</v>
      </c>
      <c r="C104" s="25" t="str">
        <f>"( Sum of line "&amp;A82&amp;", "&amp;A94&amp;", "&amp;A96&amp;", "&amp;A102&amp;")"</f>
        <v>( Sum of line 17, 28, 29, 34)</v>
      </c>
      <c r="D104" s="161">
        <f>+D102+D96+D94+D82</f>
        <v>71070930.624907658</v>
      </c>
      <c r="E104" s="40"/>
      <c r="F104" s="40"/>
      <c r="G104" s="162"/>
      <c r="H104" s="40"/>
      <c r="I104" s="161">
        <f>+I102+I96+I94+I82</f>
        <v>71070930.624907658</v>
      </c>
      <c r="J104" s="500"/>
      <c r="K104" s="150"/>
    </row>
    <row r="105" spans="1:11" ht="13.5" thickTop="1">
      <c r="A105" s="106"/>
      <c r="B105" s="27"/>
      <c r="C105" s="25"/>
      <c r="D105" s="163"/>
      <c r="E105" s="40"/>
      <c r="F105" s="40"/>
      <c r="G105" s="162"/>
      <c r="H105" s="40"/>
      <c r="I105" s="163"/>
      <c r="J105" s="500"/>
      <c r="K105" s="150"/>
    </row>
    <row r="106" spans="1:11">
      <c r="A106" s="106"/>
      <c r="B106" s="27"/>
      <c r="C106" s="25"/>
      <c r="D106" s="163"/>
      <c r="E106" s="40"/>
      <c r="F106" s="40"/>
      <c r="G106" s="162"/>
      <c r="H106" s="40"/>
      <c r="I106" s="163"/>
      <c r="J106" s="25"/>
      <c r="K106" s="150"/>
    </row>
    <row r="107" spans="1:11">
      <c r="A107" s="106"/>
      <c r="B107" s="27"/>
      <c r="C107" s="25"/>
      <c r="D107" s="25"/>
      <c r="E107" s="25"/>
      <c r="F107" s="25"/>
      <c r="G107" s="25"/>
      <c r="H107" s="25"/>
      <c r="I107" s="25"/>
      <c r="J107" s="25"/>
      <c r="K107" s="164" t="s">
        <v>702</v>
      </c>
    </row>
    <row r="108" spans="1:11">
      <c r="A108" s="106"/>
      <c r="B108" s="27"/>
      <c r="C108" s="25"/>
      <c r="D108" s="25"/>
      <c r="E108" s="25"/>
      <c r="F108" s="25"/>
      <c r="G108" s="25"/>
      <c r="H108" s="25"/>
      <c r="I108" s="25"/>
      <c r="J108" s="25"/>
      <c r="K108" s="164"/>
    </row>
    <row r="109" spans="1:11">
      <c r="A109" s="106"/>
      <c r="B109" s="27" t="s">
        <v>1</v>
      </c>
      <c r="C109" s="25"/>
      <c r="D109" s="106" t="s">
        <v>808</v>
      </c>
      <c r="E109" s="25"/>
      <c r="F109" s="25"/>
      <c r="G109" s="25"/>
      <c r="H109" s="25"/>
      <c r="I109" s="104"/>
      <c r="J109" s="164">
        <f>J3</f>
        <v>0</v>
      </c>
      <c r="K109" s="870">
        <f>K3</f>
        <v>45657</v>
      </c>
    </row>
    <row r="110" spans="1:11">
      <c r="A110" s="106"/>
      <c r="B110" s="27"/>
      <c r="C110" s="25"/>
      <c r="D110" s="28" t="s">
        <v>101</v>
      </c>
      <c r="E110" s="25"/>
      <c r="F110" s="25"/>
      <c r="G110" s="25"/>
      <c r="H110" s="25"/>
      <c r="I110" s="25"/>
      <c r="J110" s="25"/>
      <c r="K110" s="25"/>
    </row>
    <row r="111" spans="1:11">
      <c r="A111" s="106"/>
      <c r="B111" s="32"/>
      <c r="C111" s="25"/>
      <c r="D111" s="28" t="str">
        <f>+D57</f>
        <v>Transource West Virginia, LLC</v>
      </c>
      <c r="E111" s="25"/>
      <c r="F111" s="25"/>
      <c r="G111" s="25"/>
      <c r="H111" s="25"/>
      <c r="I111" s="25"/>
      <c r="J111" s="25"/>
      <c r="K111" s="25"/>
    </row>
    <row r="112" spans="1:11">
      <c r="A112" s="1208"/>
      <c r="B112" s="1208"/>
      <c r="C112" s="1208"/>
      <c r="D112" s="1208"/>
      <c r="E112" s="1208"/>
      <c r="F112" s="1208"/>
      <c r="G112" s="1208"/>
      <c r="H112" s="1208"/>
      <c r="I112" s="1208"/>
      <c r="J112" s="1208"/>
      <c r="K112" s="1208"/>
    </row>
    <row r="113" spans="1:11">
      <c r="A113" s="106"/>
      <c r="B113" s="115" t="s">
        <v>3</v>
      </c>
      <c r="C113" s="115" t="s">
        <v>4</v>
      </c>
      <c r="D113" s="115" t="s">
        <v>5</v>
      </c>
      <c r="E113" s="25" t="s">
        <v>2</v>
      </c>
      <c r="F113" s="25"/>
      <c r="G113" s="114" t="s">
        <v>6</v>
      </c>
      <c r="H113" s="25"/>
      <c r="I113" s="114" t="s">
        <v>7</v>
      </c>
      <c r="J113" s="25"/>
      <c r="K113" s="25"/>
    </row>
    <row r="114" spans="1:11">
      <c r="A114" s="106" t="s">
        <v>8</v>
      </c>
      <c r="B114" s="27"/>
      <c r="C114" s="142"/>
      <c r="D114" s="25"/>
      <c r="E114" s="25"/>
      <c r="F114" s="25"/>
      <c r="G114" s="106"/>
      <c r="H114" s="25"/>
      <c r="I114" s="143" t="s">
        <v>16</v>
      </c>
      <c r="J114" s="25"/>
      <c r="K114" s="143"/>
    </row>
    <row r="115" spans="1:11" ht="13.5" thickBot="1">
      <c r="A115" s="29" t="s">
        <v>10</v>
      </c>
      <c r="B115" s="27"/>
      <c r="C115" s="144" t="s">
        <v>205</v>
      </c>
      <c r="D115" s="143" t="s">
        <v>18</v>
      </c>
      <c r="E115" s="145"/>
      <c r="F115" s="143" t="s">
        <v>19</v>
      </c>
      <c r="G115" s="32"/>
      <c r="H115" s="145"/>
      <c r="I115" s="106" t="s">
        <v>20</v>
      </c>
      <c r="J115" s="25"/>
      <c r="K115" s="143"/>
    </row>
    <row r="116" spans="1:11">
      <c r="A116" s="106"/>
      <c r="B116" s="27" t="s">
        <v>0</v>
      </c>
      <c r="C116" s="25"/>
      <c r="D116" s="25"/>
      <c r="E116" s="500"/>
      <c r="F116" s="25"/>
      <c r="G116" s="25"/>
      <c r="H116" s="25"/>
      <c r="I116" s="25"/>
      <c r="J116" s="25"/>
      <c r="K116" s="25"/>
    </row>
    <row r="117" spans="1:11">
      <c r="A117" s="106">
        <v>1</v>
      </c>
      <c r="B117" s="27" t="s">
        <v>29</v>
      </c>
      <c r="C117" s="25" t="s">
        <v>467</v>
      </c>
      <c r="D117" s="1142">
        <v>208233.64</v>
      </c>
      <c r="E117" s="500"/>
      <c r="F117" s="25" t="s">
        <v>15</v>
      </c>
      <c r="G117" s="167">
        <f>$I$188</f>
        <v>1</v>
      </c>
      <c r="H117" s="40"/>
      <c r="I117" s="1143">
        <f t="shared" ref="I117:I128" si="3">+G117*D117</f>
        <v>208233.64</v>
      </c>
      <c r="J117" s="111"/>
      <c r="K117" s="25"/>
    </row>
    <row r="118" spans="1:11">
      <c r="A118" s="125">
        <f>+A117+1</f>
        <v>2</v>
      </c>
      <c r="B118" s="165" t="s">
        <v>98</v>
      </c>
      <c r="C118" s="25" t="s">
        <v>469</v>
      </c>
      <c r="D118" s="1142">
        <v>58085.450000000004</v>
      </c>
      <c r="E118" s="155"/>
      <c r="F118" s="155" t="str">
        <f>+F117</f>
        <v>TP</v>
      </c>
      <c r="G118" s="167">
        <f>$I$188</f>
        <v>1</v>
      </c>
      <c r="H118" s="155"/>
      <c r="I118" s="1151">
        <f>+G118*D118</f>
        <v>58085.450000000004</v>
      </c>
      <c r="K118" s="25"/>
    </row>
    <row r="119" spans="1:11">
      <c r="A119" s="125">
        <f t="shared" ref="A119:A165" si="4">+A118+1</f>
        <v>3</v>
      </c>
      <c r="B119" s="36" t="s">
        <v>30</v>
      </c>
      <c r="C119" s="25" t="s">
        <v>470</v>
      </c>
      <c r="D119" s="1142">
        <v>0</v>
      </c>
      <c r="E119" s="500"/>
      <c r="F119" s="25" t="str">
        <f>+F118</f>
        <v>TP</v>
      </c>
      <c r="G119" s="167">
        <f>$I$188</f>
        <v>1</v>
      </c>
      <c r="H119" s="40"/>
      <c r="I119" s="1143">
        <f t="shared" si="3"/>
        <v>0</v>
      </c>
      <c r="J119" s="111"/>
      <c r="K119" s="25"/>
    </row>
    <row r="120" spans="1:11">
      <c r="A120" s="324">
        <f t="shared" si="4"/>
        <v>4</v>
      </c>
      <c r="B120" s="27" t="s">
        <v>31</v>
      </c>
      <c r="C120" s="25" t="s">
        <v>471</v>
      </c>
      <c r="D120" s="1142">
        <v>226553.01</v>
      </c>
      <c r="E120" s="500"/>
      <c r="F120" s="25" t="s">
        <v>23</v>
      </c>
      <c r="G120" s="167">
        <f t="shared" ref="G120:G125" si="5">$I$196</f>
        <v>1</v>
      </c>
      <c r="H120" s="40"/>
      <c r="I120" s="1143">
        <f t="shared" si="3"/>
        <v>226553.01</v>
      </c>
      <c r="J120" s="25"/>
      <c r="K120" s="25" t="s">
        <v>2</v>
      </c>
    </row>
    <row r="121" spans="1:11">
      <c r="A121" s="324">
        <f t="shared" si="4"/>
        <v>5</v>
      </c>
      <c r="B121" s="27" t="s">
        <v>111</v>
      </c>
      <c r="C121" s="25" t="s">
        <v>568</v>
      </c>
      <c r="D121" s="1142">
        <v>0</v>
      </c>
      <c r="E121" s="500"/>
      <c r="F121" s="25" t="s">
        <v>23</v>
      </c>
      <c r="G121" s="167">
        <f t="shared" si="5"/>
        <v>1</v>
      </c>
      <c r="H121" s="40"/>
      <c r="I121" s="1143">
        <f t="shared" si="3"/>
        <v>0</v>
      </c>
      <c r="J121" s="25"/>
      <c r="K121" s="25"/>
    </row>
    <row r="122" spans="1:11">
      <c r="A122" s="324">
        <f t="shared" si="4"/>
        <v>6</v>
      </c>
      <c r="B122" s="36" t="s">
        <v>614</v>
      </c>
      <c r="C122" s="25" t="s">
        <v>565</v>
      </c>
      <c r="D122" s="1142">
        <v>394</v>
      </c>
      <c r="E122" s="500"/>
      <c r="F122" s="25" t="s">
        <v>23</v>
      </c>
      <c r="G122" s="167">
        <f t="shared" si="5"/>
        <v>1</v>
      </c>
      <c r="H122" s="40"/>
      <c r="I122" s="1143">
        <f t="shared" si="3"/>
        <v>394</v>
      </c>
      <c r="J122" s="25"/>
      <c r="K122" s="25"/>
    </row>
    <row r="123" spans="1:11" s="319" customFormat="1">
      <c r="A123" s="324">
        <f t="shared" si="4"/>
        <v>7</v>
      </c>
      <c r="B123" s="36" t="s">
        <v>616</v>
      </c>
      <c r="C123" s="25" t="s">
        <v>565</v>
      </c>
      <c r="D123" s="1142">
        <v>16178.949999999999</v>
      </c>
      <c r="E123" s="500"/>
      <c r="F123" s="25" t="s">
        <v>23</v>
      </c>
      <c r="G123" s="167">
        <f t="shared" si="5"/>
        <v>1</v>
      </c>
      <c r="H123" s="40"/>
      <c r="I123" s="1143">
        <f t="shared" ref="I123:I124" si="6">+G123*D123</f>
        <v>16178.949999999999</v>
      </c>
      <c r="J123" s="25"/>
      <c r="K123" s="25"/>
    </row>
    <row r="124" spans="1:11" s="319" customFormat="1">
      <c r="A124" s="324">
        <f t="shared" si="4"/>
        <v>8</v>
      </c>
      <c r="B124" s="36" t="s">
        <v>615</v>
      </c>
      <c r="C124" s="25" t="s">
        <v>565</v>
      </c>
      <c r="D124" s="1142">
        <v>0</v>
      </c>
      <c r="E124" s="500"/>
      <c r="F124" s="25" t="s">
        <v>23</v>
      </c>
      <c r="G124" s="167">
        <f t="shared" si="5"/>
        <v>1</v>
      </c>
      <c r="H124" s="40"/>
      <c r="I124" s="1143">
        <f t="shared" si="6"/>
        <v>0</v>
      </c>
      <c r="J124" s="25"/>
      <c r="K124" s="25"/>
    </row>
    <row r="125" spans="1:11" s="12" customFormat="1">
      <c r="A125" s="324">
        <f t="shared" si="4"/>
        <v>9</v>
      </c>
      <c r="B125" s="36" t="s">
        <v>468</v>
      </c>
      <c r="C125" s="33" t="s">
        <v>573</v>
      </c>
      <c r="D125" s="1155">
        <f>+'7 - PBOP'!F18</f>
        <v>0</v>
      </c>
      <c r="E125" s="1154"/>
      <c r="F125" s="25" t="s">
        <v>23</v>
      </c>
      <c r="G125" s="167">
        <f t="shared" si="5"/>
        <v>1</v>
      </c>
      <c r="H125" s="40"/>
      <c r="I125" s="1143">
        <f>+G125*D125</f>
        <v>0</v>
      </c>
      <c r="J125" s="100"/>
      <c r="K125" s="100"/>
    </row>
    <row r="126" spans="1:11">
      <c r="A126" s="324">
        <f t="shared" si="4"/>
        <v>10</v>
      </c>
      <c r="B126" s="36" t="s">
        <v>217</v>
      </c>
      <c r="C126" s="25" t="s">
        <v>566</v>
      </c>
      <c r="D126" s="1142">
        <v>16178.57</v>
      </c>
      <c r="E126" s="500"/>
      <c r="F126" s="166" t="s">
        <v>15</v>
      </c>
      <c r="G126" s="167">
        <f>$I$188</f>
        <v>1</v>
      </c>
      <c r="H126" s="40"/>
      <c r="I126" s="1143">
        <f t="shared" si="3"/>
        <v>16178.57</v>
      </c>
      <c r="J126" s="25"/>
      <c r="K126" s="25"/>
    </row>
    <row r="127" spans="1:11" s="12" customFormat="1">
      <c r="A127" s="324">
        <f t="shared" si="4"/>
        <v>11</v>
      </c>
      <c r="B127" s="36" t="s">
        <v>213</v>
      </c>
      <c r="C127" s="33" t="s">
        <v>358</v>
      </c>
      <c r="D127" s="1155">
        <f>+'7 - PBOP'!F15</f>
        <v>-3370.2338155852676</v>
      </c>
      <c r="E127" s="1154"/>
      <c r="F127" s="25" t="s">
        <v>23</v>
      </c>
      <c r="G127" s="167">
        <f>$I$196</f>
        <v>1</v>
      </c>
      <c r="H127" s="40"/>
      <c r="I127" s="1143">
        <f>+G127*D127</f>
        <v>-3370.2338155852676</v>
      </c>
      <c r="J127" s="100"/>
      <c r="K127" s="100"/>
    </row>
    <row r="128" spans="1:11" s="504" customFormat="1">
      <c r="A128" s="505">
        <f t="shared" si="4"/>
        <v>12</v>
      </c>
      <c r="B128" s="501" t="s">
        <v>622</v>
      </c>
      <c r="C128" s="500" t="s">
        <v>635</v>
      </c>
      <c r="D128" s="1152">
        <v>0</v>
      </c>
      <c r="E128" s="500"/>
      <c r="F128" s="500" t="str">
        <f>+F130</f>
        <v>DA</v>
      </c>
      <c r="G128" s="503">
        <v>1</v>
      </c>
      <c r="H128" s="502"/>
      <c r="I128" s="1152">
        <f t="shared" si="3"/>
        <v>0</v>
      </c>
      <c r="J128" s="500"/>
      <c r="K128" s="500"/>
    </row>
    <row r="129" spans="1:11">
      <c r="A129" s="324">
        <f t="shared" si="4"/>
        <v>13</v>
      </c>
      <c r="B129" s="165" t="s">
        <v>99</v>
      </c>
      <c r="C129" s="155"/>
      <c r="D129" s="45"/>
      <c r="E129" s="155"/>
      <c r="F129" s="155"/>
      <c r="G129" s="168"/>
      <c r="H129" s="155"/>
      <c r="I129" s="1152"/>
      <c r="K129" s="25"/>
    </row>
    <row r="130" spans="1:11">
      <c r="A130" s="324">
        <f t="shared" si="4"/>
        <v>14</v>
      </c>
      <c r="B130" s="165" t="s">
        <v>575</v>
      </c>
      <c r="C130" s="155" t="s">
        <v>574</v>
      </c>
      <c r="D130" s="1142">
        <v>0</v>
      </c>
      <c r="E130" s="153"/>
      <c r="F130" s="153" t="s">
        <v>77</v>
      </c>
      <c r="G130" s="169">
        <v>1</v>
      </c>
      <c r="H130" s="153"/>
      <c r="I130" s="1152">
        <f>+G130*D130</f>
        <v>0</v>
      </c>
      <c r="K130" s="25"/>
    </row>
    <row r="131" spans="1:11">
      <c r="A131" s="324">
        <f t="shared" si="4"/>
        <v>15</v>
      </c>
      <c r="B131" s="498" t="s">
        <v>619</v>
      </c>
      <c r="C131" s="25"/>
      <c r="D131" s="323">
        <v>58085.450000000004</v>
      </c>
      <c r="E131" s="153"/>
      <c r="F131" s="153" t="s">
        <v>15</v>
      </c>
      <c r="G131" s="167">
        <f>$I$188</f>
        <v>1</v>
      </c>
      <c r="H131" s="153"/>
      <c r="I131" s="1152">
        <f>+G131*D131</f>
        <v>58085.450000000004</v>
      </c>
      <c r="K131" s="25"/>
    </row>
    <row r="132" spans="1:11" ht="13.5" thickBot="1">
      <c r="A132" s="324">
        <f t="shared" si="4"/>
        <v>16</v>
      </c>
      <c r="B132" s="165" t="s">
        <v>100</v>
      </c>
      <c r="C132" s="155" t="str">
        <f>"( Sum of line "&amp;A130&amp;" - line "&amp;A131&amp;")"" Ties to 321.97b"</f>
        <v>( Sum of line 14 - line 15)" Ties to 321.97b</v>
      </c>
      <c r="D132" s="170">
        <f>SUM(D130:D131)</f>
        <v>58085.450000000004</v>
      </c>
      <c r="E132" s="153"/>
      <c r="F132" s="153"/>
      <c r="G132" s="169"/>
      <c r="H132" s="153"/>
      <c r="I132" s="1153">
        <f>SUM(I130:I131)</f>
        <v>58085.450000000004</v>
      </c>
      <c r="K132" s="25"/>
    </row>
    <row r="133" spans="1:11">
      <c r="A133" s="324">
        <f t="shared" si="4"/>
        <v>17</v>
      </c>
      <c r="B133" s="171" t="s">
        <v>227</v>
      </c>
      <c r="C133" s="101" t="s">
        <v>618</v>
      </c>
      <c r="D133" s="15">
        <f>+D117-D118-D119+D120-D121-D122-D123-D124-D125+D126+D127+D128+D132</f>
        <v>431022.03618441476</v>
      </c>
      <c r="E133" s="158"/>
      <c r="F133" s="15"/>
      <c r="G133" s="15"/>
      <c r="H133" s="15"/>
      <c r="I133" s="403">
        <f>+I117-I118-I119+I120-I121-I122-I123-I124-I125+I126+I127+I128+I132</f>
        <v>431022.03618441476</v>
      </c>
      <c r="J133" s="25"/>
      <c r="K133" s="25"/>
    </row>
    <row r="134" spans="1:11">
      <c r="A134" s="324"/>
      <c r="B134" s="32"/>
      <c r="C134" s="25"/>
      <c r="D134" s="15"/>
      <c r="E134" s="158"/>
      <c r="F134" s="15"/>
      <c r="G134" s="15"/>
      <c r="H134" s="15"/>
      <c r="I134" s="15"/>
      <c r="J134" s="25"/>
      <c r="K134" s="25"/>
    </row>
    <row r="135" spans="1:11">
      <c r="A135" s="324">
        <f>+A133+1</f>
        <v>18</v>
      </c>
      <c r="B135" s="27" t="s">
        <v>582</v>
      </c>
      <c r="C135" s="25" t="s">
        <v>403</v>
      </c>
      <c r="D135" s="15"/>
      <c r="E135" s="158"/>
      <c r="F135" s="15"/>
      <c r="G135" s="15"/>
      <c r="H135" s="15"/>
      <c r="I135" s="15"/>
      <c r="J135" s="25"/>
      <c r="K135" s="25"/>
    </row>
    <row r="136" spans="1:11">
      <c r="A136" s="324">
        <f t="shared" si="4"/>
        <v>19</v>
      </c>
      <c r="B136" s="27" t="s">
        <v>29</v>
      </c>
      <c r="C136" s="157" t="s">
        <v>472</v>
      </c>
      <c r="D136" s="1156">
        <v>1348135.8</v>
      </c>
      <c r="E136" s="158"/>
      <c r="F136" s="15" t="s">
        <v>15</v>
      </c>
      <c r="G136" s="167">
        <f>$I$188</f>
        <v>1</v>
      </c>
      <c r="H136" s="15"/>
      <c r="I136" s="15">
        <f>+G136*D136</f>
        <v>1348135.8</v>
      </c>
      <c r="J136" s="25"/>
      <c r="K136" s="150"/>
    </row>
    <row r="137" spans="1:11">
      <c r="A137" s="324">
        <f t="shared" si="4"/>
        <v>20</v>
      </c>
      <c r="B137" s="172" t="s">
        <v>88</v>
      </c>
      <c r="C137" s="157" t="s">
        <v>473</v>
      </c>
      <c r="D137" s="1156">
        <v>148133.81</v>
      </c>
      <c r="E137" s="158"/>
      <c r="F137" s="15" t="s">
        <v>23</v>
      </c>
      <c r="G137" s="167">
        <f>$I$196</f>
        <v>1</v>
      </c>
      <c r="H137" s="15"/>
      <c r="I137" s="15">
        <f>+G137*D137</f>
        <v>148133.81</v>
      </c>
      <c r="J137" s="25"/>
      <c r="K137" s="150"/>
    </row>
    <row r="138" spans="1:11" ht="13.5" thickBot="1">
      <c r="A138" s="324">
        <f t="shared" si="4"/>
        <v>21</v>
      </c>
      <c r="B138" s="165" t="s">
        <v>94</v>
      </c>
      <c r="C138" s="33" t="s">
        <v>576</v>
      </c>
      <c r="D138" s="1157">
        <v>0</v>
      </c>
      <c r="E138" s="158"/>
      <c r="F138" s="15" t="s">
        <v>77</v>
      </c>
      <c r="G138" s="167">
        <v>1</v>
      </c>
      <c r="H138" s="15"/>
      <c r="I138" s="1149">
        <f>+G138*D138</f>
        <v>0</v>
      </c>
      <c r="J138" s="25"/>
      <c r="K138" s="150"/>
    </row>
    <row r="139" spans="1:11">
      <c r="A139" s="324">
        <f t="shared" si="4"/>
        <v>22</v>
      </c>
      <c r="B139" s="27" t="s">
        <v>218</v>
      </c>
      <c r="C139" s="25" t="str">
        <f>"( Sum of line "&amp;A136&amp;" - line "&amp;A138&amp;")"</f>
        <v>( Sum of line 19 - line 21)</v>
      </c>
      <c r="D139" s="403">
        <f>SUM(D136:D138)</f>
        <v>1496269.61</v>
      </c>
      <c r="E139" s="15"/>
      <c r="F139" s="15"/>
      <c r="G139" s="167"/>
      <c r="H139" s="15"/>
      <c r="I139" s="15">
        <f>SUM(I136:I138)</f>
        <v>1496269.61</v>
      </c>
      <c r="J139" s="25"/>
      <c r="K139" s="25"/>
    </row>
    <row r="140" spans="1:11">
      <c r="A140" s="324"/>
      <c r="B140" s="27"/>
      <c r="C140" s="25"/>
      <c r="D140" s="15"/>
      <c r="E140" s="15"/>
      <c r="F140" s="15"/>
      <c r="G140" s="167"/>
      <c r="H140" s="15"/>
      <c r="I140" s="15"/>
      <c r="J140" s="25"/>
      <c r="K140" s="25"/>
    </row>
    <row r="141" spans="1:11">
      <c r="A141" s="324">
        <f>+A139+1</f>
        <v>23</v>
      </c>
      <c r="B141" s="27" t="s">
        <v>578</v>
      </c>
      <c r="C141" s="30"/>
      <c r="D141" s="15"/>
      <c r="E141" s="15"/>
      <c r="F141" s="15"/>
      <c r="G141" s="167"/>
      <c r="H141" s="15"/>
      <c r="I141" s="15"/>
      <c r="J141" s="25"/>
      <c r="K141" s="25"/>
    </row>
    <row r="142" spans="1:11">
      <c r="A142" s="324">
        <f t="shared" si="4"/>
        <v>24</v>
      </c>
      <c r="B142" s="27" t="s">
        <v>32</v>
      </c>
      <c r="C142" s="32"/>
      <c r="D142" s="15"/>
      <c r="E142" s="15"/>
      <c r="F142" s="15"/>
      <c r="G142" s="167"/>
      <c r="H142" s="15"/>
      <c r="I142" s="15"/>
      <c r="J142" s="25"/>
      <c r="K142" s="150"/>
    </row>
    <row r="143" spans="1:11">
      <c r="A143" s="324">
        <f t="shared" si="4"/>
        <v>25</v>
      </c>
      <c r="B143" s="27" t="s">
        <v>33</v>
      </c>
      <c r="C143" s="157" t="s">
        <v>639</v>
      </c>
      <c r="D143" s="1156">
        <v>0</v>
      </c>
      <c r="E143" s="15"/>
      <c r="F143" s="15" t="s">
        <v>23</v>
      </c>
      <c r="G143" s="167">
        <f>$I$196</f>
        <v>1</v>
      </c>
      <c r="H143" s="15"/>
      <c r="I143" s="1143">
        <f>+G143*D143</f>
        <v>0</v>
      </c>
      <c r="J143" s="25"/>
      <c r="K143" s="150"/>
    </row>
    <row r="144" spans="1:11">
      <c r="A144" s="324">
        <f t="shared" si="4"/>
        <v>26</v>
      </c>
      <c r="B144" s="27" t="s">
        <v>34</v>
      </c>
      <c r="C144" s="157" t="s">
        <v>639</v>
      </c>
      <c r="D144" s="1156">
        <v>0</v>
      </c>
      <c r="E144" s="15"/>
      <c r="F144" s="15" t="s">
        <v>23</v>
      </c>
      <c r="G144" s="167">
        <f>$I$196</f>
        <v>1</v>
      </c>
      <c r="H144" s="15"/>
      <c r="I144" s="1143">
        <f>+G144*D144</f>
        <v>0</v>
      </c>
      <c r="J144" s="25"/>
      <c r="K144" s="150"/>
    </row>
    <row r="145" spans="1:11">
      <c r="A145" s="324">
        <f t="shared" si="4"/>
        <v>27</v>
      </c>
      <c r="B145" s="27" t="s">
        <v>35</v>
      </c>
      <c r="C145" s="157" t="s">
        <v>2</v>
      </c>
      <c r="D145" s="158"/>
      <c r="E145" s="15"/>
      <c r="F145" s="15"/>
      <c r="G145" s="167"/>
      <c r="H145" s="15"/>
      <c r="I145" s="1143"/>
      <c r="J145" s="25"/>
      <c r="K145" s="150"/>
    </row>
    <row r="146" spans="1:11">
      <c r="A146" s="324">
        <f t="shared" si="4"/>
        <v>28</v>
      </c>
      <c r="B146" s="27" t="s">
        <v>36</v>
      </c>
      <c r="C146" s="157" t="s">
        <v>852</v>
      </c>
      <c r="D146" s="1156">
        <v>828660.84000000008</v>
      </c>
      <c r="E146" s="158"/>
      <c r="F146" s="15" t="s">
        <v>28</v>
      </c>
      <c r="G146" s="327">
        <f>+$G$68</f>
        <v>1</v>
      </c>
      <c r="H146" s="15"/>
      <c r="I146" s="1143">
        <f>+G146*D146</f>
        <v>828660.84000000008</v>
      </c>
      <c r="J146" s="25"/>
      <c r="K146" s="150"/>
    </row>
    <row r="147" spans="1:11">
      <c r="A147" s="324">
        <f t="shared" si="4"/>
        <v>29</v>
      </c>
      <c r="B147" s="27" t="s">
        <v>37</v>
      </c>
      <c r="C147" s="157" t="s">
        <v>639</v>
      </c>
      <c r="D147" s="1156">
        <v>0</v>
      </c>
      <c r="E147" s="15"/>
      <c r="F147" s="158" t="s">
        <v>21</v>
      </c>
      <c r="G147" s="185" t="s">
        <v>110</v>
      </c>
      <c r="H147" s="15"/>
      <c r="I147" s="1142">
        <v>0</v>
      </c>
      <c r="J147" s="25"/>
      <c r="K147" s="150"/>
    </row>
    <row r="148" spans="1:11">
      <c r="A148" s="324">
        <f t="shared" si="4"/>
        <v>30</v>
      </c>
      <c r="B148" s="27" t="s">
        <v>38</v>
      </c>
      <c r="C148" s="157" t="s">
        <v>639</v>
      </c>
      <c r="D148" s="1156">
        <v>0</v>
      </c>
      <c r="E148" s="15"/>
      <c r="F148" s="15" t="s">
        <v>28</v>
      </c>
      <c r="G148" s="327">
        <f>+$G$68</f>
        <v>1</v>
      </c>
      <c r="H148" s="15"/>
      <c r="I148" s="1143">
        <f>+G148*D148</f>
        <v>0</v>
      </c>
      <c r="J148" s="25"/>
      <c r="K148" s="150"/>
    </row>
    <row r="149" spans="1:11" ht="13.5" thickBot="1">
      <c r="A149" s="324">
        <f t="shared" si="4"/>
        <v>31</v>
      </c>
      <c r="B149" s="27" t="s">
        <v>39</v>
      </c>
      <c r="C149" s="157" t="s">
        <v>639</v>
      </c>
      <c r="D149" s="1156">
        <v>0</v>
      </c>
      <c r="E149" s="15"/>
      <c r="F149" s="15" t="s">
        <v>28</v>
      </c>
      <c r="G149" s="327">
        <f>+$G$68</f>
        <v>1</v>
      </c>
      <c r="H149" s="15"/>
      <c r="I149" s="1149">
        <f>+G149*D149</f>
        <v>0</v>
      </c>
      <c r="J149" s="25"/>
      <c r="K149" s="150"/>
    </row>
    <row r="150" spans="1:11" ht="13.5" thickTop="1">
      <c r="A150" s="324">
        <f t="shared" si="4"/>
        <v>32</v>
      </c>
      <c r="B150" s="27" t="s">
        <v>219</v>
      </c>
      <c r="C150" s="25" t="str">
        <f>"( Sum of line "&amp;A143&amp;" - line "&amp;A149&amp;")"</f>
        <v>( Sum of line 25 - line 31)</v>
      </c>
      <c r="D150" s="366">
        <f>SUM(D143:D149)</f>
        <v>828660.84000000008</v>
      </c>
      <c r="E150" s="15"/>
      <c r="F150" s="15"/>
      <c r="G150" s="15"/>
      <c r="H150" s="15"/>
      <c r="I150" s="15">
        <f>SUM(I143:I149)</f>
        <v>828660.84000000008</v>
      </c>
      <c r="J150" s="25"/>
      <c r="K150" s="25"/>
    </row>
    <row r="151" spans="1:11">
      <c r="A151" s="324"/>
      <c r="B151" s="27"/>
      <c r="C151" s="25"/>
      <c r="D151" s="25"/>
      <c r="E151" s="25"/>
      <c r="F151" s="25"/>
      <c r="G151" s="123"/>
      <c r="H151" s="25"/>
      <c r="I151" s="25"/>
      <c r="J151" s="25"/>
      <c r="K151" s="25"/>
    </row>
    <row r="152" spans="1:11">
      <c r="A152" s="324">
        <f>+A150+1</f>
        <v>33</v>
      </c>
      <c r="B152" s="27" t="s">
        <v>580</v>
      </c>
      <c r="C152" s="33" t="s">
        <v>581</v>
      </c>
      <c r="D152" s="25"/>
      <c r="E152" s="25"/>
      <c r="F152" s="32"/>
      <c r="G152" s="34"/>
      <c r="H152" s="25"/>
      <c r="I152" s="32"/>
      <c r="J152" s="25"/>
      <c r="K152" s="32"/>
    </row>
    <row r="153" spans="1:11">
      <c r="A153" s="324">
        <f t="shared" si="4"/>
        <v>34</v>
      </c>
      <c r="B153" s="35" t="s">
        <v>243</v>
      </c>
      <c r="C153" s="25"/>
      <c r="D153" s="386">
        <f>IF(D236&gt;0,1-(((1-D237)*(1-D236))/(1-D237*D236*D238)),0)</f>
        <v>0.26134999999999997</v>
      </c>
      <c r="E153" s="25"/>
      <c r="F153" s="32"/>
      <c r="G153" s="34"/>
      <c r="H153" s="25"/>
      <c r="I153" s="32"/>
      <c r="J153" s="25"/>
      <c r="K153" s="32"/>
    </row>
    <row r="154" spans="1:11">
      <c r="A154" s="324">
        <f t="shared" si="4"/>
        <v>35</v>
      </c>
      <c r="B154" s="32" t="s">
        <v>41</v>
      </c>
      <c r="C154" s="25" t="s">
        <v>553</v>
      </c>
      <c r="D154" s="386">
        <f>IF(I202&gt;0,(D153/(1-D153))*(1-I202/I205),0)</f>
        <v>0.30227839040306637</v>
      </c>
      <c r="E154" s="25"/>
      <c r="F154" s="32"/>
      <c r="G154" s="34"/>
      <c r="H154" s="25"/>
      <c r="I154" s="32"/>
      <c r="J154" s="25"/>
      <c r="K154" s="32"/>
    </row>
    <row r="155" spans="1:11">
      <c r="A155" s="324">
        <f t="shared" si="4"/>
        <v>36</v>
      </c>
      <c r="B155" s="36" t="s">
        <v>241</v>
      </c>
      <c r="C155" s="33"/>
      <c r="D155" s="25"/>
      <c r="E155" s="25"/>
      <c r="F155" s="32"/>
      <c r="G155" s="34"/>
      <c r="H155" s="25"/>
      <c r="I155" s="32"/>
      <c r="J155" s="25"/>
      <c r="K155" s="32"/>
    </row>
    <row r="156" spans="1:11">
      <c r="A156" s="324">
        <f t="shared" si="4"/>
        <v>37</v>
      </c>
      <c r="B156" s="36"/>
      <c r="D156" s="25"/>
      <c r="E156" s="25"/>
      <c r="F156" s="32"/>
      <c r="G156" s="34"/>
      <c r="H156" s="25"/>
      <c r="I156" s="32"/>
      <c r="J156" s="25"/>
      <c r="K156" s="32"/>
    </row>
    <row r="157" spans="1:11">
      <c r="A157" s="324">
        <f>+A156+1</f>
        <v>38</v>
      </c>
      <c r="B157" s="37" t="str">
        <f>"      1 / (1 - T)  =  (from line "&amp;A153&amp;")"</f>
        <v xml:space="preserve">      1 / (1 - T)  =  (from line 34)</v>
      </c>
      <c r="C157" s="33" t="s">
        <v>623</v>
      </c>
      <c r="D157" s="386">
        <f>IF(D153=0,0,1/(1-D153))</f>
        <v>1.3538211602247343</v>
      </c>
      <c r="E157" s="25"/>
      <c r="F157" s="32"/>
      <c r="G157" s="34"/>
      <c r="H157" s="25"/>
      <c r="I157" s="15"/>
      <c r="J157" s="25"/>
      <c r="K157" s="32"/>
    </row>
    <row r="158" spans="1:11">
      <c r="A158" s="324">
        <f t="shared" si="4"/>
        <v>39</v>
      </c>
      <c r="B158" s="36" t="s">
        <v>237</v>
      </c>
      <c r="C158" s="33" t="s">
        <v>474</v>
      </c>
      <c r="D158" s="1156">
        <v>0</v>
      </c>
      <c r="E158" s="25"/>
      <c r="F158" s="32"/>
      <c r="G158" s="34"/>
      <c r="H158" s="25"/>
      <c r="I158" s="15"/>
      <c r="J158" s="25"/>
      <c r="K158" s="32"/>
    </row>
    <row r="159" spans="1:11">
      <c r="A159" s="324">
        <f t="shared" si="4"/>
        <v>40</v>
      </c>
      <c r="B159" s="1193" t="s">
        <v>1002</v>
      </c>
      <c r="C159" s="1188" t="str">
        <f>"Attachment 4d, Line "&amp;'4d - ADIT Amortization'!A26&amp;" &amp; line "&amp;'4d - ADIT Amortization'!A68&amp;", Col (h)"</f>
        <v>Attachment 4d, Line 14 &amp; line 46, Col (h)</v>
      </c>
      <c r="D159" s="1156">
        <f>'4d - ADIT Amortization'!I26+'4d - ADIT Amortization'!I68</f>
        <v>0</v>
      </c>
      <c r="E159" s="500"/>
      <c r="F159" s="32"/>
      <c r="G159" s="38"/>
      <c r="H159" s="25"/>
      <c r="I159" s="15"/>
      <c r="J159" s="25"/>
      <c r="K159" s="32"/>
    </row>
    <row r="160" spans="1:11">
      <c r="A160" s="324">
        <f t="shared" si="4"/>
        <v>41</v>
      </c>
      <c r="B160" s="36" t="s">
        <v>278</v>
      </c>
      <c r="C160" s="33" t="s">
        <v>587</v>
      </c>
      <c r="D160" s="1158">
        <v>0</v>
      </c>
      <c r="E160" s="25"/>
      <c r="F160" s="32"/>
      <c r="G160" s="34"/>
      <c r="H160" s="25"/>
      <c r="I160" s="15"/>
      <c r="J160" s="25"/>
      <c r="K160" s="32"/>
    </row>
    <row r="161" spans="1:11">
      <c r="A161" s="324">
        <f t="shared" si="4"/>
        <v>42</v>
      </c>
      <c r="B161" s="37" t="s">
        <v>238</v>
      </c>
      <c r="C161" s="39" t="str">
        <f>"(Line "&amp;A154&amp;" times Line "&amp;A168&amp;")"</f>
        <v>(Line 35 times Line 48)</v>
      </c>
      <c r="D161" s="263">
        <f>+D154*D168</f>
        <v>1608047.1121855993</v>
      </c>
      <c r="E161" s="40"/>
      <c r="F161" s="40" t="s">
        <v>21</v>
      </c>
      <c r="G161" s="41"/>
      <c r="H161" s="40"/>
      <c r="I161" s="263">
        <f>+D154*I168</f>
        <v>1608047.1121855993</v>
      </c>
      <c r="J161" s="25"/>
      <c r="K161" s="122" t="s">
        <v>2</v>
      </c>
    </row>
    <row r="162" spans="1:11">
      <c r="A162" s="125">
        <f t="shared" si="4"/>
        <v>43</v>
      </c>
      <c r="B162" s="30" t="s">
        <v>239</v>
      </c>
      <c r="C162" s="39" t="str">
        <f>"(Line "&amp;A157&amp;" times Line "&amp;A158&amp;")"</f>
        <v>(Line 38 times Line 39)</v>
      </c>
      <c r="D162" s="1159">
        <f>+D$157*D158</f>
        <v>0</v>
      </c>
      <c r="E162" s="40"/>
      <c r="F162" s="42" t="s">
        <v>27</v>
      </c>
      <c r="G162" s="151">
        <f>+$G$82</f>
        <v>1</v>
      </c>
      <c r="H162" s="40"/>
      <c r="I162" s="1159">
        <f>+G162*D162</f>
        <v>0</v>
      </c>
      <c r="J162" s="25"/>
      <c r="K162" s="122"/>
    </row>
    <row r="163" spans="1:11">
      <c r="A163" s="125">
        <f t="shared" si="4"/>
        <v>44</v>
      </c>
      <c r="B163" s="1194" t="s">
        <v>1002</v>
      </c>
      <c r="C163" s="39" t="str">
        <f>"(Line "&amp;A157&amp;" times Line "&amp;A159&amp;")"</f>
        <v>(Line 38 times Line 40)</v>
      </c>
      <c r="D163" s="1159">
        <f>+D$157*D159</f>
        <v>0</v>
      </c>
      <c r="E163" s="40"/>
      <c r="F163" s="42" t="s">
        <v>27</v>
      </c>
      <c r="G163" s="151">
        <f>+$G$82</f>
        <v>1</v>
      </c>
      <c r="H163" s="40"/>
      <c r="I163" s="1159">
        <f>+G163*D163</f>
        <v>0</v>
      </c>
      <c r="J163" s="25"/>
      <c r="K163" s="122"/>
    </row>
    <row r="164" spans="1:11" ht="13.5" thickBot="1">
      <c r="A164" s="125">
        <f t="shared" si="4"/>
        <v>45</v>
      </c>
      <c r="B164" s="30" t="s">
        <v>112</v>
      </c>
      <c r="C164" s="39" t="str">
        <f>"(Line "&amp;A157&amp;" times Line "&amp;A160&amp;")"</f>
        <v>(Line 38 times Line 41)</v>
      </c>
      <c r="D164" s="1160">
        <f>+D$157*D160</f>
        <v>0</v>
      </c>
      <c r="E164" s="40"/>
      <c r="F164" s="42" t="s">
        <v>27</v>
      </c>
      <c r="G164" s="151">
        <f>+$G$82</f>
        <v>1</v>
      </c>
      <c r="H164" s="40"/>
      <c r="I164" s="1160">
        <f>+G164*D164</f>
        <v>0</v>
      </c>
      <c r="J164" s="25"/>
      <c r="K164" s="122"/>
    </row>
    <row r="165" spans="1:11">
      <c r="A165" s="125">
        <f t="shared" si="4"/>
        <v>46</v>
      </c>
      <c r="B165" s="43" t="s">
        <v>240</v>
      </c>
      <c r="C165" s="25" t="str">
        <f>"( Sum of line "&amp;A161&amp;" - line "&amp;A164&amp;")"</f>
        <v>( Sum of line 42 - line 45)</v>
      </c>
      <c r="D165" s="173">
        <f>SUM(D161:D164)</f>
        <v>1608047.1121855993</v>
      </c>
      <c r="E165" s="40"/>
      <c r="F165" s="40" t="s">
        <v>2</v>
      </c>
      <c r="G165" s="41" t="s">
        <v>2</v>
      </c>
      <c r="H165" s="40"/>
      <c r="I165" s="173">
        <f>SUM(I161:I164)</f>
        <v>1608047.1121855993</v>
      </c>
      <c r="J165" s="25"/>
      <c r="K165" s="25"/>
    </row>
    <row r="166" spans="1:11">
      <c r="A166" s="125"/>
      <c r="B166" s="32"/>
      <c r="C166" s="174"/>
      <c r="D166" s="15"/>
      <c r="E166" s="25"/>
      <c r="F166" s="25"/>
      <c r="G166" s="123"/>
      <c r="H166" s="25"/>
      <c r="I166" s="15"/>
      <c r="J166" s="25"/>
      <c r="K166" s="25"/>
    </row>
    <row r="167" spans="1:11">
      <c r="A167" s="125">
        <f>+A165+1</f>
        <v>47</v>
      </c>
      <c r="B167" s="27" t="s">
        <v>43</v>
      </c>
      <c r="J167" s="25"/>
      <c r="K167" s="32"/>
    </row>
    <row r="168" spans="1:11">
      <c r="A168" s="125">
        <f>A167+1</f>
        <v>48</v>
      </c>
      <c r="B168" s="176" t="s">
        <v>284</v>
      </c>
      <c r="C168" s="35" t="str">
        <f>"(Page 2, line " &amp;A104&amp;" times Page 4, Line 18)"</f>
        <v>(Page 2, line 35 times Page 4, Line 18)</v>
      </c>
      <c r="D168" s="403">
        <f>+$I205*D104</f>
        <v>5319755.441470311</v>
      </c>
      <c r="E168" s="40"/>
      <c r="F168" s="40" t="s">
        <v>21</v>
      </c>
      <c r="G168" s="175"/>
      <c r="H168" s="40"/>
      <c r="I168" s="403">
        <f>+$I205*I104</f>
        <v>5319755.441470311</v>
      </c>
      <c r="K168" s="150"/>
    </row>
    <row r="169" spans="1:11">
      <c r="A169" s="125"/>
      <c r="B169" s="27"/>
      <c r="C169" s="32"/>
      <c r="D169" s="38"/>
      <c r="E169" s="40"/>
      <c r="F169" s="40"/>
      <c r="G169" s="175"/>
      <c r="H169" s="40"/>
      <c r="I169" s="38"/>
      <c r="J169" s="25"/>
      <c r="K169" s="150"/>
    </row>
    <row r="170" spans="1:11" ht="13.5" thickBot="1">
      <c r="A170" s="125">
        <f>A168+1</f>
        <v>49</v>
      </c>
      <c r="B170" s="27" t="s">
        <v>216</v>
      </c>
      <c r="C170" s="25" t="str">
        <f>"( Sum of line  "&amp;A133&amp;","&amp;A139&amp;", "&amp;A150&amp;", "&amp;A165&amp;", "&amp;A168&amp;")"</f>
        <v>( Sum of line  17,22, 32, 46, 48)</v>
      </c>
      <c r="D170" s="177">
        <f>+D168+D165+D150+D139+D133</f>
        <v>9683755.0398403257</v>
      </c>
      <c r="E170" s="40"/>
      <c r="F170" s="40"/>
      <c r="G170" s="163"/>
      <c r="H170" s="40"/>
      <c r="I170" s="177">
        <f>+I168+I165+I150+I139+I133</f>
        <v>9683755.0398403257</v>
      </c>
      <c r="J170" s="111"/>
      <c r="K170" s="111"/>
    </row>
    <row r="171" spans="1:11" ht="13.5" thickTop="1">
      <c r="A171" s="125"/>
      <c r="B171" s="27"/>
      <c r="C171" s="25"/>
      <c r="D171" s="163"/>
      <c r="E171" s="40"/>
      <c r="F171" s="40"/>
      <c r="G171" s="163"/>
      <c r="H171" s="40"/>
      <c r="I171" s="38"/>
      <c r="J171" s="111"/>
      <c r="K171" s="111"/>
    </row>
    <row r="172" spans="1:11">
      <c r="A172" s="106"/>
      <c r="B172" s="32"/>
      <c r="C172" s="32"/>
      <c r="D172" s="32"/>
      <c r="E172" s="32"/>
      <c r="F172" s="32"/>
      <c r="G172" s="32"/>
      <c r="H172" s="32"/>
      <c r="I172" s="32"/>
      <c r="J172" s="25"/>
      <c r="K172" s="164" t="s">
        <v>705</v>
      </c>
    </row>
    <row r="173" spans="1:11">
      <c r="A173" s="106"/>
      <c r="B173" s="32"/>
      <c r="C173" s="32"/>
      <c r="D173" s="32"/>
      <c r="E173" s="32"/>
      <c r="F173" s="32"/>
      <c r="G173" s="32"/>
      <c r="H173" s="32"/>
      <c r="I173" s="32"/>
      <c r="J173" s="25"/>
      <c r="K173" s="25"/>
    </row>
    <row r="174" spans="1:11">
      <c r="A174" s="106"/>
      <c r="B174" s="27" t="s">
        <v>1</v>
      </c>
      <c r="C174" s="32"/>
      <c r="D174" s="106" t="s">
        <v>808</v>
      </c>
      <c r="E174" s="32"/>
      <c r="F174" s="32"/>
      <c r="G174" s="32"/>
      <c r="H174" s="32"/>
      <c r="I174" s="104"/>
      <c r="J174" s="164">
        <f>J3</f>
        <v>0</v>
      </c>
      <c r="K174" s="870">
        <f>K3</f>
        <v>45657</v>
      </c>
    </row>
    <row r="175" spans="1:11">
      <c r="A175" s="106"/>
      <c r="B175" s="27"/>
      <c r="C175" s="32"/>
      <c r="D175" s="211" t="s">
        <v>101</v>
      </c>
      <c r="E175" s="32"/>
      <c r="F175" s="32"/>
      <c r="G175" s="32"/>
      <c r="H175" s="32"/>
      <c r="I175" s="32"/>
      <c r="J175" s="25"/>
      <c r="K175" s="25"/>
    </row>
    <row r="176" spans="1:11">
      <c r="A176" s="106"/>
      <c r="B176" s="32"/>
      <c r="C176" s="32"/>
      <c r="D176" s="211" t="str">
        <f>+D111</f>
        <v>Transource West Virginia, LLC</v>
      </c>
      <c r="E176" s="32"/>
      <c r="F176" s="32"/>
      <c r="G176" s="32"/>
      <c r="H176" s="32"/>
      <c r="I176" s="32"/>
      <c r="J176" s="25"/>
      <c r="K176" s="25"/>
    </row>
    <row r="177" spans="1:11">
      <c r="A177" s="1208"/>
      <c r="B177" s="1208"/>
      <c r="C177" s="1208"/>
      <c r="D177" s="1208"/>
      <c r="E177" s="1208"/>
      <c r="F177" s="1208"/>
      <c r="G177" s="1208"/>
      <c r="H177" s="1208"/>
      <c r="I177" s="1208"/>
      <c r="J177" s="1208"/>
      <c r="K177" s="1208"/>
    </row>
    <row r="178" spans="1:11" s="12" customFormat="1">
      <c r="A178" s="178"/>
      <c r="B178" s="115" t="s">
        <v>3</v>
      </c>
      <c r="C178" s="115" t="s">
        <v>4</v>
      </c>
      <c r="D178" s="115" t="s">
        <v>5</v>
      </c>
      <c r="E178" s="25" t="s">
        <v>2</v>
      </c>
      <c r="F178" s="25"/>
      <c r="G178" s="114" t="s">
        <v>6</v>
      </c>
      <c r="H178" s="25"/>
      <c r="I178" s="114" t="s">
        <v>7</v>
      </c>
      <c r="J178" s="100"/>
      <c r="K178" s="100"/>
    </row>
    <row r="179" spans="1:11">
      <c r="A179" s="106"/>
      <c r="B179" s="32"/>
      <c r="C179" s="27"/>
      <c r="D179" s="27"/>
      <c r="E179" s="27"/>
      <c r="F179" s="27"/>
      <c r="G179" s="27"/>
      <c r="H179" s="27"/>
      <c r="I179" s="27"/>
      <c r="J179" s="27"/>
      <c r="K179" s="27"/>
    </row>
    <row r="180" spans="1:11">
      <c r="A180" s="106"/>
      <c r="B180" s="32"/>
      <c r="C180" s="146" t="s">
        <v>44</v>
      </c>
      <c r="D180" s="32"/>
      <c r="E180" s="111"/>
      <c r="F180" s="111"/>
      <c r="G180" s="111"/>
      <c r="H180" s="111"/>
      <c r="I180" s="111"/>
      <c r="J180" s="25"/>
      <c r="K180" s="25"/>
    </row>
    <row r="181" spans="1:11">
      <c r="A181" s="106" t="s">
        <v>8</v>
      </c>
      <c r="B181" s="146"/>
      <c r="C181" s="111"/>
      <c r="D181" s="111"/>
      <c r="E181" s="111"/>
      <c r="F181" s="111"/>
      <c r="G181" s="111"/>
      <c r="H181" s="111"/>
      <c r="I181" s="111"/>
      <c r="J181" s="25"/>
      <c r="K181" s="25"/>
    </row>
    <row r="182" spans="1:11" ht="13.5" thickBot="1">
      <c r="A182" s="29" t="s">
        <v>10</v>
      </c>
      <c r="B182" s="107" t="s">
        <v>45</v>
      </c>
      <c r="C182" s="119"/>
      <c r="D182" s="119"/>
      <c r="E182" s="119"/>
      <c r="F182" s="119"/>
      <c r="G182" s="119"/>
      <c r="H182" s="30"/>
      <c r="I182" s="30"/>
      <c r="J182" s="33"/>
      <c r="K182" s="25"/>
    </row>
    <row r="183" spans="1:11">
      <c r="A183" s="106">
        <v>1</v>
      </c>
      <c r="B183" s="108" t="s">
        <v>230</v>
      </c>
      <c r="C183" s="119" t="s">
        <v>289</v>
      </c>
      <c r="D183" s="33"/>
      <c r="E183" s="33"/>
      <c r="F183" s="33"/>
      <c r="G183" s="33"/>
      <c r="H183" s="33"/>
      <c r="I183" s="158">
        <f>D65</f>
        <v>84401725.483076915</v>
      </c>
      <c r="J183" s="33"/>
      <c r="K183" s="25"/>
    </row>
    <row r="184" spans="1:11">
      <c r="A184" s="297">
        <f>+A183+1</f>
        <v>2</v>
      </c>
      <c r="B184" s="108" t="s">
        <v>231</v>
      </c>
      <c r="C184" s="30" t="s">
        <v>589</v>
      </c>
      <c r="D184" s="30"/>
      <c r="E184" s="30"/>
      <c r="F184" s="30"/>
      <c r="G184" s="30"/>
      <c r="H184" s="30"/>
      <c r="I184" s="1150">
        <v>0</v>
      </c>
      <c r="J184" s="33"/>
      <c r="K184" s="25"/>
    </row>
    <row r="185" spans="1:11" ht="13.5" thickBot="1">
      <c r="A185" s="297">
        <f>+A184+1</f>
        <v>3</v>
      </c>
      <c r="B185" s="179" t="s">
        <v>590</v>
      </c>
      <c r="C185" s="180" t="s">
        <v>592</v>
      </c>
      <c r="D185" s="104"/>
      <c r="E185" s="33"/>
      <c r="F185" s="33"/>
      <c r="G185" s="181"/>
      <c r="H185" s="33"/>
      <c r="I185" s="1161">
        <v>0</v>
      </c>
      <c r="J185" s="33"/>
      <c r="K185" s="25"/>
    </row>
    <row r="186" spans="1:11">
      <c r="A186" s="297">
        <f t="shared" ref="A186:A205" si="7">+A185+1</f>
        <v>4</v>
      </c>
      <c r="B186" s="108" t="s">
        <v>233</v>
      </c>
      <c r="C186" s="119" t="s">
        <v>232</v>
      </c>
      <c r="D186" s="33"/>
      <c r="E186" s="33"/>
      <c r="F186" s="33"/>
      <c r="G186" s="181"/>
      <c r="H186" s="33"/>
      <c r="I186" s="158">
        <f>I183-I184-I185</f>
        <v>84401725.483076915</v>
      </c>
      <c r="J186" s="33"/>
      <c r="K186" s="25"/>
    </row>
    <row r="187" spans="1:11">
      <c r="A187" s="297"/>
      <c r="B187" s="30"/>
      <c r="C187" s="119"/>
      <c r="D187" s="33"/>
      <c r="E187" s="33"/>
      <c r="F187" s="33"/>
      <c r="G187" s="181"/>
      <c r="H187" s="33"/>
      <c r="I187" s="158"/>
      <c r="J187" s="33"/>
      <c r="K187" s="25"/>
    </row>
    <row r="188" spans="1:11">
      <c r="A188" s="297">
        <f>+A186+1</f>
        <v>5</v>
      </c>
      <c r="B188" s="108" t="s">
        <v>234</v>
      </c>
      <c r="C188" s="182" t="s">
        <v>415</v>
      </c>
      <c r="D188" s="183"/>
      <c r="E188" s="183"/>
      <c r="F188" s="183"/>
      <c r="G188" s="184"/>
      <c r="H188" s="33" t="s">
        <v>46</v>
      </c>
      <c r="I188" s="185">
        <f>IF(I183&gt;0,I186/I183,1)</f>
        <v>1</v>
      </c>
      <c r="J188" s="33"/>
      <c r="K188" s="25"/>
    </row>
    <row r="189" spans="1:11">
      <c r="A189" s="297"/>
      <c r="B189" s="32"/>
      <c r="C189" s="32"/>
      <c r="D189" s="32"/>
      <c r="E189" s="32"/>
      <c r="F189" s="32"/>
      <c r="G189" s="32"/>
      <c r="H189" s="32"/>
      <c r="I189" s="32"/>
      <c r="J189" s="32"/>
      <c r="K189" s="32"/>
    </row>
    <row r="190" spans="1:11">
      <c r="A190" s="297">
        <f>+A188+1</f>
        <v>6</v>
      </c>
      <c r="B190" s="27" t="s">
        <v>113</v>
      </c>
      <c r="C190" s="25"/>
      <c r="D190" s="25"/>
      <c r="E190" s="25"/>
      <c r="F190" s="25"/>
      <c r="G190" s="25"/>
      <c r="H190" s="25"/>
      <c r="I190" s="25"/>
      <c r="J190" s="25"/>
      <c r="K190" s="25"/>
    </row>
    <row r="191" spans="1:11" ht="13.5" thickBot="1">
      <c r="A191" s="297"/>
      <c r="B191" s="27"/>
      <c r="C191" s="186" t="s">
        <v>47</v>
      </c>
      <c r="D191" s="26" t="s">
        <v>48</v>
      </c>
      <c r="E191" s="26" t="s">
        <v>15</v>
      </c>
      <c r="F191" s="25"/>
      <c r="G191" s="26" t="s">
        <v>49</v>
      </c>
      <c r="H191" s="25"/>
      <c r="I191" s="25"/>
      <c r="J191" s="25"/>
      <c r="K191" s="25"/>
    </row>
    <row r="192" spans="1:11">
      <c r="A192" s="297">
        <f>+A190+1</f>
        <v>7</v>
      </c>
      <c r="B192" s="27" t="s">
        <v>260</v>
      </c>
      <c r="C192" s="25" t="s">
        <v>50</v>
      </c>
      <c r="D192" s="1150">
        <v>0</v>
      </c>
      <c r="E192" s="187">
        <v>0</v>
      </c>
      <c r="F192" s="188"/>
      <c r="G192" s="15">
        <f>D192*E192</f>
        <v>0</v>
      </c>
      <c r="H192" s="40"/>
      <c r="I192" s="40"/>
      <c r="J192" s="25"/>
      <c r="K192" s="25"/>
    </row>
    <row r="193" spans="1:11">
      <c r="A193" s="297">
        <f t="shared" si="7"/>
        <v>8</v>
      </c>
      <c r="B193" s="27" t="s">
        <v>22</v>
      </c>
      <c r="C193" s="25" t="s">
        <v>272</v>
      </c>
      <c r="D193" s="1150">
        <v>0</v>
      </c>
      <c r="E193" s="167">
        <f>+I188</f>
        <v>1</v>
      </c>
      <c r="F193" s="188"/>
      <c r="G193" s="15">
        <f>D193*E193</f>
        <v>0</v>
      </c>
      <c r="H193" s="40"/>
      <c r="I193" s="40"/>
      <c r="J193" s="25"/>
      <c r="K193" s="25"/>
    </row>
    <row r="194" spans="1:11">
      <c r="A194" s="297">
        <f t="shared" si="7"/>
        <v>9</v>
      </c>
      <c r="B194" s="27" t="s">
        <v>261</v>
      </c>
      <c r="C194" s="25" t="s">
        <v>97</v>
      </c>
      <c r="D194" s="1150">
        <v>0</v>
      </c>
      <c r="E194" s="187">
        <v>0</v>
      </c>
      <c r="F194" s="188"/>
      <c r="G194" s="15">
        <f>D194*E194</f>
        <v>0</v>
      </c>
      <c r="H194" s="40"/>
      <c r="I194" s="189" t="s">
        <v>51</v>
      </c>
      <c r="J194" s="25"/>
      <c r="K194" s="25"/>
    </row>
    <row r="195" spans="1:11" ht="13.5" thickBot="1">
      <c r="A195" s="297">
        <f t="shared" si="7"/>
        <v>10</v>
      </c>
      <c r="B195" s="27" t="s">
        <v>52</v>
      </c>
      <c r="C195" s="25" t="s">
        <v>273</v>
      </c>
      <c r="D195" s="1161">
        <v>0</v>
      </c>
      <c r="E195" s="187">
        <v>0</v>
      </c>
      <c r="F195" s="188"/>
      <c r="G195" s="148">
        <f>D195*E195</f>
        <v>0</v>
      </c>
      <c r="H195" s="40"/>
      <c r="I195" s="190" t="s">
        <v>53</v>
      </c>
      <c r="J195" s="25"/>
      <c r="K195" s="25"/>
    </row>
    <row r="196" spans="1:11">
      <c r="A196" s="297">
        <f t="shared" si="7"/>
        <v>11</v>
      </c>
      <c r="B196" s="36" t="s">
        <v>351</v>
      </c>
      <c r="C196" s="25" t="str">
        <f>"( Sum of line "&amp;A192&amp;" - line "&amp;A195&amp;")"</f>
        <v>( Sum of line 7 - line 10)</v>
      </c>
      <c r="D196" s="1143">
        <f>SUM(D192:D195)</f>
        <v>0</v>
      </c>
      <c r="E196" s="25"/>
      <c r="F196" s="25"/>
      <c r="G196" s="15">
        <f>SUM(G192:G195)</f>
        <v>0</v>
      </c>
      <c r="H196" s="191" t="s">
        <v>54</v>
      </c>
      <c r="I196" s="151">
        <f>IF(D196=0,1,G196/D196)</f>
        <v>1</v>
      </c>
      <c r="J196" s="28" t="s">
        <v>54</v>
      </c>
      <c r="K196" s="25" t="s">
        <v>55</v>
      </c>
    </row>
    <row r="197" spans="1:11">
      <c r="A197" s="297"/>
      <c r="B197" s="27" t="s">
        <v>2</v>
      </c>
      <c r="C197" s="25" t="s">
        <v>2</v>
      </c>
      <c r="D197" s="32"/>
      <c r="E197" s="25"/>
      <c r="F197" s="25"/>
      <c r="G197" s="32"/>
      <c r="H197" s="32"/>
      <c r="I197" s="32"/>
      <c r="J197" s="32"/>
      <c r="K197" s="25"/>
    </row>
    <row r="198" spans="1:11">
      <c r="A198" s="297"/>
      <c r="B198" s="27"/>
      <c r="C198" s="25"/>
      <c r="D198" s="32"/>
      <c r="E198" s="25"/>
      <c r="F198" s="25"/>
      <c r="G198" s="25"/>
      <c r="H198" s="25"/>
      <c r="I198" s="25"/>
      <c r="J198" s="25"/>
      <c r="K198" s="25"/>
    </row>
    <row r="199" spans="1:11" ht="13.5" thickBot="1">
      <c r="A199" s="297">
        <f>+A196+1</f>
        <v>12</v>
      </c>
      <c r="B199" s="24" t="s">
        <v>56</v>
      </c>
      <c r="C199" s="25"/>
      <c r="D199" s="25"/>
      <c r="E199" s="25"/>
      <c r="F199" s="25"/>
      <c r="G199" s="25"/>
      <c r="H199" s="25"/>
      <c r="I199" s="26" t="s">
        <v>48</v>
      </c>
      <c r="J199" s="25"/>
      <c r="K199" s="25"/>
    </row>
    <row r="200" spans="1:11">
      <c r="A200" s="297">
        <f>+A199+1</f>
        <v>13</v>
      </c>
      <c r="B200" s="27"/>
      <c r="C200" s="25"/>
      <c r="D200" s="25"/>
      <c r="E200" s="25"/>
      <c r="F200" s="25"/>
      <c r="H200" s="25"/>
      <c r="I200" s="25"/>
      <c r="J200" s="25"/>
      <c r="K200" s="25"/>
    </row>
    <row r="201" spans="1:11" ht="13.5" thickBot="1">
      <c r="A201" s="297">
        <f t="shared" si="7"/>
        <v>14</v>
      </c>
      <c r="B201" s="27"/>
      <c r="C201" s="25"/>
      <c r="D201" s="29" t="s">
        <v>48</v>
      </c>
      <c r="E201" s="29" t="s">
        <v>58</v>
      </c>
      <c r="F201" s="25"/>
      <c r="G201" s="28" t="s">
        <v>57</v>
      </c>
      <c r="H201" s="25"/>
      <c r="I201" s="29" t="s">
        <v>59</v>
      </c>
      <c r="J201" s="25"/>
      <c r="K201" s="25"/>
    </row>
    <row r="202" spans="1:11">
      <c r="A202" s="297">
        <f t="shared" si="7"/>
        <v>15</v>
      </c>
      <c r="B202" s="24" t="s">
        <v>236</v>
      </c>
      <c r="C202" s="30" t="s">
        <v>482</v>
      </c>
      <c r="D202" s="193">
        <f>+'5-Return'!F19</f>
        <v>28454343.053076919</v>
      </c>
      <c r="E202" s="817">
        <f>+'5-Return'!G19</f>
        <v>0.39097704122951693</v>
      </c>
      <c r="F202" s="23"/>
      <c r="G202" s="367">
        <f>+'5-Return'!H19</f>
        <v>2.7888962627593959E-2</v>
      </c>
      <c r="H202" s="23"/>
      <c r="I202" s="214">
        <f>E202*G202</f>
        <v>1.090394409109726E-2</v>
      </c>
      <c r="J202" s="192" t="s">
        <v>60</v>
      </c>
      <c r="K202" s="32"/>
    </row>
    <row r="203" spans="1:11">
      <c r="A203" s="297">
        <f t="shared" si="7"/>
        <v>16</v>
      </c>
      <c r="B203" s="24" t="s">
        <v>114</v>
      </c>
      <c r="C203" s="30" t="s">
        <v>482</v>
      </c>
      <c r="D203" s="1151">
        <f>+'5-Return'!F20</f>
        <v>0</v>
      </c>
      <c r="E203" s="817">
        <f>+'5-Return'!G20</f>
        <v>0</v>
      </c>
      <c r="F203" s="23"/>
      <c r="G203" s="367">
        <f>+'5-Return'!H20</f>
        <v>0</v>
      </c>
      <c r="H203" s="23"/>
      <c r="I203" s="214">
        <f>E203*G203</f>
        <v>0</v>
      </c>
      <c r="J203" s="25"/>
      <c r="K203" s="32"/>
    </row>
    <row r="204" spans="1:11" ht="13.5" thickBot="1">
      <c r="A204" s="297">
        <f t="shared" si="7"/>
        <v>17</v>
      </c>
      <c r="B204" s="24" t="s">
        <v>276</v>
      </c>
      <c r="C204" s="30" t="s">
        <v>594</v>
      </c>
      <c r="D204" s="193">
        <f>+'5-Return'!F21</f>
        <v>44323186.194153853</v>
      </c>
      <c r="E204" s="818">
        <f>+'5-Return'!G21</f>
        <v>0.60902295877048307</v>
      </c>
      <c r="F204" s="31"/>
      <c r="G204" s="367">
        <f>+'5-Return'!H21</f>
        <v>0.10500000000000001</v>
      </c>
      <c r="H204" s="32"/>
      <c r="I204" s="330">
        <f>E204*G204</f>
        <v>6.3947410670900734E-2</v>
      </c>
      <c r="J204" s="25"/>
      <c r="K204" s="32"/>
    </row>
    <row r="205" spans="1:11">
      <c r="A205" s="297">
        <f t="shared" si="7"/>
        <v>18</v>
      </c>
      <c r="B205" s="27" t="s">
        <v>228</v>
      </c>
      <c r="C205" s="25" t="str">
        <f>"( Sum of line "&amp;A202&amp;" - line "&amp;A204&amp;")"</f>
        <v>( Sum of line 15 - line 17)</v>
      </c>
      <c r="D205" s="710">
        <f>SUM(D202:D204)</f>
        <v>72777529.247230768</v>
      </c>
      <c r="E205" s="25" t="s">
        <v>2</v>
      </c>
      <c r="F205" s="25"/>
      <c r="G205" s="25"/>
      <c r="H205" s="25"/>
      <c r="I205" s="214">
        <f>SUM(I202:I204)</f>
        <v>7.4851354761998001E-2</v>
      </c>
      <c r="J205" s="192" t="s">
        <v>61</v>
      </c>
      <c r="K205" s="32"/>
    </row>
    <row r="206" spans="1:11">
      <c r="A206" s="297"/>
      <c r="B206" s="32"/>
      <c r="C206" s="32"/>
      <c r="D206" s="32"/>
      <c r="E206" s="25"/>
      <c r="F206" s="25"/>
      <c r="G206" s="25"/>
      <c r="H206" s="25"/>
      <c r="I206" s="32"/>
      <c r="J206" s="32"/>
      <c r="K206" s="32"/>
    </row>
    <row r="207" spans="1:11">
      <c r="A207" s="297">
        <f>+A205+1</f>
        <v>19</v>
      </c>
      <c r="B207" s="24" t="s">
        <v>115</v>
      </c>
      <c r="C207" s="110"/>
      <c r="D207" s="110"/>
      <c r="E207" s="110"/>
      <c r="F207" s="110"/>
      <c r="G207" s="110"/>
      <c r="H207" s="110"/>
      <c r="I207" s="110"/>
      <c r="J207" s="110"/>
      <c r="K207" s="110"/>
    </row>
    <row r="208" spans="1:11" ht="13.5" thickBot="1">
      <c r="A208" s="297"/>
      <c r="B208" s="24"/>
      <c r="C208" s="24"/>
      <c r="D208" s="24"/>
      <c r="E208" s="24"/>
      <c r="F208" s="24"/>
      <c r="G208" s="24"/>
      <c r="H208" s="24"/>
      <c r="I208" s="29"/>
      <c r="J208" s="194"/>
      <c r="K208" s="32"/>
    </row>
    <row r="209" spans="1:11">
      <c r="A209" s="297">
        <f>+A207+1</f>
        <v>20</v>
      </c>
      <c r="B209" s="24" t="s">
        <v>214</v>
      </c>
      <c r="C209" s="119" t="s">
        <v>773</v>
      </c>
      <c r="D209" s="32"/>
      <c r="E209" s="110"/>
      <c r="F209" s="110"/>
      <c r="G209" s="197"/>
      <c r="H209" s="110"/>
      <c r="I209" s="158">
        <f>+'12 - Revenue Credits'!F14</f>
        <v>360</v>
      </c>
      <c r="J209" s="195"/>
      <c r="K209" s="198"/>
    </row>
    <row r="210" spans="1:11">
      <c r="A210" s="297"/>
      <c r="B210" s="32"/>
      <c r="C210" s="108"/>
      <c r="D210" s="110"/>
      <c r="E210" s="110"/>
      <c r="F210" s="110"/>
      <c r="G210" s="110"/>
      <c r="H210" s="110"/>
      <c r="I210" s="196"/>
      <c r="J210" s="195"/>
      <c r="K210" s="198"/>
    </row>
    <row r="211" spans="1:11">
      <c r="A211" s="297">
        <f>+A209+1</f>
        <v>21</v>
      </c>
      <c r="B211" s="24" t="s">
        <v>215</v>
      </c>
      <c r="C211" s="566" t="s">
        <v>781</v>
      </c>
      <c r="D211" s="110"/>
      <c r="E211" s="110"/>
      <c r="F211" s="110"/>
      <c r="G211" s="110"/>
      <c r="H211" s="110"/>
      <c r="I211" s="158">
        <f>+'12 - Revenue Credits'!F25</f>
        <v>116563.8899999999</v>
      </c>
      <c r="J211" s="32"/>
      <c r="K211" s="199"/>
    </row>
    <row r="212" spans="1:11">
      <c r="A212" s="106"/>
      <c r="B212" s="203"/>
      <c r="C212" s="106"/>
      <c r="D212" s="25"/>
      <c r="E212" s="25"/>
      <c r="F212" s="25"/>
      <c r="G212" s="25"/>
      <c r="H212" s="110"/>
      <c r="I212" s="204"/>
      <c r="J212" s="201"/>
      <c r="K212" s="202"/>
    </row>
    <row r="213" spans="1:11">
      <c r="A213" s="106"/>
      <c r="B213" s="27"/>
      <c r="C213" s="111"/>
      <c r="D213" s="25"/>
      <c r="E213" s="25"/>
      <c r="F213" s="25"/>
      <c r="G213" s="25"/>
      <c r="H213" s="111"/>
      <c r="I213" s="25"/>
      <c r="J213" s="111"/>
      <c r="K213" s="164" t="s">
        <v>706</v>
      </c>
    </row>
    <row r="214" spans="1:11">
      <c r="A214" s="106"/>
      <c r="B214" s="27"/>
      <c r="C214" s="111"/>
      <c r="D214" s="25"/>
      <c r="E214" s="25"/>
      <c r="F214" s="25"/>
      <c r="G214" s="25"/>
      <c r="H214" s="111"/>
      <c r="I214" s="25"/>
      <c r="J214" s="111"/>
      <c r="K214" s="25"/>
    </row>
    <row r="215" spans="1:11">
      <c r="A215" s="106"/>
      <c r="B215" s="203" t="s">
        <v>1</v>
      </c>
      <c r="C215" s="106"/>
      <c r="D215" s="106" t="s">
        <v>808</v>
      </c>
      <c r="E215" s="25"/>
      <c r="F215" s="25"/>
      <c r="G215" s="25"/>
      <c r="H215" s="110"/>
      <c r="I215" s="104"/>
      <c r="J215" s="164">
        <f>J3</f>
        <v>0</v>
      </c>
      <c r="K215" s="870">
        <f>K3</f>
        <v>45657</v>
      </c>
    </row>
    <row r="216" spans="1:11">
      <c r="A216" s="106"/>
      <c r="B216" s="203"/>
      <c r="C216" s="106"/>
      <c r="D216" s="28" t="s">
        <v>101</v>
      </c>
      <c r="E216" s="25"/>
      <c r="F216" s="25"/>
      <c r="G216" s="25"/>
      <c r="H216" s="110"/>
      <c r="I216" s="205"/>
      <c r="J216" s="195"/>
      <c r="K216" s="202"/>
    </row>
    <row r="217" spans="1:11">
      <c r="A217" s="106"/>
      <c r="B217" s="203"/>
      <c r="C217" s="106"/>
      <c r="D217" s="28" t="str">
        <f>+D176</f>
        <v>Transource West Virginia, LLC</v>
      </c>
      <c r="E217" s="25"/>
      <c r="F217" s="25"/>
      <c r="G217" s="25"/>
      <c r="H217" s="110"/>
      <c r="I217" s="205"/>
      <c r="J217" s="195"/>
      <c r="K217" s="202"/>
    </row>
    <row r="218" spans="1:11">
      <c r="A218" s="1208"/>
      <c r="B218" s="1208"/>
      <c r="C218" s="1208"/>
      <c r="D218" s="1208"/>
      <c r="E218" s="1208"/>
      <c r="F218" s="1208"/>
      <c r="G218" s="1208"/>
      <c r="H218" s="1208"/>
      <c r="I218" s="1208"/>
      <c r="J218" s="1208"/>
      <c r="K218" s="1208"/>
    </row>
    <row r="219" spans="1:11">
      <c r="A219" s="106"/>
      <c r="B219" s="24" t="s">
        <v>430</v>
      </c>
      <c r="C219" s="106"/>
      <c r="D219" s="25"/>
      <c r="E219" s="25"/>
      <c r="F219" s="25"/>
      <c r="G219" s="25"/>
      <c r="H219" s="110"/>
      <c r="I219" s="25"/>
      <c r="J219" s="110"/>
      <c r="K219" s="25"/>
    </row>
    <row r="220" spans="1:11">
      <c r="A220" s="106"/>
      <c r="B220" s="200" t="s">
        <v>116</v>
      </c>
      <c r="C220" s="106"/>
      <c r="D220" s="25"/>
      <c r="E220" s="25"/>
      <c r="F220" s="25"/>
      <c r="G220" s="25"/>
      <c r="H220" s="110"/>
      <c r="I220" s="25"/>
      <c r="J220" s="110"/>
      <c r="K220" s="25"/>
    </row>
    <row r="221" spans="1:11">
      <c r="A221" s="106"/>
      <c r="B221" s="24"/>
      <c r="C221" s="110"/>
      <c r="D221" s="25"/>
      <c r="E221" s="25"/>
      <c r="F221" s="25"/>
      <c r="G221" s="25"/>
      <c r="H221" s="110"/>
      <c r="I221" s="25"/>
      <c r="J221" s="110"/>
      <c r="K221" s="25"/>
    </row>
    <row r="222" spans="1:11" ht="13.5" thickBot="1">
      <c r="A222" s="29" t="s">
        <v>572</v>
      </c>
      <c r="B222" s="1210"/>
      <c r="C222" s="1210"/>
      <c r="D222" s="206"/>
      <c r="E222" s="206"/>
      <c r="F222" s="206"/>
      <c r="G222" s="206"/>
      <c r="H222" s="207"/>
      <c r="I222" s="206"/>
      <c r="J222" s="207"/>
      <c r="K222" s="206"/>
    </row>
    <row r="223" spans="1:11" ht="30" customHeight="1">
      <c r="A223" s="836" t="s">
        <v>183</v>
      </c>
      <c r="B223" s="1212" t="s">
        <v>775</v>
      </c>
      <c r="C223" s="1213"/>
      <c r="D223" s="1213"/>
      <c r="E223" s="1213"/>
      <c r="F223" s="1213"/>
      <c r="G223" s="1213"/>
      <c r="H223" s="1213"/>
      <c r="I223" s="1213"/>
      <c r="J223" s="1213"/>
      <c r="K223" s="1213"/>
    </row>
    <row r="224" spans="1:11">
      <c r="A224" s="836" t="s">
        <v>184</v>
      </c>
      <c r="B224" s="1209" t="s">
        <v>285</v>
      </c>
      <c r="C224" s="1209"/>
      <c r="D224" s="1209"/>
      <c r="E224" s="1209"/>
      <c r="F224" s="1209"/>
      <c r="G224" s="1209"/>
      <c r="H224" s="1209"/>
      <c r="I224" s="1209"/>
      <c r="J224" s="1209"/>
      <c r="K224" s="1209"/>
    </row>
    <row r="225" spans="1:11" s="12" customFormat="1">
      <c r="A225" s="837" t="s">
        <v>64</v>
      </c>
      <c r="B225" s="267" t="s">
        <v>577</v>
      </c>
      <c r="C225" s="254"/>
      <c r="D225" s="254"/>
      <c r="E225" s="254"/>
      <c r="F225" s="254"/>
      <c r="G225" s="254"/>
      <c r="H225" s="255"/>
      <c r="I225" s="256"/>
      <c r="J225" s="257"/>
      <c r="K225" s="258"/>
    </row>
    <row r="226" spans="1:11" ht="30.75" customHeight="1">
      <c r="A226" s="836" t="s">
        <v>557</v>
      </c>
      <c r="B226" s="1209" t="s">
        <v>559</v>
      </c>
      <c r="C226" s="1209"/>
      <c r="D226" s="1209"/>
      <c r="E226" s="1209"/>
      <c r="F226" s="1209"/>
      <c r="G226" s="1209"/>
      <c r="H226" s="1209"/>
      <c r="I226" s="1209"/>
      <c r="J226" s="1209"/>
      <c r="K226" s="1209"/>
    </row>
    <row r="227" spans="1:11" s="12" customFormat="1" ht="28.5" customHeight="1">
      <c r="A227" s="837" t="s">
        <v>66</v>
      </c>
      <c r="B227" s="1211" t="s">
        <v>360</v>
      </c>
      <c r="C227" s="1211"/>
      <c r="D227" s="1211"/>
      <c r="E227" s="1211"/>
      <c r="F227" s="1211"/>
      <c r="G227" s="1211"/>
      <c r="H227" s="1211"/>
      <c r="I227" s="1211"/>
      <c r="J227" s="1211"/>
      <c r="K227" s="1211"/>
    </row>
    <row r="228" spans="1:11" ht="19.5" customHeight="1">
      <c r="A228" s="837" t="s">
        <v>67</v>
      </c>
      <c r="B228" s="1214" t="s">
        <v>707</v>
      </c>
      <c r="C228" s="1214"/>
      <c r="D228" s="1214"/>
      <c r="E228" s="1214"/>
      <c r="F228" s="1214"/>
      <c r="G228" s="1214"/>
      <c r="H228" s="1214"/>
      <c r="I228" s="1214"/>
      <c r="J228" s="1214"/>
      <c r="K228" s="1214"/>
    </row>
    <row r="229" spans="1:11">
      <c r="A229" s="836" t="s">
        <v>68</v>
      </c>
      <c r="B229" s="1209" t="s">
        <v>637</v>
      </c>
      <c r="C229" s="1209"/>
      <c r="D229" s="1209"/>
      <c r="E229" s="1209"/>
      <c r="F229" s="1209"/>
      <c r="G229" s="1209"/>
      <c r="H229" s="1209"/>
      <c r="I229" s="1209"/>
      <c r="J229" s="1209"/>
      <c r="K229" s="1209"/>
    </row>
    <row r="230" spans="1:11" ht="29.25" customHeight="1">
      <c r="A230" s="836" t="s">
        <v>69</v>
      </c>
      <c r="B230" s="1209" t="s">
        <v>563</v>
      </c>
      <c r="C230" s="1209"/>
      <c r="D230" s="1209"/>
      <c r="E230" s="1209"/>
      <c r="F230" s="1209"/>
      <c r="G230" s="1209"/>
      <c r="H230" s="1209"/>
      <c r="I230" s="1209"/>
      <c r="J230" s="1209"/>
      <c r="K230" s="1209"/>
    </row>
    <row r="231" spans="1:11">
      <c r="A231" s="838" t="s">
        <v>70</v>
      </c>
      <c r="B231" s="1209" t="s">
        <v>117</v>
      </c>
      <c r="C231" s="1209"/>
      <c r="D231" s="1209"/>
      <c r="E231" s="1209"/>
      <c r="F231" s="1209"/>
      <c r="G231" s="1209"/>
      <c r="H231" s="1209"/>
      <c r="I231" s="1209"/>
      <c r="J231" s="1209"/>
      <c r="K231" s="1209"/>
    </row>
    <row r="232" spans="1:11" s="216" customFormat="1" ht="15.75" customHeight="1">
      <c r="A232" s="836" t="s">
        <v>71</v>
      </c>
      <c r="B232" s="1209" t="s">
        <v>617</v>
      </c>
      <c r="C232" s="1209"/>
      <c r="D232" s="1209"/>
      <c r="E232" s="1209"/>
      <c r="F232" s="1209"/>
      <c r="G232" s="1209"/>
      <c r="H232" s="1209"/>
      <c r="I232" s="1209"/>
      <c r="J232" s="1209"/>
      <c r="K232" s="1209"/>
    </row>
    <row r="233" spans="1:11" s="216" customFormat="1" ht="18.75" customHeight="1">
      <c r="A233" s="836" t="s">
        <v>103</v>
      </c>
      <c r="B233" s="253" t="s">
        <v>569</v>
      </c>
      <c r="C233" s="488"/>
      <c r="D233" s="488"/>
      <c r="E233" s="488"/>
      <c r="F233" s="488"/>
      <c r="G233" s="488"/>
      <c r="H233" s="488"/>
      <c r="I233" s="488"/>
      <c r="J233" s="488"/>
      <c r="K233" s="488"/>
    </row>
    <row r="234" spans="1:11" ht="30" customHeight="1">
      <c r="A234" s="838" t="s">
        <v>122</v>
      </c>
      <c r="B234" s="1209" t="s">
        <v>638</v>
      </c>
      <c r="C234" s="1209"/>
      <c r="D234" s="1209"/>
      <c r="E234" s="1209"/>
      <c r="F234" s="1209"/>
      <c r="G234" s="1209"/>
      <c r="H234" s="1209"/>
      <c r="I234" s="1209"/>
      <c r="J234" s="1209"/>
      <c r="K234" s="1209"/>
    </row>
    <row r="235" spans="1:11" ht="51" customHeight="1">
      <c r="A235" s="1215" t="s">
        <v>579</v>
      </c>
      <c r="B235" s="1209" t="s">
        <v>185</v>
      </c>
      <c r="C235" s="1209"/>
      <c r="D235" s="1209"/>
      <c r="E235" s="1209"/>
      <c r="F235" s="1209"/>
      <c r="G235" s="1209"/>
      <c r="H235" s="1209"/>
      <c r="I235" s="1209"/>
      <c r="J235" s="1209"/>
      <c r="K235" s="1209"/>
    </row>
    <row r="236" spans="1:11">
      <c r="A236" s="1215"/>
      <c r="B236" s="253" t="s">
        <v>72</v>
      </c>
      <c r="C236" s="253" t="s">
        <v>746</v>
      </c>
      <c r="D236" s="385">
        <v>0.21</v>
      </c>
      <c r="E236" s="253" t="s">
        <v>361</v>
      </c>
      <c r="F236" s="253"/>
      <c r="G236" s="253"/>
      <c r="H236" s="253"/>
      <c r="I236" s="253"/>
      <c r="J236" s="253"/>
      <c r="K236" s="253"/>
    </row>
    <row r="237" spans="1:11">
      <c r="A237" s="1215"/>
      <c r="B237" s="253"/>
      <c r="C237" s="253" t="s">
        <v>73</v>
      </c>
      <c r="D237" s="385">
        <v>6.5000000000000002E-2</v>
      </c>
      <c r="E237" s="253" t="s">
        <v>118</v>
      </c>
      <c r="F237" s="253"/>
      <c r="G237" s="253"/>
      <c r="H237" s="253"/>
      <c r="I237" s="253"/>
      <c r="J237" s="253"/>
      <c r="K237" s="253"/>
    </row>
    <row r="238" spans="1:11">
      <c r="A238" s="1215"/>
      <c r="B238" s="253"/>
      <c r="C238" s="253" t="s">
        <v>74</v>
      </c>
      <c r="D238" s="385">
        <v>0</v>
      </c>
      <c r="E238" s="253" t="s">
        <v>119</v>
      </c>
      <c r="F238" s="253"/>
      <c r="G238" s="253"/>
      <c r="H238" s="253"/>
      <c r="I238" s="253"/>
      <c r="J238" s="253"/>
      <c r="K238" s="253"/>
    </row>
    <row r="239" spans="1:11">
      <c r="A239" s="1215"/>
      <c r="B239" s="253"/>
      <c r="C239" s="253" t="s">
        <v>120</v>
      </c>
      <c r="D239" s="385">
        <v>0</v>
      </c>
      <c r="E239" s="253" t="s">
        <v>121</v>
      </c>
      <c r="F239" s="253"/>
      <c r="G239" s="253"/>
      <c r="H239" s="253"/>
      <c r="I239" s="253"/>
      <c r="J239" s="253"/>
      <c r="K239" s="253"/>
    </row>
    <row r="240" spans="1:11">
      <c r="A240" s="573" t="s">
        <v>588</v>
      </c>
      <c r="B240" s="13" t="s">
        <v>807</v>
      </c>
    </row>
    <row r="241" spans="1:11" ht="19.5" customHeight="1">
      <c r="A241" s="836" t="s">
        <v>124</v>
      </c>
      <c r="B241" s="1209" t="s">
        <v>123</v>
      </c>
      <c r="C241" s="1209"/>
      <c r="D241" s="1209"/>
      <c r="E241" s="1209"/>
      <c r="F241" s="1209"/>
      <c r="G241" s="1209"/>
      <c r="H241" s="1209"/>
      <c r="I241" s="1209"/>
      <c r="J241" s="1209"/>
      <c r="K241" s="1209"/>
    </row>
    <row r="242" spans="1:11" s="571" customFormat="1" ht="81" customHeight="1">
      <c r="A242" s="836" t="s">
        <v>125</v>
      </c>
      <c r="B242" s="1216" t="s">
        <v>782</v>
      </c>
      <c r="C242" s="1216"/>
      <c r="D242" s="1216"/>
      <c r="E242" s="1216"/>
      <c r="F242" s="1216"/>
      <c r="G242" s="1216"/>
      <c r="H242" s="1216"/>
      <c r="I242" s="1216"/>
      <c r="J242" s="1216"/>
      <c r="K242" s="1216"/>
    </row>
    <row r="243" spans="1:11" s="216" customFormat="1" ht="15.75" customHeight="1">
      <c r="A243" s="837" t="s">
        <v>126</v>
      </c>
      <c r="B243" s="268" t="s">
        <v>708</v>
      </c>
      <c r="C243" s="267"/>
      <c r="D243" s="267"/>
      <c r="E243" s="267"/>
      <c r="F243" s="267"/>
      <c r="G243" s="267"/>
      <c r="H243" s="267"/>
      <c r="I243" s="267"/>
      <c r="J243" s="267"/>
      <c r="K243" s="267"/>
    </row>
    <row r="244" spans="1:11" s="216" customFormat="1" ht="31.5" customHeight="1">
      <c r="A244" s="837" t="s">
        <v>591</v>
      </c>
      <c r="B244" s="1209" t="s">
        <v>597</v>
      </c>
      <c r="C244" s="1209"/>
      <c r="D244" s="1209"/>
      <c r="E244" s="1209"/>
      <c r="F244" s="1209"/>
      <c r="G244" s="1209"/>
      <c r="H244" s="1209"/>
      <c r="I244" s="1209"/>
      <c r="J244" s="1209"/>
      <c r="K244" s="1209"/>
    </row>
    <row r="245" spans="1:11" ht="21" customHeight="1">
      <c r="A245" s="836" t="s">
        <v>593</v>
      </c>
      <c r="B245" s="1209" t="s">
        <v>709</v>
      </c>
      <c r="C245" s="1209"/>
      <c r="D245" s="1209"/>
      <c r="E245" s="1209"/>
      <c r="F245" s="1209"/>
      <c r="G245" s="1209"/>
      <c r="H245" s="1209"/>
      <c r="I245" s="1209"/>
      <c r="J245" s="1209"/>
      <c r="K245" s="1209"/>
    </row>
    <row r="246" spans="1:11">
      <c r="A246" s="836" t="s">
        <v>595</v>
      </c>
      <c r="B246" s="1209" t="s">
        <v>596</v>
      </c>
      <c r="C246" s="1209"/>
      <c r="D246" s="1209"/>
      <c r="E246" s="1209"/>
      <c r="F246" s="1209"/>
      <c r="G246" s="1209"/>
      <c r="H246" s="1209"/>
      <c r="I246" s="1209"/>
      <c r="J246" s="1209"/>
      <c r="K246" s="1209"/>
    </row>
    <row r="247" spans="1:11" s="319" customFormat="1">
      <c r="A247" s="839" t="s">
        <v>244</v>
      </c>
      <c r="B247" s="499" t="s">
        <v>636</v>
      </c>
      <c r="C247" s="490"/>
      <c r="D247" s="490"/>
      <c r="E247" s="490"/>
      <c r="F247" s="490"/>
      <c r="G247" s="490"/>
      <c r="H247" s="490"/>
      <c r="I247" s="490"/>
      <c r="J247" s="490"/>
      <c r="K247" s="490"/>
    </row>
  </sheetData>
  <customSheetViews>
    <customSheetView guid="{63AFAF34-E340-4B5E-A289-FFB7051CA9B6}" scale="86" topLeftCell="A19">
      <selection activeCell="C26" sqref="C26"/>
      <rowBreaks count="4" manualBreakCount="4">
        <brk id="51" max="10" man="1"/>
        <brk id="106" max="16383" man="1"/>
        <brk id="170" max="10" man="1"/>
        <brk id="215" max="16383" man="1"/>
      </rowBreaks>
      <pageMargins left="0.25" right="0.25" top="0.5" bottom="0.5" header="0.3" footer="0.3"/>
      <pageSetup scale="59" fitToHeight="0" orientation="landscape" cellComments="asDisplayed" r:id="rId1"/>
    </customSheetView>
    <customSheetView guid="{F04A2B9A-C6FE-4FEB-AD1E-2CF9AC309BE4}" scale="70" showPageBreaks="1" printArea="1" view="pageBreakPreview" topLeftCell="A61">
      <selection activeCell="C103" sqref="C103"/>
      <rowBreaks count="4" manualBreakCount="4">
        <brk id="50" max="10" man="1"/>
        <brk id="107" max="16383" man="1"/>
        <brk id="170" max="10" man="1"/>
        <brk id="225" max="16383" man="1"/>
      </rowBreaks>
      <pageMargins left="0.7" right="0.7" top="0.75" bottom="0.75" header="0.3" footer="0.3"/>
      <pageSetup scale="51" fitToHeight="6" orientation="landscape" r:id="rId2"/>
    </customSheetView>
  </customSheetViews>
  <mergeCells count="22">
    <mergeCell ref="B246:K246"/>
    <mergeCell ref="A235:A239"/>
    <mergeCell ref="B242:K242"/>
    <mergeCell ref="B235:K235"/>
    <mergeCell ref="B241:K241"/>
    <mergeCell ref="B244:K244"/>
    <mergeCell ref="B245:K245"/>
    <mergeCell ref="A58:K58"/>
    <mergeCell ref="A112:K112"/>
    <mergeCell ref="A177:K177"/>
    <mergeCell ref="B234:K234"/>
    <mergeCell ref="A218:K218"/>
    <mergeCell ref="B222:C222"/>
    <mergeCell ref="B231:K231"/>
    <mergeCell ref="B226:K226"/>
    <mergeCell ref="B229:K229"/>
    <mergeCell ref="B230:K230"/>
    <mergeCell ref="B232:K232"/>
    <mergeCell ref="B227:K227"/>
    <mergeCell ref="B224:K224"/>
    <mergeCell ref="B223:K223"/>
    <mergeCell ref="B228:K228"/>
  </mergeCells>
  <phoneticPr fontId="0" type="noConversion"/>
  <pageMargins left="0.25" right="0.25" top="0.5" bottom="0.5" header="0.3" footer="0.3"/>
  <pageSetup scale="59" fitToHeight="0" orientation="landscape" cellComments="asDisplayed" r:id="rId3"/>
  <rowBreaks count="4" manualBreakCount="4">
    <brk id="51" max="10" man="1"/>
    <brk id="106" max="16383" man="1"/>
    <brk id="170" max="10" man="1"/>
    <brk id="21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44"/>
  <sheetViews>
    <sheetView view="pageBreakPreview" zoomScale="85" zoomScaleNormal="85" zoomScaleSheetLayoutView="85" workbookViewId="0">
      <selection activeCell="N44" sqref="N44"/>
    </sheetView>
  </sheetViews>
  <sheetFormatPr defaultColWidth="7.4609375" defaultRowHeight="13"/>
  <cols>
    <col min="1" max="1" width="4.69140625" style="876" customWidth="1"/>
    <col min="2" max="2" width="33.69140625" style="875" customWidth="1"/>
    <col min="3" max="3" width="21.84375" style="875" bestFit="1" customWidth="1"/>
    <col min="4" max="4" width="15.3046875" style="875" bestFit="1" customWidth="1"/>
    <col min="5" max="5" width="3" style="1018" customWidth="1"/>
    <col min="6" max="6" width="23.4609375" style="875" customWidth="1"/>
    <col min="7" max="7" width="16.3046875" style="875" customWidth="1"/>
    <col min="8" max="8" width="13" style="875" customWidth="1"/>
    <col min="9" max="9" width="14.3046875" style="875" customWidth="1"/>
    <col min="10" max="10" width="19.53515625" style="875" customWidth="1"/>
    <col min="11" max="11" width="13.84375" style="875" customWidth="1"/>
    <col min="12" max="16384" width="7.4609375" style="875"/>
  </cols>
  <sheetData>
    <row r="1" spans="1:11" ht="20">
      <c r="A1" s="1242" t="s">
        <v>975</v>
      </c>
      <c r="B1" s="1242"/>
      <c r="C1" s="1242"/>
      <c r="D1" s="1242"/>
      <c r="E1" s="1242"/>
      <c r="F1" s="1242"/>
      <c r="G1" s="1242"/>
      <c r="H1" s="1242"/>
      <c r="I1" s="1242"/>
      <c r="J1" s="1242"/>
      <c r="K1" s="1113"/>
    </row>
    <row r="2" spans="1:11" ht="20">
      <c r="A2" s="1242" t="str">
        <f>'Attachment H-26'!D5</f>
        <v>Transource West Virginia, LLC</v>
      </c>
      <c r="B2" s="1242"/>
      <c r="C2" s="1242"/>
      <c r="D2" s="1242"/>
      <c r="E2" s="1242"/>
      <c r="F2" s="1242"/>
      <c r="G2" s="1242"/>
      <c r="H2" s="1242"/>
      <c r="I2" s="1242"/>
      <c r="J2" s="1242"/>
      <c r="K2" s="1113"/>
    </row>
    <row r="3" spans="1:11" ht="20">
      <c r="A3" s="1242" t="s">
        <v>1067</v>
      </c>
      <c r="B3" s="1242"/>
      <c r="C3" s="1242"/>
      <c r="D3" s="1242"/>
      <c r="E3" s="1242"/>
      <c r="F3" s="1242"/>
      <c r="G3" s="1242"/>
      <c r="H3" s="1242"/>
      <c r="I3" s="1242"/>
      <c r="J3" s="1242"/>
      <c r="K3" s="1113"/>
    </row>
    <row r="4" spans="1:11" ht="20">
      <c r="A4" s="951"/>
      <c r="B4" s="882"/>
      <c r="C4" s="882"/>
      <c r="D4" s="1050"/>
      <c r="E4" s="1057"/>
      <c r="F4" s="955"/>
      <c r="G4" s="955"/>
      <c r="H4" s="955"/>
      <c r="I4" s="978"/>
      <c r="J4" s="979"/>
      <c r="K4" s="980"/>
    </row>
    <row r="5" spans="1:11">
      <c r="A5" s="880"/>
      <c r="B5" s="981" t="s">
        <v>976</v>
      </c>
      <c r="C5" s="1114" t="s">
        <v>977</v>
      </c>
      <c r="D5" s="920"/>
      <c r="E5" s="920"/>
      <c r="F5" s="882"/>
      <c r="G5" s="882"/>
      <c r="H5" s="882"/>
      <c r="I5" s="884"/>
      <c r="J5" s="884"/>
      <c r="K5" s="882"/>
    </row>
    <row r="6" spans="1:11">
      <c r="A6" s="880"/>
      <c r="B6" s="981"/>
      <c r="C6" s="882"/>
      <c r="D6" s="882"/>
      <c r="E6" s="920"/>
      <c r="F6" s="882"/>
      <c r="G6" s="882"/>
      <c r="H6" s="882"/>
      <c r="I6" s="884"/>
      <c r="J6" s="884"/>
      <c r="K6" s="882"/>
    </row>
    <row r="7" spans="1:11">
      <c r="A7" s="880"/>
      <c r="B7" s="885" t="s">
        <v>196</v>
      </c>
      <c r="C7" s="885" t="s">
        <v>197</v>
      </c>
      <c r="D7" s="885" t="s">
        <v>198</v>
      </c>
      <c r="E7" s="885"/>
      <c r="F7" s="885" t="s">
        <v>199</v>
      </c>
      <c r="G7" s="885" t="s">
        <v>201</v>
      </c>
      <c r="H7" s="885" t="s">
        <v>200</v>
      </c>
      <c r="I7" s="885" t="s">
        <v>202</v>
      </c>
      <c r="J7" s="885" t="s">
        <v>203</v>
      </c>
      <c r="K7" s="885"/>
    </row>
    <row r="8" spans="1:11">
      <c r="A8" s="880"/>
      <c r="B8" s="885"/>
      <c r="C8" s="882"/>
      <c r="D8" s="885"/>
      <c r="E8" s="885"/>
      <c r="G8" s="885" t="s">
        <v>978</v>
      </c>
      <c r="H8" s="882"/>
      <c r="I8" s="887" t="s">
        <v>13</v>
      </c>
      <c r="J8" s="885" t="s">
        <v>979</v>
      </c>
      <c r="K8" s="885"/>
    </row>
    <row r="9" spans="1:11">
      <c r="A9" s="880" t="s">
        <v>8</v>
      </c>
      <c r="B9" s="885"/>
      <c r="C9" s="882"/>
      <c r="D9" s="885" t="s">
        <v>980</v>
      </c>
      <c r="E9" s="885"/>
      <c r="F9" s="887" t="s">
        <v>978</v>
      </c>
      <c r="G9" s="885" t="s">
        <v>11</v>
      </c>
      <c r="H9" s="885" t="s">
        <v>981</v>
      </c>
      <c r="I9" s="885" t="s">
        <v>982</v>
      </c>
      <c r="J9" s="885" t="s">
        <v>948</v>
      </c>
      <c r="K9" s="885"/>
    </row>
    <row r="10" spans="1:11">
      <c r="A10" s="880" t="s">
        <v>10</v>
      </c>
      <c r="B10" s="891" t="s">
        <v>983</v>
      </c>
      <c r="C10" s="891" t="s">
        <v>205</v>
      </c>
      <c r="D10" s="891" t="s">
        <v>948</v>
      </c>
      <c r="E10" s="891"/>
      <c r="F10" s="885" t="s">
        <v>984</v>
      </c>
      <c r="G10" s="891" t="s">
        <v>985</v>
      </c>
      <c r="H10" s="891" t="s">
        <v>986</v>
      </c>
      <c r="I10" s="891" t="s">
        <v>987</v>
      </c>
      <c r="J10" s="891" t="s">
        <v>988</v>
      </c>
      <c r="K10" s="891"/>
    </row>
    <row r="11" spans="1:11">
      <c r="A11" s="880"/>
      <c r="B11" s="882"/>
      <c r="C11" s="882"/>
      <c r="D11" s="882"/>
      <c r="E11" s="920"/>
      <c r="F11" s="882"/>
      <c r="G11" s="882"/>
      <c r="H11" s="921"/>
      <c r="I11" s="921"/>
      <c r="J11" s="882"/>
      <c r="K11" s="882"/>
    </row>
    <row r="12" spans="1:11">
      <c r="A12" s="880">
        <v>1</v>
      </c>
      <c r="B12" s="1115" t="s">
        <v>927</v>
      </c>
      <c r="C12" s="882"/>
      <c r="D12" s="882"/>
      <c r="E12" s="920"/>
      <c r="F12" s="882"/>
      <c r="G12" s="882"/>
      <c r="H12" s="921"/>
      <c r="I12" s="921"/>
      <c r="J12" s="882"/>
      <c r="K12" s="882"/>
    </row>
    <row r="13" spans="1:11">
      <c r="A13" s="880">
        <f>A12+1</f>
        <v>2</v>
      </c>
      <c r="B13" s="1116" t="s">
        <v>989</v>
      </c>
      <c r="C13" s="1117" t="s">
        <v>990</v>
      </c>
      <c r="D13" s="1118">
        <v>0</v>
      </c>
      <c r="E13" s="1119"/>
      <c r="F13" s="882"/>
      <c r="G13" s="882"/>
      <c r="H13" s="921"/>
      <c r="I13" s="921"/>
      <c r="J13" s="882"/>
      <c r="K13" s="882"/>
    </row>
    <row r="14" spans="1:11">
      <c r="A14" s="880">
        <f t="shared" ref="A14:A17" si="0">A13+1</f>
        <v>3</v>
      </c>
      <c r="B14" s="1116" t="s">
        <v>991</v>
      </c>
      <c r="C14" s="1117" t="s">
        <v>992</v>
      </c>
      <c r="D14" s="1118">
        <v>0</v>
      </c>
      <c r="E14" s="1119"/>
      <c r="F14" s="882"/>
      <c r="G14" s="882"/>
      <c r="H14" s="921"/>
      <c r="I14" s="921"/>
      <c r="J14" s="882"/>
      <c r="K14" s="882"/>
    </row>
    <row r="15" spans="1:11">
      <c r="A15" s="880">
        <f t="shared" si="0"/>
        <v>4</v>
      </c>
      <c r="B15" s="1120"/>
      <c r="C15" s="1121"/>
      <c r="D15" s="1118">
        <v>0</v>
      </c>
      <c r="E15" s="1119"/>
      <c r="F15" s="882"/>
      <c r="G15" s="882"/>
      <c r="H15" s="921"/>
      <c r="I15" s="921"/>
      <c r="J15" s="882"/>
      <c r="K15" s="882"/>
    </row>
    <row r="16" spans="1:11" ht="13.5" thickBot="1">
      <c r="A16" s="880">
        <f t="shared" si="0"/>
        <v>5</v>
      </c>
      <c r="B16" s="1120"/>
      <c r="C16" s="1121"/>
      <c r="D16" s="1122">
        <v>0</v>
      </c>
      <c r="E16" s="1123"/>
      <c r="F16" s="1124"/>
      <c r="G16" s="882"/>
      <c r="H16" s="921"/>
      <c r="I16" s="921"/>
      <c r="J16" s="882"/>
      <c r="K16" s="882"/>
    </row>
    <row r="17" spans="1:11">
      <c r="A17" s="880">
        <f t="shared" si="0"/>
        <v>6</v>
      </c>
      <c r="B17" s="1125">
        <v>190.1</v>
      </c>
      <c r="C17" s="1126" t="s">
        <v>993</v>
      </c>
      <c r="D17" s="1124">
        <f>D13-D14+D15+D16</f>
        <v>0</v>
      </c>
      <c r="E17" s="1127"/>
      <c r="F17" s="1128">
        <f>1-(0.21/0.35)</f>
        <v>0.4</v>
      </c>
      <c r="G17" s="1123">
        <f>D17*F17</f>
        <v>0</v>
      </c>
      <c r="H17" s="1121">
        <v>0</v>
      </c>
      <c r="I17" s="1124">
        <f>G17+H17</f>
        <v>0</v>
      </c>
      <c r="J17" s="1124">
        <f>D17+H17</f>
        <v>0</v>
      </c>
      <c r="K17" s="882"/>
    </row>
    <row r="18" spans="1:11">
      <c r="A18" s="880"/>
      <c r="B18" s="1125"/>
      <c r="C18" s="1126"/>
      <c r="D18" s="1124">
        <v>0</v>
      </c>
      <c r="E18" s="920"/>
      <c r="F18" s="882"/>
      <c r="G18" s="882"/>
      <c r="H18" s="921"/>
      <c r="I18" s="921"/>
      <c r="J18" s="882"/>
      <c r="K18" s="882"/>
    </row>
    <row r="19" spans="1:11">
      <c r="A19" s="880">
        <f>A17+1</f>
        <v>7</v>
      </c>
      <c r="B19" s="1115" t="s">
        <v>928</v>
      </c>
      <c r="C19" s="882"/>
      <c r="D19" s="882"/>
      <c r="E19" s="920"/>
      <c r="F19" s="882"/>
      <c r="G19" s="882"/>
      <c r="H19" s="921"/>
      <c r="I19" s="921"/>
      <c r="J19" s="882"/>
      <c r="K19" s="882"/>
    </row>
    <row r="20" spans="1:11">
      <c r="A20" s="880">
        <f>A19+1</f>
        <v>8</v>
      </c>
      <c r="B20" s="1116" t="s">
        <v>989</v>
      </c>
      <c r="C20" s="1117" t="s">
        <v>994</v>
      </c>
      <c r="D20" s="1118">
        <v>0</v>
      </c>
      <c r="E20" s="1119"/>
      <c r="F20" s="882"/>
      <c r="G20" s="882"/>
      <c r="H20" s="921"/>
      <c r="I20" s="921"/>
      <c r="J20" s="882"/>
      <c r="K20" s="882"/>
    </row>
    <row r="21" spans="1:11">
      <c r="A21" s="880">
        <f t="shared" ref="A21:A24" si="1">A20+1</f>
        <v>9</v>
      </c>
      <c r="B21" s="1116" t="s">
        <v>991</v>
      </c>
      <c r="C21" s="1117" t="s">
        <v>992</v>
      </c>
      <c r="D21" s="1118">
        <v>0</v>
      </c>
      <c r="E21" s="1119"/>
      <c r="F21" s="882"/>
      <c r="G21" s="882"/>
      <c r="H21" s="921"/>
      <c r="I21" s="921"/>
      <c r="J21" s="882"/>
      <c r="K21" s="882"/>
    </row>
    <row r="22" spans="1:11">
      <c r="A22" s="880">
        <f t="shared" si="1"/>
        <v>10</v>
      </c>
      <c r="B22" s="1120"/>
      <c r="C22" s="1121"/>
      <c r="D22" s="1118">
        <v>0</v>
      </c>
      <c r="E22" s="1119"/>
      <c r="F22" s="882"/>
      <c r="G22" s="882"/>
      <c r="H22" s="921"/>
      <c r="I22" s="921"/>
      <c r="J22" s="882"/>
      <c r="K22" s="882"/>
    </row>
    <row r="23" spans="1:11" ht="13.5" thickBot="1">
      <c r="A23" s="880">
        <f t="shared" si="1"/>
        <v>11</v>
      </c>
      <c r="B23" s="1120"/>
      <c r="C23" s="1121"/>
      <c r="D23" s="1122">
        <v>0</v>
      </c>
      <c r="E23" s="1123"/>
      <c r="F23" s="1124"/>
      <c r="G23" s="882"/>
      <c r="H23" s="921"/>
      <c r="I23" s="921"/>
      <c r="J23" s="1124"/>
      <c r="K23" s="882"/>
    </row>
    <row r="24" spans="1:11">
      <c r="A24" s="880">
        <f t="shared" si="1"/>
        <v>12</v>
      </c>
      <c r="B24" s="1125" t="s">
        <v>995</v>
      </c>
      <c r="C24" s="1126" t="s">
        <v>993</v>
      </c>
      <c r="D24" s="1124">
        <f>-(D20-D21+D22+D23)</f>
        <v>0</v>
      </c>
      <c r="E24" s="1127"/>
      <c r="F24" s="1128">
        <f>1-(0.21/0.35)</f>
        <v>0.4</v>
      </c>
      <c r="G24" s="1123">
        <f>D24*F24</f>
        <v>0</v>
      </c>
      <c r="H24" s="1121">
        <v>0</v>
      </c>
      <c r="I24" s="1124">
        <f>G24+H24</f>
        <v>0</v>
      </c>
      <c r="J24" s="1124">
        <f>D24+H24</f>
        <v>0</v>
      </c>
      <c r="K24" s="882"/>
    </row>
    <row r="25" spans="1:11">
      <c r="A25" s="880"/>
      <c r="B25" s="1125"/>
      <c r="C25" s="1126"/>
      <c r="D25" s="1124">
        <v>0</v>
      </c>
      <c r="E25" s="920"/>
      <c r="F25" s="882"/>
      <c r="G25" s="882"/>
      <c r="H25" s="921"/>
      <c r="I25" s="921"/>
      <c r="J25" s="882"/>
      <c r="K25" s="882"/>
    </row>
    <row r="26" spans="1:11">
      <c r="A26" s="880">
        <f>A24+1</f>
        <v>13</v>
      </c>
      <c r="B26" s="1115" t="s">
        <v>911</v>
      </c>
      <c r="C26" s="882"/>
      <c r="D26" s="882"/>
      <c r="E26" s="920"/>
      <c r="F26" s="882"/>
      <c r="G26" s="882"/>
      <c r="H26" s="921"/>
      <c r="I26" s="921"/>
      <c r="J26" s="882"/>
      <c r="K26" s="882"/>
    </row>
    <row r="27" spans="1:11">
      <c r="A27" s="880">
        <f>A26+1</f>
        <v>14</v>
      </c>
      <c r="B27" s="1116" t="s">
        <v>989</v>
      </c>
      <c r="C27" s="1117" t="s">
        <v>996</v>
      </c>
      <c r="D27" s="1118">
        <v>0</v>
      </c>
      <c r="E27" s="1119"/>
      <c r="F27" s="882"/>
      <c r="G27" s="882"/>
      <c r="H27" s="921"/>
      <c r="I27" s="921"/>
      <c r="J27" s="882"/>
      <c r="K27" s="882"/>
    </row>
    <row r="28" spans="1:11">
      <c r="A28" s="880">
        <f t="shared" ref="A28:A31" si="2">A27+1</f>
        <v>15</v>
      </c>
      <c r="B28" s="1116" t="s">
        <v>991</v>
      </c>
      <c r="C28" s="1117" t="s">
        <v>992</v>
      </c>
      <c r="D28" s="1118">
        <v>0</v>
      </c>
      <c r="E28" s="1119"/>
      <c r="F28" s="882"/>
      <c r="G28" s="882"/>
      <c r="H28" s="921"/>
      <c r="I28" s="921"/>
      <c r="J28" s="882"/>
      <c r="K28" s="882"/>
    </row>
    <row r="29" spans="1:11">
      <c r="A29" s="880">
        <f t="shared" si="2"/>
        <v>16</v>
      </c>
      <c r="B29" s="1120"/>
      <c r="C29" s="1121"/>
      <c r="D29" s="1118">
        <v>0</v>
      </c>
      <c r="E29" s="1119"/>
      <c r="F29" s="882"/>
      <c r="G29" s="882"/>
      <c r="H29" s="921"/>
      <c r="I29" s="921"/>
      <c r="J29" s="882"/>
      <c r="K29" s="882"/>
    </row>
    <row r="30" spans="1:11" ht="13.5" thickBot="1">
      <c r="A30" s="880">
        <f t="shared" si="2"/>
        <v>17</v>
      </c>
      <c r="B30" s="1120"/>
      <c r="C30" s="1121"/>
      <c r="D30" s="1122">
        <v>0</v>
      </c>
      <c r="E30" s="1123"/>
      <c r="F30" s="1124"/>
      <c r="G30" s="882"/>
      <c r="H30" s="921"/>
      <c r="I30" s="921"/>
      <c r="J30" s="1124"/>
      <c r="K30" s="882"/>
    </row>
    <row r="31" spans="1:11">
      <c r="A31" s="880">
        <f t="shared" si="2"/>
        <v>18</v>
      </c>
      <c r="B31" s="1125" t="s">
        <v>995</v>
      </c>
      <c r="C31" s="1126" t="s">
        <v>993</v>
      </c>
      <c r="D31" s="1124">
        <f>-(D27-D28+D29+D30)</f>
        <v>0</v>
      </c>
      <c r="E31" s="1127"/>
      <c r="F31" s="1128">
        <f>1-(0.21/0.35)</f>
        <v>0.4</v>
      </c>
      <c r="G31" s="1123">
        <f>D31*F31</f>
        <v>0</v>
      </c>
      <c r="H31" s="1121">
        <v>0</v>
      </c>
      <c r="I31" s="1124">
        <f>G31+H31</f>
        <v>0</v>
      </c>
      <c r="J31" s="1124">
        <f>D31+H31</f>
        <v>0</v>
      </c>
      <c r="K31" s="882"/>
    </row>
    <row r="32" spans="1:11">
      <c r="A32" s="880"/>
      <c r="B32" s="882"/>
      <c r="C32" s="882"/>
      <c r="D32" s="1135">
        <v>0</v>
      </c>
      <c r="E32" s="920"/>
      <c r="F32" s="882"/>
      <c r="G32" s="882"/>
      <c r="H32" s="882"/>
      <c r="I32" s="882"/>
      <c r="J32" s="882"/>
    </row>
    <row r="33" spans="1:10">
      <c r="A33" s="880">
        <f>A31+1</f>
        <v>19</v>
      </c>
      <c r="B33" s="1115" t="s">
        <v>925</v>
      </c>
      <c r="C33" s="882"/>
      <c r="D33" s="882"/>
      <c r="E33" s="920"/>
      <c r="F33" s="882"/>
      <c r="G33" s="882"/>
      <c r="H33" s="921"/>
      <c r="I33" s="921"/>
      <c r="J33" s="882"/>
    </row>
    <row r="34" spans="1:10">
      <c r="A34" s="880">
        <f>A33+1</f>
        <v>20</v>
      </c>
      <c r="B34" s="1116" t="s">
        <v>989</v>
      </c>
      <c r="C34" s="1117" t="s">
        <v>997</v>
      </c>
      <c r="D34" s="1118">
        <v>0</v>
      </c>
      <c r="E34" s="1119"/>
      <c r="F34" s="882"/>
      <c r="G34" s="882"/>
      <c r="H34" s="921"/>
      <c r="I34" s="921"/>
      <c r="J34" s="882"/>
    </row>
    <row r="35" spans="1:10">
      <c r="A35" s="880">
        <f t="shared" ref="A35:A38" si="3">A34+1</f>
        <v>21</v>
      </c>
      <c r="B35" s="1116" t="s">
        <v>991</v>
      </c>
      <c r="C35" s="1117" t="s">
        <v>992</v>
      </c>
      <c r="D35" s="1118">
        <v>0</v>
      </c>
      <c r="E35" s="1119"/>
      <c r="F35" s="882"/>
      <c r="G35" s="882"/>
      <c r="H35" s="921"/>
      <c r="I35" s="921"/>
      <c r="J35" s="882"/>
    </row>
    <row r="36" spans="1:10">
      <c r="A36" s="880">
        <f t="shared" si="3"/>
        <v>22</v>
      </c>
      <c r="B36" s="1120"/>
      <c r="C36" s="1121"/>
      <c r="D36" s="1118">
        <v>0</v>
      </c>
      <c r="E36" s="1119"/>
      <c r="F36" s="882"/>
      <c r="G36" s="882"/>
      <c r="H36" s="921"/>
      <c r="I36" s="921"/>
      <c r="J36" s="882"/>
    </row>
    <row r="37" spans="1:10" ht="13.5" thickBot="1">
      <c r="A37" s="880">
        <f t="shared" si="3"/>
        <v>23</v>
      </c>
      <c r="B37" s="1120"/>
      <c r="C37" s="1121"/>
      <c r="D37" s="1122">
        <v>0</v>
      </c>
      <c r="E37" s="1123"/>
      <c r="F37" s="1124"/>
      <c r="G37" s="882"/>
      <c r="H37" s="921"/>
      <c r="I37" s="921"/>
      <c r="J37" s="882"/>
    </row>
    <row r="38" spans="1:10">
      <c r="A38" s="880">
        <f t="shared" si="3"/>
        <v>24</v>
      </c>
      <c r="B38" s="1125" t="s">
        <v>998</v>
      </c>
      <c r="C38" s="1126" t="s">
        <v>993</v>
      </c>
      <c r="D38" s="1124">
        <f>-(D34-D35+D36+D37)</f>
        <v>0</v>
      </c>
      <c r="E38" s="1127"/>
      <c r="F38" s="1128">
        <f>1-(0.21/0.35)</f>
        <v>0.4</v>
      </c>
      <c r="G38" s="1123">
        <f>D38*F38</f>
        <v>0</v>
      </c>
      <c r="H38" s="1121">
        <v>0</v>
      </c>
      <c r="I38" s="1124">
        <f>G38+H38</f>
        <v>0</v>
      </c>
      <c r="J38" s="1124">
        <f>D38+H38</f>
        <v>0</v>
      </c>
    </row>
    <row r="39" spans="1:10">
      <c r="A39" s="880"/>
      <c r="B39" s="882"/>
      <c r="C39" s="882"/>
      <c r="D39" s="1135">
        <v>0</v>
      </c>
      <c r="E39" s="920"/>
      <c r="F39" s="882"/>
      <c r="G39" s="882"/>
      <c r="H39" s="882"/>
      <c r="I39" s="882"/>
      <c r="J39" s="882"/>
    </row>
    <row r="40" spans="1:10" ht="13.5" thickBot="1">
      <c r="A40" s="880">
        <f>A38+1</f>
        <v>25</v>
      </c>
      <c r="B40" s="882" t="s">
        <v>13</v>
      </c>
      <c r="C40" s="882"/>
      <c r="D40" s="1129">
        <f t="shared" ref="D40" si="4">D17+D24+D31+D38</f>
        <v>0</v>
      </c>
      <c r="E40" s="920"/>
      <c r="F40" s="882"/>
      <c r="G40" s="1129">
        <f t="shared" ref="G40:I40" si="5">G17+G24+G31+G38</f>
        <v>0</v>
      </c>
      <c r="H40" s="1129">
        <f t="shared" si="5"/>
        <v>0</v>
      </c>
      <c r="I40" s="1129">
        <f t="shared" si="5"/>
        <v>0</v>
      </c>
      <c r="J40" s="1129">
        <f>J17+J24+J31+J38</f>
        <v>0</v>
      </c>
    </row>
    <row r="41" spans="1:10" ht="13.5" thickTop="1"/>
    <row r="42" spans="1:10">
      <c r="B42" s="882" t="s">
        <v>999</v>
      </c>
    </row>
    <row r="43" spans="1:10" ht="12.75" customHeight="1">
      <c r="B43" s="882" t="s">
        <v>1000</v>
      </c>
    </row>
    <row r="44" spans="1:10">
      <c r="B44" s="882" t="s">
        <v>1001</v>
      </c>
    </row>
  </sheetData>
  <mergeCells count="3">
    <mergeCell ref="A1:J1"/>
    <mergeCell ref="A2:J2"/>
    <mergeCell ref="A3:J3"/>
  </mergeCells>
  <pageMargins left="0.7" right="0.7" top="0.75" bottom="0.75" header="0.3" footer="0.3"/>
  <pageSetup scale="48" fitToHeight="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54"/>
  <sheetViews>
    <sheetView view="pageBreakPreview" zoomScale="90" zoomScaleNormal="100" zoomScaleSheetLayoutView="90" workbookViewId="0">
      <selection activeCell="F7" sqref="F7"/>
    </sheetView>
  </sheetViews>
  <sheetFormatPr defaultColWidth="14" defaultRowHeight="13"/>
  <cols>
    <col min="1" max="1" width="5.84375" style="99" bestFit="1" customWidth="1"/>
    <col min="2" max="2" width="20.84375" style="319" customWidth="1"/>
    <col min="3" max="3" width="14.3046875" style="319" customWidth="1"/>
    <col min="4" max="4" width="14" style="319" customWidth="1"/>
    <col min="5" max="5" width="12.53515625" style="319" customWidth="1"/>
    <col min="6" max="6" width="13.3046875" style="319" customWidth="1"/>
    <col min="7" max="7" width="12.84375" style="319" customWidth="1"/>
    <col min="8" max="9" width="8.53515625" style="319" customWidth="1"/>
    <col min="10" max="10" width="13.69140625" style="319" bestFit="1" customWidth="1"/>
    <col min="11" max="11" width="12.53515625" style="319" bestFit="1" customWidth="1"/>
    <col min="12" max="12" width="11.07421875" style="319" bestFit="1" customWidth="1"/>
    <col min="13" max="13" width="12.84375" style="319" customWidth="1"/>
    <col min="14" max="14" width="14" style="319"/>
    <col min="15" max="15" width="10" style="319" bestFit="1" customWidth="1"/>
    <col min="16" max="16384" width="14" style="319"/>
  </cols>
  <sheetData>
    <row r="1" spans="1:15">
      <c r="A1" s="1235" t="s">
        <v>190</v>
      </c>
      <c r="B1" s="1235"/>
      <c r="C1" s="1235"/>
      <c r="D1" s="1235"/>
      <c r="E1" s="1235"/>
      <c r="F1" s="1235"/>
      <c r="G1" s="1235"/>
      <c r="H1" s="1235"/>
      <c r="I1" s="1235"/>
      <c r="J1" s="1235"/>
    </row>
    <row r="2" spans="1:15" ht="15" customHeight="1">
      <c r="A2" s="1262" t="s">
        <v>480</v>
      </c>
      <c r="B2" s="1262"/>
      <c r="C2" s="1262"/>
      <c r="D2" s="1262"/>
      <c r="E2" s="1262"/>
      <c r="F2" s="1262"/>
      <c r="G2" s="1262"/>
      <c r="H2" s="1262"/>
      <c r="I2" s="1262"/>
      <c r="J2" s="1262"/>
    </row>
    <row r="3" spans="1:15">
      <c r="A3" s="1237" t="str">
        <f>+'Attachment H-26'!$D$5</f>
        <v>Transource West Virginia, LLC</v>
      </c>
      <c r="B3" s="1237"/>
      <c r="C3" s="1237"/>
      <c r="D3" s="1237"/>
      <c r="E3" s="1237"/>
      <c r="F3" s="1237"/>
      <c r="G3" s="1237"/>
      <c r="H3" s="1237"/>
      <c r="I3" s="1237"/>
      <c r="J3" s="1237"/>
      <c r="K3" s="543"/>
      <c r="L3" s="543"/>
      <c r="M3" s="543"/>
      <c r="N3" s="543"/>
    </row>
    <row r="4" spans="1:15">
      <c r="B4" s="541"/>
    </row>
    <row r="5" spans="1:15">
      <c r="A5" s="260"/>
      <c r="B5" s="24" t="s">
        <v>466</v>
      </c>
      <c r="C5" s="541"/>
      <c r="F5" s="541"/>
      <c r="G5" s="541"/>
      <c r="H5" s="541"/>
      <c r="I5" s="541"/>
      <c r="J5" s="541"/>
      <c r="K5" s="269"/>
      <c r="L5" s="541"/>
      <c r="N5" s="102"/>
      <c r="O5" s="102"/>
    </row>
    <row r="6" spans="1:15" ht="16" thickBot="1">
      <c r="A6" s="260"/>
      <c r="B6" s="24"/>
      <c r="C6" s="541"/>
      <c r="D6" s="270"/>
      <c r="E6" s="270"/>
      <c r="F6" s="391" t="s">
        <v>48</v>
      </c>
      <c r="G6" s="270"/>
      <c r="H6" s="270"/>
      <c r="I6" s="270"/>
      <c r="K6" s="269"/>
      <c r="L6" s="541"/>
      <c r="N6" s="102"/>
      <c r="O6" s="102"/>
    </row>
    <row r="7" spans="1:15" ht="15.5">
      <c r="A7" s="260">
        <v>1</v>
      </c>
      <c r="B7" s="24" t="s">
        <v>290</v>
      </c>
      <c r="C7" s="24"/>
      <c r="F7" s="147">
        <v>786696.9</v>
      </c>
      <c r="G7" s="271"/>
      <c r="H7" s="270"/>
      <c r="I7" s="270"/>
      <c r="N7" s="103"/>
      <c r="O7" s="103"/>
    </row>
    <row r="8" spans="1:15" ht="15.5">
      <c r="A8" s="260"/>
      <c r="B8" s="24"/>
      <c r="C8" s="24"/>
      <c r="F8" s="158"/>
      <c r="G8" s="270"/>
      <c r="H8" s="270"/>
      <c r="I8" s="270"/>
      <c r="N8" s="103"/>
      <c r="O8" s="103"/>
    </row>
    <row r="9" spans="1:15" ht="15.5">
      <c r="A9" s="260">
        <f>+A7+1</f>
        <v>2</v>
      </c>
      <c r="B9" s="24" t="s">
        <v>291</v>
      </c>
      <c r="C9" s="24"/>
      <c r="F9" s="1150">
        <v>0</v>
      </c>
      <c r="G9" s="270"/>
      <c r="H9" s="270"/>
      <c r="I9" s="271"/>
      <c r="N9" s="102"/>
      <c r="O9" s="102"/>
    </row>
    <row r="10" spans="1:15" ht="15.5">
      <c r="A10" s="260"/>
      <c r="B10" s="24"/>
      <c r="C10" s="24"/>
      <c r="F10" s="403"/>
      <c r="G10" s="270"/>
      <c r="H10" s="270"/>
      <c r="I10" s="270"/>
      <c r="N10" s="102"/>
      <c r="O10" s="102"/>
    </row>
    <row r="11" spans="1:15" ht="15.5">
      <c r="A11" s="260">
        <f>+A9+1</f>
        <v>3</v>
      </c>
      <c r="B11" s="24" t="s">
        <v>850</v>
      </c>
      <c r="C11" s="24"/>
      <c r="F11" s="158">
        <f>+E40</f>
        <v>44323186.194153853</v>
      </c>
      <c r="G11" s="270"/>
      <c r="H11" s="270"/>
      <c r="I11" s="270"/>
    </row>
    <row r="12" spans="1:15" ht="15.5">
      <c r="A12" s="260">
        <f t="shared" ref="A12:A22" si="0">+A11+1</f>
        <v>4</v>
      </c>
      <c r="B12" s="24" t="s">
        <v>481</v>
      </c>
      <c r="C12" s="24"/>
      <c r="F12" s="1175">
        <f>-D40</f>
        <v>0</v>
      </c>
      <c r="G12" s="270"/>
      <c r="H12" s="270"/>
      <c r="I12" s="270"/>
    </row>
    <row r="13" spans="1:15" ht="15.5">
      <c r="A13" s="260">
        <f t="shared" si="0"/>
        <v>5</v>
      </c>
      <c r="B13" s="24" t="s">
        <v>491</v>
      </c>
      <c r="C13" s="24"/>
      <c r="F13" s="1175">
        <f>-F40</f>
        <v>0</v>
      </c>
      <c r="G13" s="270"/>
      <c r="H13" s="270"/>
      <c r="I13" s="270"/>
    </row>
    <row r="14" spans="1:15" ht="16" thickBot="1">
      <c r="A14" s="260">
        <f t="shared" si="0"/>
        <v>6</v>
      </c>
      <c r="B14" s="24" t="s">
        <v>492</v>
      </c>
      <c r="C14" s="24"/>
      <c r="F14" s="1153">
        <f>-G40</f>
        <v>0</v>
      </c>
      <c r="G14" s="270"/>
      <c r="H14" s="270"/>
      <c r="I14" s="270"/>
    </row>
    <row r="15" spans="1:15" ht="15.5">
      <c r="A15" s="260">
        <f t="shared" si="0"/>
        <v>7</v>
      </c>
      <c r="B15" s="24" t="s">
        <v>293</v>
      </c>
      <c r="C15" s="32" t="s">
        <v>490</v>
      </c>
      <c r="F15" s="545">
        <f>+SUM(F11:F14)</f>
        <v>44323186.194153853</v>
      </c>
      <c r="G15" s="272"/>
      <c r="H15" s="273"/>
      <c r="I15" s="272"/>
    </row>
    <row r="16" spans="1:15">
      <c r="A16" s="260"/>
      <c r="B16" s="24"/>
      <c r="C16" s="541"/>
      <c r="J16" s="403"/>
    </row>
    <row r="17" spans="1:10">
      <c r="A17" s="260"/>
      <c r="B17" s="542"/>
      <c r="C17" s="541"/>
      <c r="F17" s="541"/>
      <c r="G17" s="541"/>
      <c r="I17" s="541"/>
      <c r="J17" s="541"/>
    </row>
    <row r="18" spans="1:10" ht="13.5" thickBot="1">
      <c r="A18" s="260"/>
      <c r="B18" s="542"/>
      <c r="C18" s="541"/>
      <c r="F18" s="29" t="s">
        <v>48</v>
      </c>
      <c r="G18" s="29" t="s">
        <v>58</v>
      </c>
      <c r="H18" s="29" t="s">
        <v>57</v>
      </c>
      <c r="I18" s="29" t="s">
        <v>59</v>
      </c>
      <c r="J18" s="541"/>
    </row>
    <row r="19" spans="1:10">
      <c r="A19" s="260">
        <f>+A15+1</f>
        <v>8</v>
      </c>
      <c r="B19" s="24" t="s">
        <v>236</v>
      </c>
      <c r="C19" s="30" t="s">
        <v>824</v>
      </c>
      <c r="F19" s="193">
        <f>+C40</f>
        <v>28454343.053076919</v>
      </c>
      <c r="G19" s="874">
        <f>F19/F22</f>
        <v>0.39097704122951693</v>
      </c>
      <c r="H19" s="367">
        <f>+'9- Cost of Debt True-up'!D35</f>
        <v>2.7888962627593959E-2</v>
      </c>
      <c r="I19" s="214">
        <f>G19*H19</f>
        <v>1.090394409109726E-2</v>
      </c>
      <c r="J19" s="192" t="s">
        <v>60</v>
      </c>
    </row>
    <row r="20" spans="1:10">
      <c r="A20" s="260">
        <f t="shared" si="0"/>
        <v>9</v>
      </c>
      <c r="B20" s="24" t="s">
        <v>487</v>
      </c>
      <c r="C20" s="32" t="s">
        <v>825</v>
      </c>
      <c r="F20" s="193">
        <f>+D40</f>
        <v>0</v>
      </c>
      <c r="G20" s="874">
        <f t="shared" ref="G20" si="1">F20/$F$22</f>
        <v>0</v>
      </c>
      <c r="H20" s="367">
        <f>IFERROR(+F9/F20,0)</f>
        <v>0</v>
      </c>
      <c r="I20" s="214">
        <f>G20*H20</f>
        <v>0</v>
      </c>
      <c r="J20" s="541"/>
    </row>
    <row r="21" spans="1:10" ht="13.5" thickBot="1">
      <c r="A21" s="260">
        <f t="shared" si="0"/>
        <v>10</v>
      </c>
      <c r="B21" s="24" t="s">
        <v>276</v>
      </c>
      <c r="C21" s="32" t="s">
        <v>826</v>
      </c>
      <c r="F21" s="278">
        <f>+E40</f>
        <v>44323186.194153853</v>
      </c>
      <c r="G21" s="874">
        <f>F21/F22</f>
        <v>0.60902295877048307</v>
      </c>
      <c r="H21" s="861">
        <f>0.1+0.005</f>
        <v>0.10500000000000001</v>
      </c>
      <c r="I21" s="330">
        <f>G21*H21</f>
        <v>6.3947410670900734E-2</v>
      </c>
      <c r="J21" s="541"/>
    </row>
    <row r="22" spans="1:10">
      <c r="A22" s="260">
        <f t="shared" si="0"/>
        <v>11</v>
      </c>
      <c r="B22" s="542" t="s">
        <v>228</v>
      </c>
      <c r="C22" s="32" t="s">
        <v>489</v>
      </c>
      <c r="F22" s="193">
        <f>SUM(F19:F21)</f>
        <v>72777529.247230768</v>
      </c>
      <c r="G22" s="541" t="s">
        <v>2</v>
      </c>
      <c r="H22" s="500"/>
      <c r="I22" s="214">
        <f>SUM(I19:I21)</f>
        <v>7.4851354761998001E-2</v>
      </c>
      <c r="J22" s="192" t="s">
        <v>61</v>
      </c>
    </row>
    <row r="23" spans="1:10">
      <c r="A23" s="260"/>
    </row>
    <row r="24" spans="1:10">
      <c r="A24" s="252"/>
    </row>
    <row r="25" spans="1:10">
      <c r="C25" s="217" t="s">
        <v>196</v>
      </c>
      <c r="D25" s="217" t="s">
        <v>197</v>
      </c>
      <c r="E25" s="376" t="s">
        <v>479</v>
      </c>
      <c r="F25" s="217" t="s">
        <v>199</v>
      </c>
      <c r="G25" s="217" t="s">
        <v>201</v>
      </c>
    </row>
    <row r="26" spans="1:10" ht="45.75" customHeight="1">
      <c r="A26" s="368"/>
      <c r="B26" s="370" t="s">
        <v>475</v>
      </c>
      <c r="C26" s="358" t="s">
        <v>483</v>
      </c>
      <c r="D26" s="358" t="s">
        <v>843</v>
      </c>
      <c r="E26" s="358" t="s">
        <v>292</v>
      </c>
      <c r="F26" s="358" t="s">
        <v>484</v>
      </c>
      <c r="G26" s="358" t="s">
        <v>486</v>
      </c>
    </row>
    <row r="27" spans="1:10">
      <c r="A27" s="369">
        <f>+A22+1</f>
        <v>12</v>
      </c>
      <c r="B27" s="371" t="s">
        <v>476</v>
      </c>
      <c r="C27" s="290">
        <v>28738270.059999999</v>
      </c>
      <c r="D27" s="1168">
        <v>0</v>
      </c>
      <c r="E27" s="290">
        <v>44275721.267999992</v>
      </c>
      <c r="F27" s="1168">
        <v>0</v>
      </c>
      <c r="G27" s="1168">
        <v>0</v>
      </c>
    </row>
    <row r="28" spans="1:10">
      <c r="A28" s="369">
        <f>+A27+1</f>
        <v>13</v>
      </c>
      <c r="B28" s="372" t="s">
        <v>85</v>
      </c>
      <c r="C28" s="290">
        <v>28738270.059999999</v>
      </c>
      <c r="D28" s="1168">
        <v>0</v>
      </c>
      <c r="E28" s="290">
        <v>44612609.258000001</v>
      </c>
      <c r="F28" s="1168">
        <v>0</v>
      </c>
      <c r="G28" s="1168">
        <v>0</v>
      </c>
    </row>
    <row r="29" spans="1:10">
      <c r="A29" s="369">
        <f t="shared" ref="A29:A40" si="2">+A28+1</f>
        <v>14</v>
      </c>
      <c r="B29" s="373" t="s">
        <v>84</v>
      </c>
      <c r="C29" s="290">
        <v>28738270.059999999</v>
      </c>
      <c r="D29" s="1168">
        <v>0</v>
      </c>
      <c r="E29" s="290">
        <v>45062798.008000001</v>
      </c>
      <c r="F29" s="1168">
        <v>0</v>
      </c>
      <c r="G29" s="1168">
        <v>0</v>
      </c>
    </row>
    <row r="30" spans="1:10">
      <c r="A30" s="369">
        <f t="shared" si="2"/>
        <v>15</v>
      </c>
      <c r="B30" s="373" t="s">
        <v>83</v>
      </c>
      <c r="C30" s="290">
        <v>28474685.100000001</v>
      </c>
      <c r="D30" s="1168">
        <v>0</v>
      </c>
      <c r="E30" s="290">
        <v>45475358.258000001</v>
      </c>
      <c r="F30" s="1168">
        <v>0</v>
      </c>
      <c r="G30" s="1168">
        <v>0</v>
      </c>
    </row>
    <row r="31" spans="1:10">
      <c r="A31" s="369">
        <f t="shared" si="2"/>
        <v>16</v>
      </c>
      <c r="B31" s="372" t="s">
        <v>76</v>
      </c>
      <c r="C31" s="290">
        <v>28473405.809999999</v>
      </c>
      <c r="D31" s="1168">
        <v>0</v>
      </c>
      <c r="E31" s="290">
        <v>43870323.847999997</v>
      </c>
      <c r="F31" s="1168">
        <v>0</v>
      </c>
      <c r="G31" s="1168">
        <v>0</v>
      </c>
    </row>
    <row r="32" spans="1:10">
      <c r="A32" s="369">
        <f t="shared" si="2"/>
        <v>17</v>
      </c>
      <c r="B32" s="373" t="s">
        <v>75</v>
      </c>
      <c r="C32" s="290">
        <v>28473405.809999999</v>
      </c>
      <c r="D32" s="1168">
        <v>0</v>
      </c>
      <c r="E32" s="290">
        <v>44276699.277999997</v>
      </c>
      <c r="F32" s="1168">
        <v>0</v>
      </c>
      <c r="G32" s="1168">
        <v>0</v>
      </c>
    </row>
    <row r="33" spans="1:13">
      <c r="A33" s="369">
        <f t="shared" si="2"/>
        <v>18</v>
      </c>
      <c r="B33" s="373" t="s">
        <v>477</v>
      </c>
      <c r="C33" s="290">
        <v>28473405.809999999</v>
      </c>
      <c r="D33" s="1168">
        <v>0</v>
      </c>
      <c r="E33" s="290">
        <v>44547198.468000002</v>
      </c>
      <c r="F33" s="1168">
        <v>0</v>
      </c>
      <c r="G33" s="1168">
        <v>0</v>
      </c>
    </row>
    <row r="34" spans="1:13">
      <c r="A34" s="369">
        <f t="shared" si="2"/>
        <v>19</v>
      </c>
      <c r="B34" s="372" t="s">
        <v>82</v>
      </c>
      <c r="C34" s="290">
        <v>28473405.809999999</v>
      </c>
      <c r="D34" s="1168">
        <v>0</v>
      </c>
      <c r="E34" s="290">
        <v>44962248.188000001</v>
      </c>
      <c r="F34" s="1168">
        <v>0</v>
      </c>
      <c r="G34" s="1168">
        <v>0</v>
      </c>
    </row>
    <row r="35" spans="1:13">
      <c r="A35" s="369">
        <f t="shared" si="2"/>
        <v>20</v>
      </c>
      <c r="B35" s="373" t="s">
        <v>81</v>
      </c>
      <c r="C35" s="290">
        <v>28473405.809999999</v>
      </c>
      <c r="D35" s="1168">
        <v>0</v>
      </c>
      <c r="E35" s="290">
        <v>45376561.267999999</v>
      </c>
      <c r="F35" s="1168">
        <v>0</v>
      </c>
      <c r="G35" s="1168">
        <v>0</v>
      </c>
    </row>
    <row r="36" spans="1:13">
      <c r="A36" s="369">
        <f t="shared" si="2"/>
        <v>21</v>
      </c>
      <c r="B36" s="373" t="s">
        <v>80</v>
      </c>
      <c r="C36" s="290">
        <v>28212483.84</v>
      </c>
      <c r="D36" s="1168">
        <v>0</v>
      </c>
      <c r="E36" s="290">
        <v>43220577.828000002</v>
      </c>
      <c r="F36" s="1168">
        <v>0</v>
      </c>
      <c r="G36" s="1168">
        <v>0</v>
      </c>
    </row>
    <row r="37" spans="1:13">
      <c r="A37" s="369">
        <f t="shared" si="2"/>
        <v>22</v>
      </c>
      <c r="B37" s="372" t="s">
        <v>478</v>
      </c>
      <c r="C37" s="290">
        <v>28212483.84</v>
      </c>
      <c r="D37" s="1168">
        <v>0</v>
      </c>
      <c r="E37" s="290">
        <v>43681115.618000001</v>
      </c>
      <c r="F37" s="1168">
        <v>0</v>
      </c>
      <c r="G37" s="1168">
        <v>0</v>
      </c>
    </row>
    <row r="38" spans="1:13">
      <c r="A38" s="369">
        <f t="shared" si="2"/>
        <v>23</v>
      </c>
      <c r="B38" s="372" t="s">
        <v>79</v>
      </c>
      <c r="C38" s="290">
        <v>28212483.84</v>
      </c>
      <c r="D38" s="1168">
        <v>0</v>
      </c>
      <c r="E38" s="290">
        <v>43585582.077999994</v>
      </c>
      <c r="F38" s="1168">
        <v>0</v>
      </c>
      <c r="G38" s="1168">
        <v>0</v>
      </c>
    </row>
    <row r="39" spans="1:13">
      <c r="A39" s="369">
        <f t="shared" si="2"/>
        <v>24</v>
      </c>
      <c r="B39" s="373" t="s">
        <v>78</v>
      </c>
      <c r="C39" s="290">
        <v>28212483.84</v>
      </c>
      <c r="D39" s="1168">
        <v>0</v>
      </c>
      <c r="E39" s="290">
        <v>43254627.158</v>
      </c>
      <c r="F39" s="1168">
        <v>0</v>
      </c>
      <c r="G39" s="1168">
        <v>0</v>
      </c>
    </row>
    <row r="40" spans="1:13">
      <c r="A40" s="369">
        <f t="shared" si="2"/>
        <v>25</v>
      </c>
      <c r="B40" s="374" t="s">
        <v>624</v>
      </c>
      <c r="C40" s="593">
        <f>+SUM(C27:C39)/13</f>
        <v>28454343.053076919</v>
      </c>
      <c r="D40" s="1169">
        <f>+SUM(D27:D39)/13</f>
        <v>0</v>
      </c>
      <c r="E40" s="593">
        <f>+SUM(E27:E39)/13</f>
        <v>44323186.194153853</v>
      </c>
      <c r="F40" s="1169">
        <f>+SUM(F27:F39)/13</f>
        <v>0</v>
      </c>
      <c r="G40" s="1169">
        <f>+SUM(G27:G39)/13</f>
        <v>0</v>
      </c>
    </row>
    <row r="41" spans="1:13">
      <c r="C41" s="403"/>
      <c r="D41" s="1133">
        <v>0</v>
      </c>
      <c r="E41" s="1133"/>
      <c r="F41" s="1133">
        <v>0</v>
      </c>
      <c r="G41" s="1133">
        <v>0</v>
      </c>
    </row>
    <row r="42" spans="1:13">
      <c r="A42" s="690" t="s">
        <v>572</v>
      </c>
    </row>
    <row r="43" spans="1:13" ht="15" customHeight="1">
      <c r="A43" s="261" t="s">
        <v>62</v>
      </c>
      <c r="B43" s="1219" t="s">
        <v>488</v>
      </c>
      <c r="C43" s="1219"/>
      <c r="D43" s="1219"/>
      <c r="E43" s="1219"/>
      <c r="F43" s="1219"/>
      <c r="G43" s="1219"/>
      <c r="H43" s="1219"/>
      <c r="I43" s="1219"/>
    </row>
    <row r="44" spans="1:13" s="571" customFormat="1">
      <c r="B44" s="1219"/>
      <c r="C44" s="1219"/>
      <c r="D44" s="1219"/>
      <c r="E44" s="1219"/>
      <c r="F44" s="1219"/>
      <c r="G44" s="1219"/>
      <c r="H44" s="1219"/>
      <c r="I44" s="1219"/>
    </row>
    <row r="45" spans="1:13" s="571" customFormat="1">
      <c r="A45" s="261" t="s">
        <v>63</v>
      </c>
      <c r="B45" s="571" t="s">
        <v>405</v>
      </c>
    </row>
    <row r="46" spans="1:13" s="571" customFormat="1">
      <c r="A46" s="261" t="s">
        <v>64</v>
      </c>
      <c r="B46" s="571" t="s">
        <v>493</v>
      </c>
    </row>
    <row r="47" spans="1:13" s="571" customFormat="1">
      <c r="A47" s="322"/>
      <c r="B47" s="1261"/>
      <c r="C47" s="1261"/>
      <c r="D47" s="1261"/>
      <c r="E47" s="1261"/>
      <c r="F47" s="1261"/>
      <c r="G47" s="1261"/>
      <c r="H47" s="1261"/>
      <c r="I47" s="1261"/>
      <c r="J47" s="1261"/>
      <c r="K47" s="1261"/>
      <c r="L47" s="1261"/>
      <c r="M47" s="1261"/>
    </row>
    <row r="48" spans="1:13" s="571" customFormat="1">
      <c r="A48" s="322"/>
      <c r="B48" s="691"/>
      <c r="C48" s="691"/>
      <c r="D48" s="691"/>
      <c r="E48" s="691"/>
      <c r="F48" s="691"/>
      <c r="G48" s="691"/>
      <c r="H48" s="691"/>
      <c r="I48" s="691"/>
      <c r="J48" s="691"/>
      <c r="K48" s="691"/>
      <c r="L48" s="691"/>
      <c r="M48" s="691"/>
    </row>
    <row r="49" spans="1:13" s="571" customFormat="1">
      <c r="A49" s="322"/>
      <c r="B49" s="691"/>
      <c r="C49" s="691"/>
      <c r="D49" s="691"/>
      <c r="E49" s="691"/>
      <c r="F49" s="691"/>
      <c r="G49" s="691"/>
      <c r="H49" s="691"/>
      <c r="I49" s="691"/>
      <c r="J49" s="691"/>
      <c r="K49" s="691"/>
      <c r="L49" s="691"/>
      <c r="M49" s="691"/>
    </row>
    <row r="50" spans="1:13" s="571" customFormat="1">
      <c r="A50" s="322"/>
      <c r="B50" s="691"/>
      <c r="C50" s="691"/>
      <c r="D50" s="691"/>
      <c r="E50" s="691"/>
      <c r="F50" s="691"/>
      <c r="G50" s="691"/>
      <c r="H50" s="691"/>
      <c r="I50" s="691"/>
      <c r="J50" s="691"/>
      <c r="K50" s="691"/>
      <c r="L50" s="691"/>
      <c r="M50" s="691"/>
    </row>
    <row r="51" spans="1:13" s="571" customFormat="1">
      <c r="A51" s="322"/>
      <c r="B51" s="691"/>
      <c r="C51" s="691"/>
      <c r="D51" s="691"/>
      <c r="E51" s="691"/>
      <c r="F51" s="691"/>
      <c r="G51" s="691"/>
      <c r="H51" s="691"/>
      <c r="I51" s="691"/>
      <c r="J51" s="691"/>
      <c r="K51" s="691"/>
      <c r="L51" s="691"/>
      <c r="M51" s="691"/>
    </row>
    <row r="52" spans="1:13" s="571" customFormat="1">
      <c r="A52" s="322"/>
      <c r="B52" s="691"/>
      <c r="C52" s="691"/>
      <c r="D52" s="691"/>
      <c r="E52" s="691"/>
      <c r="F52" s="691"/>
      <c r="G52" s="691"/>
      <c r="H52" s="691"/>
      <c r="I52" s="691"/>
      <c r="J52" s="691"/>
      <c r="K52" s="691"/>
      <c r="L52" s="691"/>
      <c r="M52" s="691"/>
    </row>
    <row r="53" spans="1:13" s="571" customFormat="1">
      <c r="A53" s="322"/>
      <c r="B53" s="691"/>
      <c r="C53" s="691"/>
      <c r="D53" s="691"/>
      <c r="E53" s="691"/>
      <c r="F53" s="691"/>
      <c r="G53" s="691"/>
      <c r="H53" s="691"/>
      <c r="I53" s="691"/>
      <c r="J53" s="691"/>
      <c r="K53" s="691"/>
      <c r="L53" s="691"/>
      <c r="M53" s="691"/>
    </row>
    <row r="54" spans="1:13" s="571" customFormat="1">
      <c r="A54" s="322"/>
      <c r="B54" s="691"/>
      <c r="C54" s="691"/>
      <c r="D54" s="691"/>
      <c r="E54" s="691"/>
      <c r="F54" s="691"/>
      <c r="G54" s="691"/>
      <c r="H54" s="691"/>
      <c r="I54" s="691"/>
      <c r="J54" s="691"/>
      <c r="K54" s="691"/>
      <c r="L54" s="691"/>
      <c r="M54" s="691"/>
    </row>
  </sheetData>
  <customSheetViews>
    <customSheetView guid="{63AFAF34-E340-4B5E-A289-FFB7051CA9B6}" showPageBreaks="1" fitToPage="1" printArea="1" topLeftCell="A16">
      <selection activeCell="G19" sqref="G19"/>
      <rowBreaks count="1" manualBreakCount="1">
        <brk id="46" max="16383" man="1"/>
      </rowBreaks>
      <pageMargins left="0.25" right="0.25" top="0.75" bottom="0.75" header="0.3" footer="0.3"/>
      <pageSetup scale="76" orientation="landscape" r:id="rId1"/>
    </customSheetView>
    <customSheetView guid="{F04A2B9A-C6FE-4FEB-AD1E-2CF9AC309BE4}" fitToPage="1">
      <selection activeCell="G20" sqref="G20"/>
      <pageMargins left="0.7" right="0.7" top="0.75" bottom="0.75" header="0.3" footer="0.3"/>
      <pageSetup scale="76" orientation="landscape" r:id="rId2"/>
    </customSheetView>
  </customSheetViews>
  <mergeCells count="5">
    <mergeCell ref="B47:M47"/>
    <mergeCell ref="B43:I44"/>
    <mergeCell ref="A1:J1"/>
    <mergeCell ref="A2:J2"/>
    <mergeCell ref="A3:J3"/>
  </mergeCells>
  <phoneticPr fontId="0" type="noConversion"/>
  <pageMargins left="0.25" right="0.25" top="0.75" bottom="0.75" header="0.3" footer="0.3"/>
  <pageSetup scale="80" orientation="landscape" r:id="rId3"/>
  <rowBreaks count="1" manualBreakCount="1">
    <brk id="46"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M63"/>
  <sheetViews>
    <sheetView view="pageBreakPreview" zoomScale="80" zoomScaleNormal="80" zoomScaleSheetLayoutView="80" workbookViewId="0">
      <selection activeCell="I9" sqref="I9"/>
    </sheetView>
  </sheetViews>
  <sheetFormatPr defaultColWidth="8.84375" defaultRowHeight="15.5"/>
  <cols>
    <col min="1" max="1" width="21.84375" style="648" customWidth="1"/>
    <col min="2" max="2" width="26.3046875" style="648" customWidth="1"/>
    <col min="3" max="3" width="2.3046875" style="648" customWidth="1"/>
    <col min="4" max="4" width="18.84375" style="648" customWidth="1"/>
    <col min="5" max="5" width="1.84375" style="648" customWidth="1"/>
    <col min="6" max="6" width="18.69140625" style="648" customWidth="1"/>
    <col min="7" max="7" width="12.84375" style="648" customWidth="1"/>
    <col min="8" max="8" width="15" style="648" customWidth="1"/>
    <col min="9" max="9" width="15.84375" style="648" customWidth="1"/>
    <col min="10" max="10" width="1.4609375" style="648" customWidth="1"/>
    <col min="11" max="11" width="22.07421875" style="648" bestFit="1" customWidth="1"/>
    <col min="12" max="12" width="8.84375" style="648"/>
    <col min="13" max="13" width="8.4609375" style="648" bestFit="1" customWidth="1"/>
    <col min="14" max="16384" width="8.84375" style="648"/>
  </cols>
  <sheetData>
    <row r="1" spans="1:11" s="646" customFormat="1">
      <c r="A1" s="1235" t="s">
        <v>191</v>
      </c>
      <c r="B1" s="1235"/>
      <c r="C1" s="1235"/>
      <c r="D1" s="1235"/>
      <c r="E1" s="1235"/>
      <c r="F1" s="1235"/>
      <c r="G1" s="1235"/>
      <c r="H1" s="1235"/>
      <c r="I1" s="1235"/>
      <c r="J1" s="1235"/>
      <c r="K1" s="1235"/>
    </row>
    <row r="2" spans="1:11" s="646" customFormat="1">
      <c r="A2" s="1236" t="s">
        <v>698</v>
      </c>
      <c r="B2" s="1236"/>
      <c r="C2" s="1236"/>
      <c r="D2" s="1236"/>
      <c r="E2" s="1236"/>
      <c r="F2" s="1236"/>
      <c r="G2" s="1236"/>
      <c r="H2" s="1236"/>
      <c r="I2" s="1236"/>
      <c r="J2" s="1236"/>
      <c r="K2" s="1236"/>
    </row>
    <row r="3" spans="1:11" s="646" customFormat="1" ht="18" customHeight="1">
      <c r="A3" s="1237" t="str">
        <f>+'Attachment H-26'!D5</f>
        <v>Transource West Virginia, LLC</v>
      </c>
      <c r="B3" s="1237"/>
      <c r="C3" s="1237"/>
      <c r="D3" s="1237"/>
      <c r="E3" s="1237"/>
      <c r="F3" s="1237"/>
      <c r="G3" s="1237"/>
      <c r="H3" s="1237"/>
      <c r="I3" s="1237"/>
      <c r="J3" s="1237"/>
      <c r="K3" s="1237"/>
    </row>
    <row r="4" spans="1:11">
      <c r="A4" s="647"/>
      <c r="B4" s="647"/>
      <c r="C4" s="647"/>
      <c r="D4" s="647"/>
      <c r="E4" s="647"/>
      <c r="F4" s="647"/>
      <c r="G4" s="647"/>
      <c r="H4" s="647"/>
      <c r="I4" s="647"/>
      <c r="J4" s="647"/>
      <c r="K4" s="647"/>
    </row>
    <row r="5" spans="1:11">
      <c r="A5" s="647"/>
      <c r="B5" s="647"/>
      <c r="C5" s="647"/>
      <c r="D5" s="647"/>
      <c r="E5" s="647"/>
      <c r="F5" s="647"/>
      <c r="G5" s="647"/>
      <c r="H5" s="647"/>
      <c r="I5" s="647"/>
      <c r="J5" s="647"/>
      <c r="K5" s="647"/>
    </row>
    <row r="6" spans="1:11" s="570" customFormat="1" ht="13.5" thickBot="1">
      <c r="A6" s="657">
        <v>2024</v>
      </c>
      <c r="B6" s="658"/>
      <c r="C6" s="658"/>
      <c r="D6" s="819">
        <f>+A6</f>
        <v>2024</v>
      </c>
      <c r="E6" s="659"/>
      <c r="F6" s="659"/>
      <c r="G6" s="659"/>
      <c r="H6" s="659"/>
      <c r="J6" s="659"/>
      <c r="K6" s="659"/>
    </row>
    <row r="7" spans="1:11" s="570" customFormat="1" ht="26">
      <c r="A7" s="660" t="s">
        <v>785</v>
      </c>
      <c r="B7" s="659"/>
      <c r="C7" s="659"/>
      <c r="D7" s="660" t="s">
        <v>784</v>
      </c>
      <c r="E7" s="659"/>
      <c r="F7" s="659"/>
      <c r="G7" s="660" t="s">
        <v>681</v>
      </c>
      <c r="J7" s="659"/>
      <c r="K7" s="659"/>
    </row>
    <row r="8" spans="1:11" s="570" customFormat="1" ht="13">
      <c r="A8" s="661"/>
      <c r="B8" s="659"/>
      <c r="C8" s="659"/>
      <c r="D8" s="661"/>
      <c r="E8" s="659"/>
      <c r="F8" s="659"/>
      <c r="G8" s="662"/>
      <c r="J8" s="659"/>
      <c r="K8" s="659"/>
    </row>
    <row r="9" spans="1:11" s="570" customFormat="1" ht="13.5" thickBot="1">
      <c r="A9" s="816">
        <v>10204008.285426909</v>
      </c>
      <c r="B9" s="664" t="s">
        <v>682</v>
      </c>
      <c r="C9" s="665"/>
      <c r="D9" s="663">
        <f>'3-Project True-up'!H29</f>
        <v>9566831.1498403251</v>
      </c>
      <c r="E9" s="666"/>
      <c r="F9" s="664" t="s">
        <v>683</v>
      </c>
      <c r="G9" s="667">
        <f>IF(D9=0,0,A9-D9)</f>
        <v>637177.13558658399</v>
      </c>
      <c r="J9" s="659"/>
      <c r="K9" s="659"/>
    </row>
    <row r="10" spans="1:11" s="570" customFormat="1" ht="13">
      <c r="A10" s="666"/>
      <c r="B10" s="665"/>
      <c r="C10" s="665"/>
      <c r="D10" s="666"/>
      <c r="E10" s="666"/>
      <c r="F10" s="665"/>
      <c r="G10" s="666"/>
      <c r="H10" s="659"/>
      <c r="I10" s="659"/>
      <c r="J10" s="659"/>
      <c r="K10" s="659"/>
    </row>
    <row r="11" spans="1:11" s="570" customFormat="1" ht="13">
      <c r="A11" s="666" t="s">
        <v>827</v>
      </c>
      <c r="B11" s="665"/>
      <c r="C11" s="665"/>
      <c r="D11" s="666"/>
      <c r="E11" s="666"/>
      <c r="F11" s="665"/>
      <c r="G11" s="666"/>
      <c r="H11" s="659"/>
      <c r="I11" s="659"/>
      <c r="J11" s="659"/>
      <c r="K11" s="659"/>
    </row>
    <row r="12" spans="1:11" s="570" customFormat="1" ht="13">
      <c r="A12" s="666" t="s">
        <v>828</v>
      </c>
      <c r="B12" s="665"/>
      <c r="C12" s="665"/>
      <c r="D12" s="666"/>
      <c r="E12" s="666"/>
      <c r="F12" s="665"/>
      <c r="G12" s="666"/>
      <c r="H12" s="659"/>
      <c r="I12" s="659"/>
      <c r="J12" s="659"/>
      <c r="K12" s="659"/>
    </row>
    <row r="13" spans="1:11" s="570" customFormat="1" ht="13">
      <c r="A13" s="666"/>
      <c r="B13" s="665"/>
      <c r="C13" s="665"/>
      <c r="D13" s="666"/>
      <c r="E13" s="666"/>
      <c r="F13" s="665"/>
      <c r="G13" s="666"/>
      <c r="H13" s="659"/>
      <c r="I13" s="659"/>
      <c r="J13" s="659"/>
      <c r="K13" s="659"/>
    </row>
    <row r="14" spans="1:11" s="570" customFormat="1" ht="13.5" thickBot="1">
      <c r="A14" s="668"/>
      <c r="B14" s="669"/>
      <c r="C14" s="669"/>
      <c r="D14" s="668"/>
      <c r="E14" s="668"/>
      <c r="F14" s="669"/>
      <c r="G14" s="668"/>
      <c r="H14" s="670"/>
      <c r="I14" s="670"/>
      <c r="J14" s="670"/>
      <c r="K14" s="670"/>
    </row>
    <row r="15" spans="1:11" s="570" customFormat="1" ht="8.25" customHeight="1">
      <c r="A15" s="671"/>
      <c r="B15" s="665"/>
      <c r="C15" s="665"/>
      <c r="D15" s="666"/>
      <c r="E15" s="666"/>
      <c r="F15" s="665"/>
      <c r="G15" s="666"/>
      <c r="H15" s="659"/>
      <c r="I15" s="659"/>
      <c r="J15" s="659"/>
      <c r="K15" s="659"/>
    </row>
    <row r="16" spans="1:11" s="570" customFormat="1" ht="53.25" customHeight="1">
      <c r="A16" s="672" t="s">
        <v>684</v>
      </c>
      <c r="B16" s="665"/>
      <c r="C16" s="665"/>
      <c r="D16" s="673" t="s">
        <v>685</v>
      </c>
      <c r="E16" s="666"/>
      <c r="F16" s="673" t="s">
        <v>759</v>
      </c>
      <c r="G16" s="664" t="s">
        <v>686</v>
      </c>
      <c r="H16" s="674" t="s">
        <v>687</v>
      </c>
      <c r="I16" s="673" t="s">
        <v>688</v>
      </c>
      <c r="J16" s="675"/>
      <c r="K16" s="673" t="s">
        <v>689</v>
      </c>
    </row>
    <row r="17" spans="1:11" s="570" customFormat="1" ht="13">
      <c r="A17" s="672"/>
      <c r="B17" s="665"/>
      <c r="C17" s="665"/>
      <c r="D17" s="659"/>
      <c r="E17" s="676"/>
      <c r="F17" s="677">
        <f>+'6a - True-up Interest Rate'!E30</f>
        <v>6.9225490196078423E-3</v>
      </c>
      <c r="G17" s="666"/>
      <c r="H17" s="659"/>
      <c r="I17" s="659"/>
      <c r="J17" s="659"/>
      <c r="K17" s="659"/>
    </row>
    <row r="18" spans="1:11" s="570" customFormat="1" ht="13">
      <c r="A18" s="672"/>
      <c r="B18" s="665"/>
      <c r="C18" s="665"/>
      <c r="D18" s="659"/>
      <c r="E18" s="676"/>
      <c r="F18" s="676"/>
      <c r="G18" s="666"/>
      <c r="H18" s="659"/>
      <c r="I18" s="659"/>
      <c r="J18" s="659"/>
      <c r="K18" s="659"/>
    </row>
    <row r="19" spans="1:11" s="570" customFormat="1" ht="13">
      <c r="A19" s="672" t="s">
        <v>690</v>
      </c>
      <c r="B19" s="665"/>
      <c r="C19" s="665"/>
      <c r="D19" s="659"/>
      <c r="E19" s="676"/>
      <c r="F19" s="676"/>
      <c r="G19" s="666"/>
      <c r="H19" s="659"/>
      <c r="I19" s="659"/>
      <c r="J19" s="659"/>
      <c r="K19" s="659"/>
    </row>
    <row r="20" spans="1:11" s="570" customFormat="1" ht="13">
      <c r="A20" s="678" t="s">
        <v>2</v>
      </c>
      <c r="B20" s="665"/>
      <c r="C20" s="665"/>
      <c r="D20" s="665"/>
      <c r="E20" s="665"/>
      <c r="F20" s="665" t="s">
        <v>2</v>
      </c>
      <c r="G20" s="659"/>
      <c r="H20" s="659"/>
      <c r="I20" s="659"/>
      <c r="J20" s="659"/>
      <c r="K20" s="659"/>
    </row>
    <row r="21" spans="1:11" s="570" customFormat="1" ht="13">
      <c r="A21" s="679"/>
      <c r="B21" s="665"/>
      <c r="C21" s="665"/>
      <c r="D21" s="665"/>
      <c r="E21" s="665"/>
      <c r="F21" s="659"/>
      <c r="G21" s="659"/>
      <c r="H21" s="664"/>
      <c r="I21" s="665"/>
      <c r="J21" s="665"/>
      <c r="K21" s="665"/>
    </row>
    <row r="22" spans="1:11" s="570" customFormat="1" ht="13">
      <c r="A22" s="679" t="s">
        <v>691</v>
      </c>
      <c r="B22" s="665"/>
      <c r="C22" s="665"/>
      <c r="D22" s="665"/>
      <c r="E22" s="665"/>
      <c r="F22" s="659"/>
      <c r="G22" s="659"/>
      <c r="H22" s="664" t="s">
        <v>692</v>
      </c>
      <c r="I22" s="665"/>
      <c r="J22" s="665"/>
      <c r="K22" s="665"/>
    </row>
    <row r="23" spans="1:11" s="570" customFormat="1" ht="13">
      <c r="A23" s="659" t="s">
        <v>85</v>
      </c>
      <c r="B23" s="680" t="str">
        <f>"Year "&amp;A6</f>
        <v>Year 2024</v>
      </c>
      <c r="C23" s="659"/>
      <c r="D23" s="844">
        <f>+G9/12</f>
        <v>53098.094632215332</v>
      </c>
      <c r="E23" s="681"/>
      <c r="F23" s="682">
        <f>+F17</f>
        <v>6.9225490196078423E-3</v>
      </c>
      <c r="G23" s="681">
        <v>12</v>
      </c>
      <c r="H23" s="844">
        <f>F23*D23*G23*-1</f>
        <v>-4410.8899552714402</v>
      </c>
      <c r="I23" s="844"/>
      <c r="J23" s="844"/>
      <c r="K23" s="844">
        <f>(-H23+D23)*-1</f>
        <v>-57508.984587486775</v>
      </c>
    </row>
    <row r="24" spans="1:11" s="570" customFormat="1" ht="13">
      <c r="A24" s="659" t="s">
        <v>84</v>
      </c>
      <c r="B24" s="680" t="str">
        <f>+B23</f>
        <v>Year 2024</v>
      </c>
      <c r="C24" s="659"/>
      <c r="D24" s="844">
        <f>+D23</f>
        <v>53098.094632215332</v>
      </c>
      <c r="E24" s="681"/>
      <c r="F24" s="682">
        <f>+F23</f>
        <v>6.9225490196078423E-3</v>
      </c>
      <c r="G24" s="362">
        <f t="shared" ref="G24:G34" si="0">+G23-1</f>
        <v>11</v>
      </c>
      <c r="H24" s="844">
        <f t="shared" ref="H24:H34" si="1">F24*D24*G24*-1</f>
        <v>-4043.3157923321533</v>
      </c>
      <c r="I24" s="844"/>
      <c r="J24" s="844"/>
      <c r="K24" s="844">
        <f t="shared" ref="K24:K34" si="2">(-H24+D24)*-1</f>
        <v>-57141.410424547488</v>
      </c>
    </row>
    <row r="25" spans="1:11" s="570" customFormat="1" ht="13">
      <c r="A25" s="659" t="s">
        <v>83</v>
      </c>
      <c r="B25" s="680" t="str">
        <f t="shared" ref="B25:B34" si="3">+B24</f>
        <v>Year 2024</v>
      </c>
      <c r="C25" s="659"/>
      <c r="D25" s="844">
        <f t="shared" ref="D25:D34" si="4">+D24</f>
        <v>53098.094632215332</v>
      </c>
      <c r="E25" s="681"/>
      <c r="F25" s="682">
        <f t="shared" ref="F25:F34" si="5">+F24</f>
        <v>6.9225490196078423E-3</v>
      </c>
      <c r="G25" s="362">
        <f t="shared" si="0"/>
        <v>10</v>
      </c>
      <c r="H25" s="844">
        <f t="shared" si="1"/>
        <v>-3675.7416293928668</v>
      </c>
      <c r="I25" s="844"/>
      <c r="J25" s="844"/>
      <c r="K25" s="844">
        <f t="shared" si="2"/>
        <v>-56773.836261608201</v>
      </c>
    </row>
    <row r="26" spans="1:11" s="570" customFormat="1" ht="13">
      <c r="A26" s="659" t="s">
        <v>76</v>
      </c>
      <c r="B26" s="680" t="str">
        <f t="shared" si="3"/>
        <v>Year 2024</v>
      </c>
      <c r="C26" s="659"/>
      <c r="D26" s="844">
        <f t="shared" si="4"/>
        <v>53098.094632215332</v>
      </c>
      <c r="E26" s="681"/>
      <c r="F26" s="682">
        <f t="shared" si="5"/>
        <v>6.9225490196078423E-3</v>
      </c>
      <c r="G26" s="362">
        <f t="shared" si="0"/>
        <v>9</v>
      </c>
      <c r="H26" s="844">
        <f t="shared" si="1"/>
        <v>-3308.1674664535803</v>
      </c>
      <c r="I26" s="844"/>
      <c r="J26" s="844"/>
      <c r="K26" s="844">
        <f t="shared" si="2"/>
        <v>-56406.262098668914</v>
      </c>
    </row>
    <row r="27" spans="1:11" s="570" customFormat="1" ht="13">
      <c r="A27" s="659" t="s">
        <v>75</v>
      </c>
      <c r="B27" s="680" t="str">
        <f t="shared" si="3"/>
        <v>Year 2024</v>
      </c>
      <c r="C27" s="659"/>
      <c r="D27" s="844">
        <f t="shared" si="4"/>
        <v>53098.094632215332</v>
      </c>
      <c r="E27" s="681"/>
      <c r="F27" s="682">
        <f t="shared" si="5"/>
        <v>6.9225490196078423E-3</v>
      </c>
      <c r="G27" s="362">
        <f t="shared" si="0"/>
        <v>8</v>
      </c>
      <c r="H27" s="844">
        <f t="shared" si="1"/>
        <v>-2940.5933035142934</v>
      </c>
      <c r="I27" s="844"/>
      <c r="J27" s="844"/>
      <c r="K27" s="844">
        <f t="shared" si="2"/>
        <v>-56038.687935729627</v>
      </c>
    </row>
    <row r="28" spans="1:11" s="570" customFormat="1" ht="13">
      <c r="A28" s="659" t="s">
        <v>95</v>
      </c>
      <c r="B28" s="680" t="str">
        <f t="shared" si="3"/>
        <v>Year 2024</v>
      </c>
      <c r="C28" s="659"/>
      <c r="D28" s="844">
        <f t="shared" si="4"/>
        <v>53098.094632215332</v>
      </c>
      <c r="E28" s="681"/>
      <c r="F28" s="682">
        <f t="shared" si="5"/>
        <v>6.9225490196078423E-3</v>
      </c>
      <c r="G28" s="362">
        <f t="shared" si="0"/>
        <v>7</v>
      </c>
      <c r="H28" s="844">
        <f t="shared" si="1"/>
        <v>-2573.0191405750065</v>
      </c>
      <c r="I28" s="844"/>
      <c r="J28" s="844"/>
      <c r="K28" s="844">
        <f t="shared" si="2"/>
        <v>-55671.113772790341</v>
      </c>
    </row>
    <row r="29" spans="1:11" s="570" customFormat="1" ht="13">
      <c r="A29" s="659" t="s">
        <v>82</v>
      </c>
      <c r="B29" s="680" t="str">
        <f t="shared" si="3"/>
        <v>Year 2024</v>
      </c>
      <c r="C29" s="659"/>
      <c r="D29" s="844">
        <f t="shared" si="4"/>
        <v>53098.094632215332</v>
      </c>
      <c r="E29" s="681"/>
      <c r="F29" s="682">
        <f t="shared" si="5"/>
        <v>6.9225490196078423E-3</v>
      </c>
      <c r="G29" s="362">
        <f t="shared" si="0"/>
        <v>6</v>
      </c>
      <c r="H29" s="844">
        <f t="shared" si="1"/>
        <v>-2205.4449776357201</v>
      </c>
      <c r="I29" s="844"/>
      <c r="J29" s="844"/>
      <c r="K29" s="844">
        <f t="shared" si="2"/>
        <v>-55303.539609851054</v>
      </c>
    </row>
    <row r="30" spans="1:11" s="570" customFormat="1" ht="13">
      <c r="A30" s="659" t="s">
        <v>81</v>
      </c>
      <c r="B30" s="680" t="str">
        <f t="shared" si="3"/>
        <v>Year 2024</v>
      </c>
      <c r="C30" s="659"/>
      <c r="D30" s="844">
        <f t="shared" si="4"/>
        <v>53098.094632215332</v>
      </c>
      <c r="E30" s="681"/>
      <c r="F30" s="682">
        <f t="shared" si="5"/>
        <v>6.9225490196078423E-3</v>
      </c>
      <c r="G30" s="362">
        <f t="shared" si="0"/>
        <v>5</v>
      </c>
      <c r="H30" s="844">
        <f t="shared" si="1"/>
        <v>-1837.8708146964334</v>
      </c>
      <c r="I30" s="844"/>
      <c r="J30" s="844"/>
      <c r="K30" s="844">
        <f t="shared" si="2"/>
        <v>-54935.965446911767</v>
      </c>
    </row>
    <row r="31" spans="1:11" s="570" customFormat="1" ht="13">
      <c r="A31" s="659" t="s">
        <v>80</v>
      </c>
      <c r="B31" s="680" t="str">
        <f t="shared" si="3"/>
        <v>Year 2024</v>
      </c>
      <c r="C31" s="659"/>
      <c r="D31" s="844">
        <f t="shared" si="4"/>
        <v>53098.094632215332</v>
      </c>
      <c r="E31" s="681"/>
      <c r="F31" s="682">
        <f t="shared" si="5"/>
        <v>6.9225490196078423E-3</v>
      </c>
      <c r="G31" s="362">
        <f t="shared" si="0"/>
        <v>4</v>
      </c>
      <c r="H31" s="844">
        <f t="shared" si="1"/>
        <v>-1470.2966517571467</v>
      </c>
      <c r="I31" s="844"/>
      <c r="J31" s="844"/>
      <c r="K31" s="844">
        <f t="shared" si="2"/>
        <v>-54568.39128397248</v>
      </c>
    </row>
    <row r="32" spans="1:11" s="570" customFormat="1" ht="13">
      <c r="A32" s="659" t="s">
        <v>86</v>
      </c>
      <c r="B32" s="680" t="str">
        <f t="shared" si="3"/>
        <v>Year 2024</v>
      </c>
      <c r="C32" s="659"/>
      <c r="D32" s="844">
        <f t="shared" si="4"/>
        <v>53098.094632215332</v>
      </c>
      <c r="E32" s="681"/>
      <c r="F32" s="682">
        <f t="shared" si="5"/>
        <v>6.9225490196078423E-3</v>
      </c>
      <c r="G32" s="362">
        <f t="shared" si="0"/>
        <v>3</v>
      </c>
      <c r="H32" s="844">
        <f t="shared" si="1"/>
        <v>-1102.72248881786</v>
      </c>
      <c r="I32" s="844"/>
      <c r="J32" s="844"/>
      <c r="K32" s="844">
        <f t="shared" si="2"/>
        <v>-54200.817121033193</v>
      </c>
    </row>
    <row r="33" spans="1:13" s="570" customFormat="1" ht="13">
      <c r="A33" s="659" t="s">
        <v>79</v>
      </c>
      <c r="B33" s="680" t="str">
        <f t="shared" si="3"/>
        <v>Year 2024</v>
      </c>
      <c r="C33" s="659"/>
      <c r="D33" s="844">
        <f>+D32</f>
        <v>53098.094632215332</v>
      </c>
      <c r="E33" s="681"/>
      <c r="F33" s="682">
        <f>+F32</f>
        <v>6.9225490196078423E-3</v>
      </c>
      <c r="G33" s="362">
        <f t="shared" si="0"/>
        <v>2</v>
      </c>
      <c r="H33" s="844">
        <f t="shared" si="1"/>
        <v>-735.14832587857336</v>
      </c>
      <c r="I33" s="844"/>
      <c r="J33" s="844"/>
      <c r="K33" s="844">
        <f t="shared" si="2"/>
        <v>-53833.242958093906</v>
      </c>
    </row>
    <row r="34" spans="1:13" s="570" customFormat="1" ht="13">
      <c r="A34" s="659" t="s">
        <v>78</v>
      </c>
      <c r="B34" s="680" t="str">
        <f t="shared" si="3"/>
        <v>Year 2024</v>
      </c>
      <c r="C34" s="659"/>
      <c r="D34" s="844">
        <f t="shared" si="4"/>
        <v>53098.094632215332</v>
      </c>
      <c r="E34" s="681"/>
      <c r="F34" s="682">
        <f t="shared" si="5"/>
        <v>6.9225490196078423E-3</v>
      </c>
      <c r="G34" s="362">
        <f t="shared" si="0"/>
        <v>1</v>
      </c>
      <c r="H34" s="846">
        <f t="shared" si="1"/>
        <v>-367.57416293928668</v>
      </c>
      <c r="I34" s="844"/>
      <c r="J34" s="844"/>
      <c r="K34" s="844">
        <f t="shared" si="2"/>
        <v>-53465.668795154619</v>
      </c>
    </row>
    <row r="35" spans="1:13" s="570" customFormat="1" ht="13">
      <c r="A35" s="659"/>
      <c r="B35" s="659"/>
      <c r="C35" s="659"/>
      <c r="D35" s="844"/>
      <c r="E35" s="681"/>
      <c r="F35" s="682"/>
      <c r="G35" s="362"/>
      <c r="H35" s="844">
        <f>SUM(H23:H34)</f>
        <v>-28670.784709264364</v>
      </c>
      <c r="I35" s="844"/>
      <c r="J35" s="844"/>
      <c r="K35" s="845">
        <f>SUM(K23:K34)</f>
        <v>-665847.92029584828</v>
      </c>
    </row>
    <row r="36" spans="1:13" s="570" customFormat="1" ht="13">
      <c r="A36" s="659"/>
      <c r="B36" s="659"/>
      <c r="C36" s="659"/>
      <c r="D36" s="844"/>
      <c r="E36" s="681"/>
      <c r="F36" s="682"/>
      <c r="G36" s="681"/>
      <c r="H36" s="681"/>
      <c r="I36" s="681" t="s">
        <v>2</v>
      </c>
      <c r="J36" s="681"/>
      <c r="K36" s="572"/>
    </row>
    <row r="37" spans="1:13" s="570" customFormat="1" ht="13">
      <c r="A37" s="659"/>
      <c r="B37" s="659"/>
      <c r="C37" s="659"/>
      <c r="D37" s="844"/>
      <c r="E37" s="666"/>
      <c r="F37" s="682"/>
      <c r="G37" s="681"/>
      <c r="H37" s="684" t="s">
        <v>693</v>
      </c>
      <c r="I37" s="681"/>
      <c r="J37" s="681"/>
      <c r="K37" s="681"/>
    </row>
    <row r="38" spans="1:13" s="570" customFormat="1" ht="13">
      <c r="A38" s="659" t="s">
        <v>845</v>
      </c>
      <c r="B38" s="680" t="str">
        <f>"Year "&amp;$A$6+1</f>
        <v>Year 2025</v>
      </c>
      <c r="C38" s="659"/>
      <c r="D38" s="844">
        <f>K35</f>
        <v>-665847.92029584828</v>
      </c>
      <c r="E38" s="666"/>
      <c r="F38" s="682">
        <f>+F34</f>
        <v>6.9225490196078423E-3</v>
      </c>
      <c r="G38" s="681">
        <v>12</v>
      </c>
      <c r="H38" s="681">
        <f>+G38*F38*D38</f>
        <v>-55312.378414223342</v>
      </c>
      <c r="I38" s="681"/>
      <c r="J38" s="681"/>
      <c r="K38" s="683">
        <f>+D38+H38</f>
        <v>-721160.2987100716</v>
      </c>
    </row>
    <row r="39" spans="1:13" s="570" customFormat="1" ht="13">
      <c r="A39" s="659"/>
      <c r="B39" s="659"/>
      <c r="C39" s="659"/>
      <c r="D39" s="844"/>
      <c r="E39" s="666"/>
      <c r="F39" s="682"/>
      <c r="G39" s="659"/>
      <c r="H39" s="681"/>
      <c r="I39" s="681"/>
      <c r="J39" s="681"/>
      <c r="K39" s="681"/>
    </row>
    <row r="40" spans="1:13" s="570" customFormat="1" ht="13">
      <c r="A40" s="685" t="s">
        <v>694</v>
      </c>
      <c r="B40" s="659"/>
      <c r="C40" s="659"/>
      <c r="D40" s="844"/>
      <c r="E40" s="681"/>
      <c r="F40" s="682"/>
      <c r="G40" s="659"/>
      <c r="H40" s="684" t="s">
        <v>692</v>
      </c>
      <c r="I40" s="681"/>
      <c r="J40" s="681"/>
      <c r="K40" s="681"/>
    </row>
    <row r="41" spans="1:13" s="570" customFormat="1" ht="13">
      <c r="A41" s="659" t="s">
        <v>85</v>
      </c>
      <c r="B41" s="680" t="str">
        <f>"Year "&amp;$A$6+2</f>
        <v>Year 2026</v>
      </c>
      <c r="C41" s="659"/>
      <c r="D41" s="845">
        <f>-K38</f>
        <v>721160.2987100716</v>
      </c>
      <c r="E41" s="666"/>
      <c r="F41" s="682">
        <f>+F34</f>
        <v>6.9225490196078423E-3</v>
      </c>
      <c r="G41" s="659"/>
      <c r="H41" s="844">
        <f xml:space="preserve"> -F41*D41</f>
        <v>-4992.2675188155044</v>
      </c>
      <c r="I41" s="844">
        <f>PMT(F41,12,K$38)</f>
        <v>62835.033511435715</v>
      </c>
      <c r="J41" s="844"/>
      <c r="K41" s="844">
        <f>(+D41+D41*F41-I41)*-1</f>
        <v>-663317.53271745134</v>
      </c>
      <c r="L41" s="686"/>
      <c r="M41" s="687"/>
    </row>
    <row r="42" spans="1:13" s="570" customFormat="1" ht="13">
      <c r="A42" s="659" t="s">
        <v>84</v>
      </c>
      <c r="B42" s="680" t="str">
        <f>+B41</f>
        <v>Year 2026</v>
      </c>
      <c r="C42" s="659"/>
      <c r="D42" s="844">
        <f>-K41</f>
        <v>663317.53271745134</v>
      </c>
      <c r="E42" s="666"/>
      <c r="F42" s="682">
        <f>+F41</f>
        <v>6.9225490196078423E-3</v>
      </c>
      <c r="G42" s="659"/>
      <c r="H42" s="844">
        <f t="shared" ref="H42:H52" si="6" xml:space="preserve"> -F42*D42</f>
        <v>-4591.8481358018853</v>
      </c>
      <c r="I42" s="844">
        <f>I41</f>
        <v>62835.033511435715</v>
      </c>
      <c r="J42" s="844"/>
      <c r="K42" s="844">
        <f t="shared" ref="K42:K52" si="7">(+D42+D42*F42-I42)*-1</f>
        <v>-605074.34734181745</v>
      </c>
      <c r="L42" s="686"/>
      <c r="M42" s="687"/>
    </row>
    <row r="43" spans="1:13" s="570" customFormat="1" ht="13">
      <c r="A43" s="659" t="s">
        <v>83</v>
      </c>
      <c r="B43" s="680" t="str">
        <f>+B42</f>
        <v>Year 2026</v>
      </c>
      <c r="C43" s="659"/>
      <c r="D43" s="844">
        <f t="shared" ref="D43:D52" si="8">-K42</f>
        <v>605074.34734181745</v>
      </c>
      <c r="E43" s="666"/>
      <c r="F43" s="682">
        <f t="shared" ref="F43:F52" si="9">+F42</f>
        <v>6.9225490196078423E-3</v>
      </c>
      <c r="G43" s="659"/>
      <c r="H43" s="844">
        <f t="shared" si="6"/>
        <v>-4188.6568299809533</v>
      </c>
      <c r="I43" s="844">
        <f t="shared" ref="I43:I52" si="10">I42</f>
        <v>62835.033511435715</v>
      </c>
      <c r="J43" s="844"/>
      <c r="K43" s="844">
        <f t="shared" si="7"/>
        <v>-546427.97066036263</v>
      </c>
      <c r="L43" s="686"/>
      <c r="M43" s="687"/>
    </row>
    <row r="44" spans="1:13" s="570" customFormat="1" ht="13">
      <c r="A44" s="659" t="s">
        <v>76</v>
      </c>
      <c r="B44" s="680" t="str">
        <f>+B43</f>
        <v>Year 2026</v>
      </c>
      <c r="C44" s="659"/>
      <c r="D44" s="844">
        <f t="shared" si="8"/>
        <v>546427.97066036263</v>
      </c>
      <c r="E44" s="666"/>
      <c r="F44" s="682">
        <f t="shared" si="9"/>
        <v>6.9225490196078423E-3</v>
      </c>
      <c r="G44" s="659"/>
      <c r="H44" s="844">
        <f t="shared" si="6"/>
        <v>-3782.6744125811961</v>
      </c>
      <c r="I44" s="844">
        <f t="shared" si="10"/>
        <v>62835.033511435715</v>
      </c>
      <c r="J44" s="844"/>
      <c r="K44" s="844">
        <f t="shared" si="7"/>
        <v>-487375.61156150803</v>
      </c>
      <c r="L44" s="686"/>
      <c r="M44" s="687"/>
    </row>
    <row r="45" spans="1:13" s="570" customFormat="1" ht="13">
      <c r="A45" s="659" t="s">
        <v>75</v>
      </c>
      <c r="B45" s="680" t="str">
        <f>+B44</f>
        <v>Year 2026</v>
      </c>
      <c r="C45" s="659"/>
      <c r="D45" s="844">
        <f t="shared" si="8"/>
        <v>487375.61156150803</v>
      </c>
      <c r="E45" s="666"/>
      <c r="F45" s="682">
        <f t="shared" si="9"/>
        <v>6.9225490196078423E-3</v>
      </c>
      <c r="G45" s="659"/>
      <c r="H45" s="844">
        <f t="shared" si="6"/>
        <v>-3373.88156199589</v>
      </c>
      <c r="I45" s="844">
        <f t="shared" si="10"/>
        <v>62835.033511435715</v>
      </c>
      <c r="J45" s="844"/>
      <c r="K45" s="844">
        <f t="shared" si="7"/>
        <v>-427914.4596120682</v>
      </c>
      <c r="L45" s="686"/>
      <c r="M45" s="687"/>
    </row>
    <row r="46" spans="1:13" s="570" customFormat="1" ht="13">
      <c r="A46" s="659" t="s">
        <v>95</v>
      </c>
      <c r="B46" s="680" t="str">
        <f>B45</f>
        <v>Year 2026</v>
      </c>
      <c r="C46" s="659"/>
      <c r="D46" s="844">
        <f t="shared" si="8"/>
        <v>427914.4596120682</v>
      </c>
      <c r="E46" s="666"/>
      <c r="F46" s="682">
        <f t="shared" si="9"/>
        <v>6.9225490196078423E-3</v>
      </c>
      <c r="G46" s="659"/>
      <c r="H46" s="844">
        <f t="shared" si="6"/>
        <v>-2962.2588228635423</v>
      </c>
      <c r="I46" s="844">
        <f t="shared" si="10"/>
        <v>62835.033511435715</v>
      </c>
      <c r="J46" s="844"/>
      <c r="K46" s="844">
        <f t="shared" si="7"/>
        <v>-368041.68492349598</v>
      </c>
      <c r="L46" s="686"/>
      <c r="M46" s="687"/>
    </row>
    <row r="47" spans="1:13" s="570" customFormat="1" ht="13">
      <c r="A47" s="659" t="s">
        <v>82</v>
      </c>
      <c r="B47" s="680" t="str">
        <f t="shared" ref="B47:B52" si="11">+B46</f>
        <v>Year 2026</v>
      </c>
      <c r="C47" s="659"/>
      <c r="D47" s="844">
        <f t="shared" si="8"/>
        <v>368041.68492349598</v>
      </c>
      <c r="E47" s="666"/>
      <c r="F47" s="682">
        <f t="shared" si="9"/>
        <v>6.9225490196078423E-3</v>
      </c>
      <c r="G47" s="659"/>
      <c r="H47" s="844">
        <f t="shared" si="6"/>
        <v>-2547.7866051419655</v>
      </c>
      <c r="I47" s="844">
        <f t="shared" si="10"/>
        <v>62835.033511435715</v>
      </c>
      <c r="J47" s="844"/>
      <c r="K47" s="844">
        <f t="shared" si="7"/>
        <v>-307754.43801720219</v>
      </c>
      <c r="L47" s="686"/>
      <c r="M47" s="687"/>
    </row>
    <row r="48" spans="1:13" s="570" customFormat="1" ht="13">
      <c r="A48" s="659" t="s">
        <v>81</v>
      </c>
      <c r="B48" s="680" t="str">
        <f t="shared" si="11"/>
        <v>Year 2026</v>
      </c>
      <c r="C48" s="659"/>
      <c r="D48" s="844">
        <f t="shared" si="8"/>
        <v>307754.43801720219</v>
      </c>
      <c r="E48" s="666"/>
      <c r="F48" s="682">
        <f t="shared" si="9"/>
        <v>6.9225490196078423E-3</v>
      </c>
      <c r="G48" s="659"/>
      <c r="H48" s="844">
        <f t="shared" si="6"/>
        <v>-2130.4451831759457</v>
      </c>
      <c r="I48" s="844">
        <f t="shared" si="10"/>
        <v>62835.033511435715</v>
      </c>
      <c r="J48" s="844"/>
      <c r="K48" s="844">
        <f t="shared" si="7"/>
        <v>-247049.84968894243</v>
      </c>
      <c r="L48" s="686"/>
      <c r="M48" s="687"/>
    </row>
    <row r="49" spans="1:13" s="570" customFormat="1" ht="13">
      <c r="A49" s="659" t="s">
        <v>80</v>
      </c>
      <c r="B49" s="680" t="str">
        <f t="shared" si="11"/>
        <v>Year 2026</v>
      </c>
      <c r="C49" s="659"/>
      <c r="D49" s="844">
        <f t="shared" si="8"/>
        <v>247049.84968894243</v>
      </c>
      <c r="E49" s="666"/>
      <c r="F49" s="682">
        <f t="shared" si="9"/>
        <v>6.9225490196078423E-3</v>
      </c>
      <c r="G49" s="659"/>
      <c r="H49" s="844">
        <f t="shared" si="6"/>
        <v>-1710.2146947584531</v>
      </c>
      <c r="I49" s="844">
        <f t="shared" si="10"/>
        <v>62835.033511435715</v>
      </c>
      <c r="J49" s="844"/>
      <c r="K49" s="844">
        <f t="shared" si="7"/>
        <v>-185925.03087226517</v>
      </c>
      <c r="L49" s="686"/>
      <c r="M49" s="687"/>
    </row>
    <row r="50" spans="1:13" s="570" customFormat="1" ht="13">
      <c r="A50" s="659" t="s">
        <v>86</v>
      </c>
      <c r="B50" s="680" t="str">
        <f t="shared" si="11"/>
        <v>Year 2026</v>
      </c>
      <c r="C50" s="659"/>
      <c r="D50" s="844">
        <f t="shared" si="8"/>
        <v>185925.03087226517</v>
      </c>
      <c r="E50" s="666"/>
      <c r="F50" s="682">
        <f t="shared" si="9"/>
        <v>6.9225490196078423E-3</v>
      </c>
      <c r="G50" s="659"/>
      <c r="H50" s="844">
        <f t="shared" si="6"/>
        <v>-1287.075140185357</v>
      </c>
      <c r="I50" s="844">
        <f t="shared" si="10"/>
        <v>62835.033511435715</v>
      </c>
      <c r="J50" s="844"/>
      <c r="K50" s="844">
        <f t="shared" si="7"/>
        <v>-124377.07250101482</v>
      </c>
      <c r="L50" s="686"/>
      <c r="M50" s="687"/>
    </row>
    <row r="51" spans="1:13" s="570" customFormat="1" ht="13">
      <c r="A51" s="659" t="s">
        <v>79</v>
      </c>
      <c r="B51" s="680" t="str">
        <f t="shared" si="11"/>
        <v>Year 2026</v>
      </c>
      <c r="C51" s="659"/>
      <c r="D51" s="844">
        <f t="shared" si="8"/>
        <v>124377.07250101482</v>
      </c>
      <c r="E51" s="666"/>
      <c r="F51" s="682">
        <f t="shared" si="9"/>
        <v>6.9225490196078423E-3</v>
      </c>
      <c r="G51" s="659"/>
      <c r="H51" s="844">
        <f t="shared" si="6"/>
        <v>-861.00638130359368</v>
      </c>
      <c r="I51" s="844">
        <f t="shared" si="10"/>
        <v>62835.033511435715</v>
      </c>
      <c r="J51" s="844"/>
      <c r="K51" s="844">
        <f t="shared" si="7"/>
        <v>-62403.045370882697</v>
      </c>
      <c r="L51" s="686"/>
      <c r="M51" s="687"/>
    </row>
    <row r="52" spans="1:13" s="570" customFormat="1" ht="13">
      <c r="A52" s="659" t="s">
        <v>78</v>
      </c>
      <c r="B52" s="680" t="str">
        <f t="shared" si="11"/>
        <v>Year 2026</v>
      </c>
      <c r="C52" s="659"/>
      <c r="D52" s="844">
        <f t="shared" si="8"/>
        <v>62403.045370882697</v>
      </c>
      <c r="E52" s="666"/>
      <c r="F52" s="682">
        <f t="shared" si="9"/>
        <v>6.9225490196078423E-3</v>
      </c>
      <c r="G52" s="659"/>
      <c r="H52" s="846">
        <f t="shared" si="6"/>
        <v>-431.98814055274772</v>
      </c>
      <c r="I52" s="844">
        <f t="shared" si="10"/>
        <v>62835.033511435715</v>
      </c>
      <c r="J52" s="844"/>
      <c r="K52" s="844">
        <f t="shared" si="7"/>
        <v>2.6921043172478676E-10</v>
      </c>
      <c r="L52" s="686"/>
      <c r="M52" s="687"/>
    </row>
    <row r="53" spans="1:13" s="570" customFormat="1" ht="13">
      <c r="A53" s="659"/>
      <c r="B53" s="659"/>
      <c r="C53" s="659"/>
      <c r="D53" s="666"/>
      <c r="E53" s="666"/>
      <c r="F53" s="688"/>
      <c r="G53" s="659"/>
      <c r="H53" s="844">
        <f>SUM(H41:H52)</f>
        <v>-32860.103427157032</v>
      </c>
      <c r="I53" s="844"/>
      <c r="J53" s="844"/>
      <c r="K53" s="844"/>
      <c r="L53" s="686"/>
      <c r="M53" s="687"/>
    </row>
    <row r="54" spans="1:13" s="570" customFormat="1" ht="13">
      <c r="A54" s="572"/>
      <c r="B54" s="572"/>
      <c r="C54" s="572"/>
      <c r="D54" s="572"/>
      <c r="E54" s="572"/>
      <c r="F54" s="572"/>
      <c r="G54" s="572"/>
      <c r="H54" s="572"/>
      <c r="I54" s="572"/>
      <c r="J54" s="572"/>
      <c r="K54" s="572"/>
    </row>
    <row r="55" spans="1:13" s="570" customFormat="1" ht="13">
      <c r="A55" s="659" t="s">
        <v>695</v>
      </c>
      <c r="B55" s="572"/>
      <c r="C55" s="572"/>
      <c r="D55" s="572"/>
      <c r="E55" s="572"/>
      <c r="F55" s="572"/>
      <c r="G55" s="572"/>
      <c r="H55" s="572"/>
      <c r="I55" s="689">
        <f>SUM(I41:I52)*-1</f>
        <v>-754020.40213722864</v>
      </c>
      <c r="J55" s="572"/>
      <c r="K55" s="572"/>
    </row>
    <row r="56" spans="1:13" s="570" customFormat="1" ht="13">
      <c r="A56" s="659" t="s">
        <v>696</v>
      </c>
      <c r="B56" s="572"/>
      <c r="C56" s="572"/>
      <c r="D56" s="572"/>
      <c r="E56" s="572"/>
      <c r="F56" s="572"/>
      <c r="G56" s="572"/>
      <c r="H56" s="572"/>
      <c r="I56" s="689">
        <f>+G9</f>
        <v>637177.13558658399</v>
      </c>
      <c r="J56" s="572"/>
      <c r="K56" s="572"/>
    </row>
    <row r="57" spans="1:13" s="570" customFormat="1" ht="13">
      <c r="A57" s="659" t="s">
        <v>697</v>
      </c>
      <c r="B57" s="572"/>
      <c r="C57" s="572"/>
      <c r="D57" s="572"/>
      <c r="E57" s="572"/>
      <c r="F57" s="572"/>
      <c r="G57" s="572"/>
      <c r="H57" s="572"/>
      <c r="I57" s="689">
        <f>(I55+I56)</f>
        <v>-116843.26655064465</v>
      </c>
      <c r="J57" s="572"/>
      <c r="K57" s="572"/>
    </row>
    <row r="59" spans="1:13">
      <c r="A59" s="650"/>
      <c r="B59" s="618"/>
      <c r="C59" s="618"/>
      <c r="D59" s="618"/>
      <c r="E59" s="618"/>
      <c r="F59" s="651"/>
      <c r="G59" s="618"/>
      <c r="H59" s="618"/>
      <c r="I59" s="652"/>
      <c r="J59" s="618"/>
      <c r="K59" s="618"/>
    </row>
    <row r="60" spans="1:13">
      <c r="A60" s="649"/>
      <c r="B60" s="618"/>
      <c r="C60" s="618"/>
      <c r="D60" s="618"/>
      <c r="E60" s="618"/>
      <c r="F60" s="618"/>
      <c r="G60" s="618"/>
      <c r="H60" s="618"/>
      <c r="I60" s="618"/>
      <c r="J60" s="618"/>
      <c r="K60" s="618"/>
    </row>
    <row r="61" spans="1:13">
      <c r="A61" s="653"/>
      <c r="F61" s="654"/>
      <c r="I61" s="655"/>
    </row>
    <row r="62" spans="1:13">
      <c r="D62" s="656"/>
      <c r="F62" s="654"/>
      <c r="I62" s="655"/>
    </row>
    <row r="63" spans="1:13">
      <c r="I63" s="656"/>
    </row>
  </sheetData>
  <customSheetViews>
    <customSheetView guid="{63AFAF34-E340-4B5E-A289-FFB7051CA9B6}" scale="80" showPageBreaks="1" view="pageBreakPreview" topLeftCell="A22">
      <selection activeCell="B41" sqref="B41"/>
      <pageMargins left="0.75" right="0.75" top="1" bottom="1" header="0.5" footer="0.5"/>
      <pageSetup scale="47" orientation="portrait" r:id="rId1"/>
      <headerFooter alignWithMargins="0"/>
    </customSheetView>
  </customSheetViews>
  <mergeCells count="3">
    <mergeCell ref="A1:K1"/>
    <mergeCell ref="A2:K2"/>
    <mergeCell ref="A3:K3"/>
  </mergeCells>
  <printOptions horizontalCentered="1"/>
  <pageMargins left="0.75" right="0.75" top="1" bottom="1" header="0.5" footer="0.5"/>
  <pageSetup scale="60" orientation="landscape"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H32"/>
  <sheetViews>
    <sheetView showGridLines="0" view="pageBreakPreview" zoomScaleNormal="75" zoomScaleSheetLayoutView="100" workbookViewId="0">
      <selection activeCell="B24" sqref="B24"/>
    </sheetView>
  </sheetViews>
  <sheetFormatPr defaultColWidth="8.84375" defaultRowHeight="13"/>
  <cols>
    <col min="1" max="1" width="8.84375" style="584" customWidth="1"/>
    <col min="2" max="2" width="9.07421875" style="584" bestFit="1" customWidth="1"/>
    <col min="3" max="3" width="8.84375" style="584"/>
    <col min="4" max="4" width="16.3046875" style="584" customWidth="1"/>
    <col min="5" max="5" width="8.84375" style="584"/>
    <col min="6" max="6" width="9.3046875" style="584" bestFit="1" customWidth="1"/>
    <col min="7" max="7" width="14.07421875" style="584" bestFit="1" customWidth="1"/>
    <col min="8" max="8" width="9.84375" style="584" customWidth="1"/>
    <col min="9" max="9" width="20.4609375" style="584" bestFit="1" customWidth="1"/>
    <col min="10" max="16384" width="8.84375" style="584"/>
  </cols>
  <sheetData>
    <row r="1" spans="1:8">
      <c r="D1" s="737" t="s">
        <v>699</v>
      </c>
    </row>
    <row r="2" spans="1:8">
      <c r="D2" s="737" t="s">
        <v>453</v>
      </c>
    </row>
    <row r="3" spans="1:8">
      <c r="D3" s="737" t="str">
        <f>+'Attachment H-26'!D5</f>
        <v>Transource West Virginia, LLC</v>
      </c>
    </row>
    <row r="4" spans="1:8">
      <c r="A4" s="753"/>
    </row>
    <row r="6" spans="1:8" ht="32.25" customHeight="1">
      <c r="A6" s="1263" t="s">
        <v>506</v>
      </c>
      <c r="B6" s="1263"/>
      <c r="C6" s="1263"/>
      <c r="D6" s="1263"/>
      <c r="E6" s="1263"/>
      <c r="F6" s="1263"/>
      <c r="G6" s="1263"/>
      <c r="H6" s="754"/>
    </row>
    <row r="7" spans="1:8">
      <c r="A7" s="755"/>
      <c r="B7" s="754"/>
      <c r="C7" s="754"/>
      <c r="D7" s="754"/>
      <c r="E7" s="754"/>
      <c r="F7" s="754"/>
      <c r="G7" s="756"/>
      <c r="H7" s="754"/>
    </row>
    <row r="8" spans="1:8">
      <c r="A8" s="755"/>
      <c r="B8" s="754"/>
      <c r="C8" s="754"/>
      <c r="D8" s="754"/>
      <c r="E8" s="754"/>
      <c r="F8" s="754"/>
      <c r="G8" s="756"/>
      <c r="H8" s="754"/>
    </row>
    <row r="9" spans="1:8">
      <c r="G9" s="757"/>
    </row>
    <row r="10" spans="1:8">
      <c r="A10" s="758"/>
      <c r="B10" s="759" t="s">
        <v>505</v>
      </c>
    </row>
    <row r="11" spans="1:8">
      <c r="A11" s="795">
        <v>1</v>
      </c>
      <c r="C11" s="759" t="s">
        <v>454</v>
      </c>
      <c r="D11" s="319"/>
      <c r="E11" s="861">
        <v>8.5000000000000006E-2</v>
      </c>
      <c r="F11" s="409"/>
      <c r="G11" s="409"/>
      <c r="H11" s="409"/>
    </row>
    <row r="12" spans="1:8">
      <c r="A12" s="795">
        <v>2</v>
      </c>
      <c r="C12" s="759" t="s">
        <v>455</v>
      </c>
      <c r="D12" s="319"/>
      <c r="E12" s="874">
        <v>8.5000000000000006E-2</v>
      </c>
      <c r="F12" s="409"/>
      <c r="G12" s="409"/>
      <c r="H12" s="409"/>
    </row>
    <row r="13" spans="1:8">
      <c r="A13" s="795">
        <v>3</v>
      </c>
      <c r="C13" s="759" t="s">
        <v>456</v>
      </c>
      <c r="D13" s="319"/>
      <c r="E13" s="874">
        <v>8.5000000000000006E-2</v>
      </c>
      <c r="F13" s="409"/>
      <c r="G13" s="409"/>
      <c r="H13" s="409"/>
    </row>
    <row r="14" spans="1:8">
      <c r="A14" s="795">
        <v>4</v>
      </c>
      <c r="C14" s="759" t="s">
        <v>457</v>
      </c>
      <c r="D14" s="319"/>
      <c r="E14" s="874">
        <v>8.5000000000000006E-2</v>
      </c>
      <c r="F14" s="409"/>
      <c r="G14" s="409"/>
      <c r="H14" s="409"/>
    </row>
    <row r="15" spans="1:8">
      <c r="A15" s="795">
        <v>5</v>
      </c>
      <c r="C15" s="759" t="s">
        <v>458</v>
      </c>
      <c r="D15" s="319"/>
      <c r="E15" s="874">
        <v>8.5000000000000006E-2</v>
      </c>
      <c r="F15" s="409"/>
      <c r="G15" s="409"/>
      <c r="H15" s="409"/>
    </row>
    <row r="16" spans="1:8">
      <c r="A16" s="795">
        <v>6</v>
      </c>
      <c r="C16" s="759" t="s">
        <v>459</v>
      </c>
      <c r="D16" s="319"/>
      <c r="E16" s="874">
        <v>8.5000000000000006E-2</v>
      </c>
      <c r="F16" s="409"/>
      <c r="G16" s="409"/>
      <c r="H16" s="409"/>
    </row>
    <row r="17" spans="1:8">
      <c r="A17" s="795">
        <v>7</v>
      </c>
      <c r="C17" s="759" t="s">
        <v>460</v>
      </c>
      <c r="D17" s="319"/>
      <c r="E17" s="874">
        <v>8.5000000000000006E-2</v>
      </c>
      <c r="F17" s="409"/>
      <c r="G17" s="409"/>
      <c r="H17" s="409"/>
    </row>
    <row r="18" spans="1:8">
      <c r="A18" s="795">
        <v>8</v>
      </c>
      <c r="C18" s="759" t="s">
        <v>461</v>
      </c>
      <c r="D18" s="319"/>
      <c r="E18" s="874">
        <v>8.5000000000000006E-2</v>
      </c>
      <c r="F18" s="409"/>
      <c r="G18" s="409"/>
      <c r="H18" s="409"/>
    </row>
    <row r="19" spans="1:8">
      <c r="A19" s="795">
        <v>9</v>
      </c>
      <c r="C19" s="759" t="s">
        <v>462</v>
      </c>
      <c r="D19" s="319"/>
      <c r="E19" s="874">
        <v>8.5000000000000006E-2</v>
      </c>
      <c r="F19" s="409"/>
      <c r="G19" s="409"/>
      <c r="H19" s="409"/>
    </row>
    <row r="20" spans="1:8">
      <c r="A20" s="795">
        <v>10</v>
      </c>
      <c r="C20" s="759" t="s">
        <v>463</v>
      </c>
      <c r="D20" s="319"/>
      <c r="E20" s="874">
        <v>8.5000000000000006E-2</v>
      </c>
      <c r="F20" s="409"/>
      <c r="G20" s="409"/>
      <c r="H20" s="409"/>
    </row>
    <row r="21" spans="1:8">
      <c r="A21" s="795">
        <v>11</v>
      </c>
      <c r="C21" s="759" t="s">
        <v>464</v>
      </c>
      <c r="D21" s="319"/>
      <c r="E21" s="874">
        <v>8.5000000000000006E-2</v>
      </c>
      <c r="F21" s="409"/>
      <c r="G21" s="409"/>
      <c r="H21" s="409"/>
    </row>
    <row r="22" spans="1:8">
      <c r="A22" s="795">
        <v>12</v>
      </c>
      <c r="C22" s="759" t="s">
        <v>465</v>
      </c>
      <c r="D22" s="319"/>
      <c r="E22" s="874">
        <v>8.5000000000000006E-2</v>
      </c>
      <c r="F22" s="409"/>
      <c r="G22" s="409"/>
      <c r="H22" s="409"/>
    </row>
    <row r="23" spans="1:8">
      <c r="A23" s="795">
        <f>+A22+1</f>
        <v>13</v>
      </c>
      <c r="C23" s="759" t="s">
        <v>630</v>
      </c>
      <c r="D23" s="319"/>
      <c r="E23" s="874">
        <v>8.0399999999999999E-2</v>
      </c>
      <c r="F23" s="409"/>
      <c r="G23" s="409"/>
      <c r="H23" s="409"/>
    </row>
    <row r="24" spans="1:8">
      <c r="A24" s="795">
        <f t="shared" ref="A24:A27" si="0">+A23+1</f>
        <v>14</v>
      </c>
      <c r="C24" s="759" t="s">
        <v>631</v>
      </c>
      <c r="D24" s="319"/>
      <c r="E24" s="874">
        <v>8.0399999999999999E-2</v>
      </c>
      <c r="F24" s="409"/>
      <c r="G24" s="409"/>
      <c r="H24" s="409"/>
    </row>
    <row r="25" spans="1:8">
      <c r="A25" s="795">
        <f t="shared" si="0"/>
        <v>15</v>
      </c>
      <c r="C25" s="759" t="s">
        <v>632</v>
      </c>
      <c r="D25" s="319"/>
      <c r="E25" s="874">
        <v>8.0399999999999999E-2</v>
      </c>
      <c r="F25" s="409"/>
      <c r="G25" s="409"/>
      <c r="H25" s="409"/>
    </row>
    <row r="26" spans="1:8">
      <c r="A26" s="795">
        <f t="shared" si="0"/>
        <v>16</v>
      </c>
      <c r="C26" s="759" t="s">
        <v>633</v>
      </c>
      <c r="D26" s="319"/>
      <c r="E26" s="874">
        <v>7.5499999999999998E-2</v>
      </c>
      <c r="F26" s="409"/>
      <c r="G26" s="409"/>
      <c r="H26" s="409"/>
    </row>
    <row r="27" spans="1:8">
      <c r="A27" s="795">
        <f t="shared" si="0"/>
        <v>17</v>
      </c>
      <c r="C27" s="759" t="s">
        <v>634</v>
      </c>
      <c r="D27" s="319"/>
      <c r="E27" s="874">
        <v>7.5499999999999998E-2</v>
      </c>
      <c r="F27" s="409"/>
      <c r="G27" s="409"/>
      <c r="H27" s="409"/>
    </row>
    <row r="28" spans="1:8">
      <c r="A28" s="795"/>
      <c r="C28" s="755"/>
      <c r="D28" s="760"/>
      <c r="E28" s="760"/>
      <c r="F28" s="409"/>
      <c r="G28" s="409"/>
      <c r="H28" s="319"/>
    </row>
    <row r="29" spans="1:8">
      <c r="A29" s="795">
        <f>+A27+1</f>
        <v>18</v>
      </c>
      <c r="B29" s="761" t="s">
        <v>629</v>
      </c>
      <c r="C29" s="754"/>
      <c r="D29" s="760"/>
      <c r="E29" s="762">
        <f>+AVERAGE(E11:E27)</f>
        <v>8.3070588235294104E-2</v>
      </c>
      <c r="F29" s="409"/>
      <c r="G29" s="409"/>
      <c r="H29" s="319"/>
    </row>
    <row r="30" spans="1:8">
      <c r="A30" s="795">
        <f>+A29+1</f>
        <v>19</v>
      </c>
      <c r="B30" s="584" t="s">
        <v>510</v>
      </c>
      <c r="E30" s="214">
        <f>+E29/12</f>
        <v>6.9225490196078423E-3</v>
      </c>
    </row>
    <row r="31" spans="1:8">
      <c r="E31" s="763"/>
    </row>
    <row r="32" spans="1:8" ht="36" customHeight="1">
      <c r="A32" s="1264" t="s">
        <v>787</v>
      </c>
      <c r="B32" s="1264"/>
      <c r="C32" s="1264"/>
      <c r="D32" s="1264"/>
      <c r="E32" s="1264"/>
      <c r="F32" s="1264"/>
      <c r="G32" s="1264"/>
      <c r="H32" s="835"/>
    </row>
  </sheetData>
  <customSheetViews>
    <customSheetView guid="{63AFAF34-E340-4B5E-A289-FFB7051CA9B6}" showPageBreaks="1" showGridLines="0" fitToPage="1" printArea="1" view="pageBreakPreview">
      <selection activeCell="H29" sqref="H29"/>
      <pageMargins left="1" right="1" top="1" bottom="1" header="0.5" footer="0.5"/>
      <printOptions horizontalCentered="1"/>
      <pageSetup scale="81" orientation="portrait" r:id="rId1"/>
    </customSheetView>
  </customSheetViews>
  <mergeCells count="2">
    <mergeCell ref="A6:G6"/>
    <mergeCell ref="A32:G32"/>
  </mergeCells>
  <phoneticPr fontId="0" type="noConversion"/>
  <printOptions horizontalCentered="1"/>
  <pageMargins left="1" right="1" top="1" bottom="1" header="0.5" footer="0.5"/>
  <pageSetup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Q34"/>
  <sheetViews>
    <sheetView view="pageBreakPreview" zoomScale="75" zoomScaleNormal="100" zoomScaleSheetLayoutView="75" workbookViewId="0">
      <selection activeCell="B24" sqref="B24:F24"/>
    </sheetView>
  </sheetViews>
  <sheetFormatPr defaultColWidth="8.84375" defaultRowHeight="15.5"/>
  <cols>
    <col min="1" max="1" width="8.84375" style="226"/>
    <col min="2" max="2" width="43.84375" style="226" customWidth="1"/>
    <col min="3" max="3" width="20.69140625" style="226" bestFit="1" customWidth="1"/>
    <col min="4" max="5" width="13.69140625" style="226" customWidth="1"/>
    <col min="6" max="6" width="12.07421875" style="226" customWidth="1"/>
    <col min="7" max="8" width="11.84375" style="226" bestFit="1" customWidth="1"/>
    <col min="9" max="16384" width="8.84375" style="226"/>
  </cols>
  <sheetData>
    <row r="1" spans="1:9">
      <c r="A1" s="1262" t="s">
        <v>192</v>
      </c>
      <c r="B1" s="1262"/>
      <c r="C1" s="1262"/>
      <c r="D1" s="1262"/>
      <c r="E1" s="1262"/>
      <c r="F1" s="1262"/>
    </row>
    <row r="2" spans="1:9">
      <c r="A2" s="1265" t="s">
        <v>414</v>
      </c>
      <c r="B2" s="1265"/>
      <c r="C2" s="1265"/>
      <c r="D2" s="1265"/>
      <c r="E2" s="1265"/>
      <c r="F2" s="1265"/>
    </row>
    <row r="3" spans="1:9">
      <c r="A3" s="1262" t="str">
        <f>+'Attachment H-26'!D5</f>
        <v>Transource West Virginia, LLC</v>
      </c>
      <c r="B3" s="1262"/>
      <c r="C3" s="1262"/>
      <c r="D3" s="1262"/>
      <c r="E3" s="1262"/>
      <c r="F3" s="1262"/>
      <c r="G3" s="730"/>
      <c r="H3" s="730"/>
    </row>
    <row r="4" spans="1:9">
      <c r="A4" s="731"/>
      <c r="C4" s="732"/>
      <c r="G4" s="730"/>
      <c r="H4" s="730"/>
    </row>
    <row r="5" spans="1:9">
      <c r="A5" s="300"/>
      <c r="B5" s="306" t="s">
        <v>277</v>
      </c>
      <c r="C5" s="307"/>
      <c r="D5" s="300"/>
      <c r="E5" s="308"/>
      <c r="F5" s="319"/>
      <c r="G5" s="733"/>
      <c r="H5" s="733"/>
    </row>
    <row r="6" spans="1:9" s="728" customFormat="1">
      <c r="A6" s="300"/>
      <c r="B6" s="306"/>
      <c r="C6" s="307"/>
      <c r="D6" s="309" t="s">
        <v>338</v>
      </c>
      <c r="E6" s="823" t="s">
        <v>339</v>
      </c>
      <c r="F6" s="310" t="s">
        <v>13</v>
      </c>
      <c r="G6" s="734"/>
      <c r="H6" s="734"/>
      <c r="I6" s="734"/>
    </row>
    <row r="7" spans="1:9">
      <c r="A7" s="491" t="s">
        <v>154</v>
      </c>
      <c r="B7" s="311"/>
      <c r="C7" s="311"/>
      <c r="D7" s="310" t="s">
        <v>196</v>
      </c>
      <c r="E7" s="824" t="s">
        <v>197</v>
      </c>
      <c r="F7" s="310" t="s">
        <v>717</v>
      </c>
      <c r="G7" s="735"/>
      <c r="H7" s="735"/>
      <c r="I7" s="729"/>
    </row>
    <row r="8" spans="1:9" ht="44.25" customHeight="1">
      <c r="A8" s="300">
        <v>1</v>
      </c>
      <c r="B8" s="319"/>
      <c r="C8" s="301"/>
      <c r="D8" s="302" t="s">
        <v>779</v>
      </c>
      <c r="E8" s="825" t="s">
        <v>779</v>
      </c>
      <c r="F8" s="738"/>
      <c r="G8" s="317"/>
      <c r="H8" s="317"/>
      <c r="I8" s="317"/>
    </row>
    <row r="9" spans="1:9">
      <c r="A9" s="300">
        <v>2</v>
      </c>
      <c r="B9" s="303" t="s">
        <v>570</v>
      </c>
      <c r="C9" s="303" t="s">
        <v>314</v>
      </c>
      <c r="D9" s="497">
        <v>-76811513</v>
      </c>
      <c r="E9" s="496">
        <v>9446530</v>
      </c>
      <c r="F9" s="319"/>
      <c r="G9" s="293"/>
      <c r="H9" s="293"/>
      <c r="I9" s="277"/>
    </row>
    <row r="10" spans="1:9">
      <c r="A10" s="300">
        <v>3</v>
      </c>
      <c r="B10" s="303" t="s">
        <v>340</v>
      </c>
      <c r="C10" s="303" t="s">
        <v>314</v>
      </c>
      <c r="D10" s="497">
        <v>-44124792</v>
      </c>
      <c r="E10" s="497">
        <v>3889136</v>
      </c>
      <c r="F10" s="319"/>
      <c r="G10" s="293"/>
      <c r="H10" s="293"/>
      <c r="I10" s="277"/>
    </row>
    <row r="11" spans="1:9">
      <c r="A11" s="300">
        <v>4</v>
      </c>
      <c r="B11" s="303" t="s">
        <v>341</v>
      </c>
      <c r="C11" s="303" t="s">
        <v>342</v>
      </c>
      <c r="D11" s="312">
        <f>D9-D10</f>
        <v>-32686721</v>
      </c>
      <c r="E11" s="312">
        <f>E9-E10</f>
        <v>5557394</v>
      </c>
      <c r="F11" s="319"/>
      <c r="G11" s="304"/>
      <c r="H11" s="304"/>
      <c r="I11" s="277"/>
    </row>
    <row r="12" spans="1:9">
      <c r="A12" s="300">
        <v>5</v>
      </c>
      <c r="B12" s="303" t="s">
        <v>343</v>
      </c>
      <c r="C12" s="303" t="s">
        <v>315</v>
      </c>
      <c r="D12" s="497">
        <v>1300120728.74</v>
      </c>
      <c r="E12" s="496">
        <v>182771659</v>
      </c>
      <c r="F12" s="319"/>
      <c r="G12" s="316"/>
      <c r="H12" s="316"/>
      <c r="I12" s="545"/>
    </row>
    <row r="13" spans="1:9">
      <c r="A13" s="300">
        <v>6</v>
      </c>
      <c r="B13" s="303" t="s">
        <v>344</v>
      </c>
      <c r="C13" s="303" t="s">
        <v>345</v>
      </c>
      <c r="D13" s="313">
        <f>IFERROR(D11/D12,0)</f>
        <v>-2.5141296709943264E-2</v>
      </c>
      <c r="E13" s="313">
        <f>IFERROR(E11/E12,0)</f>
        <v>3.0406213033279957E-2</v>
      </c>
      <c r="F13" s="314"/>
      <c r="G13" s="46"/>
      <c r="H13" s="46"/>
      <c r="I13" s="545"/>
    </row>
    <row r="14" spans="1:9">
      <c r="A14" s="300">
        <v>7</v>
      </c>
      <c r="B14" s="303" t="s">
        <v>571</v>
      </c>
      <c r="C14" s="303" t="s">
        <v>403</v>
      </c>
      <c r="D14" s="497">
        <v>134051.70999999996</v>
      </c>
      <c r="E14" s="497">
        <v>0</v>
      </c>
      <c r="F14" s="314"/>
      <c r="G14" s="539"/>
      <c r="H14" s="539"/>
      <c r="I14" s="277"/>
    </row>
    <row r="15" spans="1:9">
      <c r="A15" s="300">
        <v>8</v>
      </c>
      <c r="B15" s="303" t="s">
        <v>411</v>
      </c>
      <c r="C15" s="303" t="s">
        <v>346</v>
      </c>
      <c r="D15" s="739">
        <f>D13*D14</f>
        <v>-3370.2338155852676</v>
      </c>
      <c r="E15" s="739">
        <f>E13*E14</f>
        <v>0</v>
      </c>
      <c r="F15" s="536">
        <f>SUM(D15:E15)</f>
        <v>-3370.2338155852676</v>
      </c>
      <c r="G15" s="277"/>
      <c r="H15" s="277"/>
      <c r="I15" s="277"/>
    </row>
    <row r="16" spans="1:9">
      <c r="A16" s="300">
        <v>9</v>
      </c>
      <c r="B16" s="315"/>
      <c r="C16" s="303"/>
      <c r="D16" s="303"/>
      <c r="E16" s="584"/>
      <c r="F16" s="314"/>
      <c r="G16" s="277"/>
      <c r="H16" s="277"/>
      <c r="I16" s="545"/>
    </row>
    <row r="17" spans="1:17">
      <c r="A17" s="352"/>
      <c r="B17" s="319"/>
      <c r="C17" s="319"/>
      <c r="D17" s="319"/>
      <c r="E17" s="319"/>
      <c r="F17" s="314"/>
      <c r="G17" s="729"/>
      <c r="H17" s="729"/>
      <c r="I17" s="729"/>
    </row>
    <row r="18" spans="1:17">
      <c r="A18" s="215">
        <v>10</v>
      </c>
      <c r="B18" s="315" t="s">
        <v>789</v>
      </c>
      <c r="C18" s="319"/>
      <c r="D18" s="820"/>
      <c r="E18" s="820"/>
      <c r="F18" s="821">
        <v>0</v>
      </c>
      <c r="G18" s="539"/>
      <c r="H18" s="539"/>
      <c r="I18" s="539"/>
      <c r="J18" s="539"/>
      <c r="K18" s="539"/>
      <c r="L18" s="539"/>
      <c r="M18" s="539"/>
      <c r="N18" s="539"/>
      <c r="O18" s="539"/>
      <c r="P18" s="539"/>
      <c r="Q18" s="539"/>
    </row>
    <row r="19" spans="1:17">
      <c r="A19" s="492"/>
      <c r="B19" s="319"/>
      <c r="C19" s="319"/>
      <c r="D19" s="319"/>
      <c r="E19" s="319"/>
      <c r="F19" s="319"/>
      <c r="G19" s="539"/>
      <c r="H19" s="539"/>
      <c r="I19" s="539"/>
      <c r="J19" s="539"/>
      <c r="K19" s="539"/>
      <c r="L19" s="539"/>
      <c r="M19" s="539"/>
      <c r="N19" s="539"/>
      <c r="O19" s="539"/>
      <c r="P19" s="539"/>
      <c r="Q19" s="539"/>
    </row>
    <row r="20" spans="1:17">
      <c r="B20" s="539"/>
      <c r="C20" s="319"/>
      <c r="D20" s="319"/>
      <c r="E20" s="319"/>
      <c r="F20" s="319"/>
      <c r="G20" s="305"/>
      <c r="H20" s="305"/>
      <c r="I20" s="305"/>
      <c r="J20" s="305"/>
      <c r="K20" s="305"/>
      <c r="L20" s="305"/>
      <c r="M20" s="305"/>
      <c r="N20" s="305"/>
      <c r="O20" s="305"/>
      <c r="P20" s="305"/>
      <c r="Q20" s="305"/>
    </row>
    <row r="21" spans="1:17">
      <c r="A21" s="493" t="s">
        <v>572</v>
      </c>
      <c r="B21" s="539"/>
      <c r="C21" s="319"/>
      <c r="D21" s="319"/>
      <c r="E21" s="319"/>
      <c r="F21" s="319"/>
      <c r="G21" s="729"/>
      <c r="H21" s="729"/>
      <c r="I21" s="729"/>
    </row>
    <row r="22" spans="1:17" ht="26.25" customHeight="1">
      <c r="A22" s="561" t="s">
        <v>62</v>
      </c>
      <c r="B22" s="1217" t="s">
        <v>788</v>
      </c>
      <c r="C22" s="1217"/>
      <c r="D22" s="1217"/>
      <c r="E22" s="1217"/>
      <c r="F22" s="828"/>
      <c r="G22" s="729"/>
      <c r="H22" s="729"/>
      <c r="I22" s="729"/>
    </row>
    <row r="23" spans="1:17">
      <c r="A23" s="744"/>
      <c r="B23" s="744"/>
      <c r="C23" s="828"/>
      <c r="D23" s="828"/>
      <c r="E23" s="828"/>
      <c r="F23" s="828"/>
      <c r="G23" s="729"/>
      <c r="H23" s="729"/>
      <c r="I23" s="729"/>
    </row>
    <row r="24" spans="1:17" ht="27.75" customHeight="1">
      <c r="A24" s="847" t="s">
        <v>63</v>
      </c>
      <c r="B24" s="1230" t="s">
        <v>800</v>
      </c>
      <c r="C24" s="1230"/>
      <c r="D24" s="1230"/>
      <c r="E24" s="1230"/>
      <c r="F24" s="1230"/>
      <c r="G24" s="729"/>
      <c r="H24" s="729"/>
      <c r="I24" s="729"/>
    </row>
    <row r="25" spans="1:17">
      <c r="A25" s="744"/>
      <c r="B25" s="744"/>
      <c r="C25" s="744"/>
      <c r="D25" s="744"/>
      <c r="E25" s="744"/>
      <c r="F25" s="744"/>
      <c r="G25" s="729"/>
      <c r="H25" s="729"/>
      <c r="I25" s="729"/>
    </row>
    <row r="26" spans="1:17">
      <c r="A26" s="847" t="s">
        <v>64</v>
      </c>
      <c r="B26" s="829" t="s">
        <v>806</v>
      </c>
      <c r="C26" s="848"/>
      <c r="D26" s="848"/>
      <c r="E26" s="744"/>
      <c r="F26" s="744"/>
      <c r="G26" s="729"/>
      <c r="H26" s="729"/>
      <c r="I26" s="729"/>
    </row>
    <row r="27" spans="1:17">
      <c r="G27" s="729"/>
      <c r="H27" s="729"/>
      <c r="I27" s="729"/>
    </row>
    <row r="28" spans="1:17">
      <c r="G28" s="729"/>
      <c r="H28" s="729"/>
      <c r="I28" s="729"/>
    </row>
    <row r="29" spans="1:17" s="728" customFormat="1">
      <c r="B29" s="736"/>
      <c r="C29" s="736"/>
      <c r="D29" s="736"/>
      <c r="G29" s="729"/>
      <c r="H29" s="729"/>
      <c r="I29" s="729"/>
    </row>
    <row r="30" spans="1:17" s="728" customFormat="1">
      <c r="B30" s="736"/>
      <c r="C30" s="736"/>
      <c r="D30" s="736"/>
      <c r="G30" s="729"/>
      <c r="H30" s="729"/>
      <c r="I30" s="729"/>
    </row>
    <row r="31" spans="1:17" s="728" customFormat="1">
      <c r="B31" s="736"/>
      <c r="C31" s="736"/>
      <c r="D31" s="736"/>
    </row>
    <row r="32" spans="1:17" s="728" customFormat="1">
      <c r="B32" s="736"/>
      <c r="C32" s="736"/>
      <c r="D32" s="736"/>
    </row>
    <row r="33" spans="2:4" s="728" customFormat="1">
      <c r="B33" s="736"/>
      <c r="C33" s="736"/>
      <c r="D33" s="736"/>
    </row>
    <row r="34" spans="2:4" s="728" customFormat="1"/>
  </sheetData>
  <customSheetViews>
    <customSheetView guid="{63AFAF34-E340-4B5E-A289-FFB7051CA9B6}" showPageBreaks="1" fitToPage="1" topLeftCell="A4">
      <selection activeCell="F18" sqref="F18"/>
      <pageMargins left="0.7" right="0.7" top="0.75" bottom="0.75" header="0.3" footer="0.3"/>
      <pageSetup scale="91" orientation="landscape" r:id="rId1"/>
    </customSheetView>
  </customSheetViews>
  <mergeCells count="5">
    <mergeCell ref="B22:E22"/>
    <mergeCell ref="B24:F24"/>
    <mergeCell ref="A1:F1"/>
    <mergeCell ref="A2:F2"/>
    <mergeCell ref="A3:F3"/>
  </mergeCells>
  <phoneticPr fontId="0" type="noConversion"/>
  <pageMargins left="0.7" right="0.7" top="0.75" bottom="0.75" header="0.3" footer="0.3"/>
  <pageSetup scale="91" orientation="landscape"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133"/>
  <sheetViews>
    <sheetView view="pageBreakPreview" zoomScale="80" zoomScaleNormal="90" zoomScaleSheetLayoutView="80" workbookViewId="0">
      <selection activeCell="R18" sqref="R18"/>
    </sheetView>
  </sheetViews>
  <sheetFormatPr defaultColWidth="8.84375" defaultRowHeight="13"/>
  <cols>
    <col min="1" max="1" width="5.07421875" style="345" bestFit="1" customWidth="1"/>
    <col min="2" max="2" width="41.84375" style="346" customWidth="1"/>
    <col min="3" max="3" width="14.69140625" style="346" customWidth="1"/>
    <col min="4" max="4" width="14.3046875" style="346" customWidth="1"/>
    <col min="5" max="5" width="11.69140625" style="346" customWidth="1"/>
    <col min="6" max="6" width="14.07421875" style="346" customWidth="1"/>
    <col min="7" max="7" width="13" style="346" bestFit="1" customWidth="1"/>
    <col min="8" max="8" width="11.07421875" style="346" bestFit="1" customWidth="1"/>
    <col min="9" max="10" width="11.84375" style="346" customWidth="1"/>
    <col min="11" max="11" width="13.53515625" style="346" customWidth="1"/>
    <col min="12" max="12" width="7.07421875" style="346" customWidth="1"/>
    <col min="13" max="13" width="12.07421875" style="346" customWidth="1"/>
    <col min="14" max="14" width="8.07421875" style="346" customWidth="1"/>
    <col min="15" max="15" width="7.69140625" style="346" bestFit="1" customWidth="1"/>
    <col min="16" max="16" width="11.69140625" style="346" bestFit="1" customWidth="1"/>
    <col min="17" max="17" width="10.84375" style="346" bestFit="1" customWidth="1"/>
    <col min="18" max="16384" width="8.84375" style="346"/>
  </cols>
  <sheetData>
    <row r="1" spans="1:12" s="331" customFormat="1" ht="15" customHeight="1">
      <c r="A1" s="1267" t="s">
        <v>412</v>
      </c>
      <c r="B1" s="1267"/>
      <c r="C1" s="1267"/>
      <c r="D1" s="1267"/>
      <c r="E1" s="1267"/>
      <c r="F1" s="1267"/>
      <c r="G1" s="1267"/>
      <c r="H1" s="357"/>
      <c r="I1" s="357"/>
      <c r="J1" s="357"/>
      <c r="K1" s="357"/>
    </row>
    <row r="2" spans="1:12" s="331" customFormat="1">
      <c r="A2" s="1267" t="s">
        <v>798</v>
      </c>
      <c r="B2" s="1267"/>
      <c r="C2" s="1267"/>
      <c r="D2" s="1267"/>
      <c r="E2" s="1267"/>
      <c r="F2" s="1267"/>
      <c r="G2" s="1267"/>
      <c r="H2" s="357"/>
      <c r="I2" s="357"/>
      <c r="J2" s="357"/>
      <c r="K2" s="357"/>
    </row>
    <row r="3" spans="1:12" s="331" customFormat="1" ht="15" customHeight="1">
      <c r="A3" s="1237" t="str">
        <f>+'Attachment H-26'!D5</f>
        <v>Transource West Virginia, LLC</v>
      </c>
      <c r="B3" s="1237"/>
      <c r="C3" s="1237"/>
      <c r="D3" s="1237"/>
      <c r="E3" s="1237"/>
      <c r="F3" s="1237"/>
      <c r="G3" s="1237"/>
      <c r="H3" s="36"/>
      <c r="I3" s="36"/>
      <c r="J3" s="36"/>
      <c r="K3" s="36"/>
      <c r="L3" s="332"/>
    </row>
    <row r="4" spans="1:12" s="331" customFormat="1">
      <c r="A4" s="380"/>
      <c r="L4" s="332"/>
    </row>
    <row r="5" spans="1:12" s="331" customFormat="1" ht="35.25" customHeight="1">
      <c r="A5" s="333"/>
      <c r="B5" s="1220" t="s">
        <v>829</v>
      </c>
      <c r="C5" s="1220"/>
      <c r="D5" s="1220"/>
      <c r="E5" s="1220"/>
      <c r="F5" s="1220"/>
      <c r="G5" s="1220"/>
      <c r="H5" s="348"/>
      <c r="I5" s="348"/>
      <c r="J5" s="332"/>
      <c r="K5" s="332"/>
      <c r="L5" s="332"/>
    </row>
    <row r="6" spans="1:12" s="331" customFormat="1" ht="27" customHeight="1">
      <c r="A6" s="333"/>
      <c r="B6" s="1220" t="s">
        <v>790</v>
      </c>
      <c r="C6" s="1220"/>
      <c r="D6" s="1220"/>
      <c r="E6" s="1220"/>
      <c r="F6" s="1220"/>
      <c r="G6" s="1220"/>
      <c r="H6" s="348"/>
      <c r="I6" s="348"/>
      <c r="J6" s="332"/>
      <c r="K6" s="332"/>
      <c r="L6" s="332"/>
    </row>
    <row r="7" spans="1:12" s="331" customFormat="1" ht="31.5" customHeight="1">
      <c r="A7" s="333"/>
      <c r="B7" s="1268" t="s">
        <v>791</v>
      </c>
      <c r="C7" s="1268"/>
      <c r="D7" s="1268"/>
      <c r="E7" s="1268"/>
      <c r="F7" s="1268"/>
      <c r="G7" s="1268"/>
      <c r="H7" s="347"/>
      <c r="I7" s="347"/>
      <c r="J7" s="347"/>
      <c r="K7" s="347"/>
      <c r="L7" s="381"/>
    </row>
    <row r="8" spans="1:12" s="331" customFormat="1" ht="18.75" customHeight="1">
      <c r="A8" s="333"/>
      <c r="B8" s="1220" t="s">
        <v>792</v>
      </c>
      <c r="C8" s="1220"/>
      <c r="D8" s="1220"/>
      <c r="E8" s="1220"/>
      <c r="F8" s="1220"/>
      <c r="G8" s="1220"/>
      <c r="H8" s="381"/>
      <c r="I8" s="381"/>
      <c r="J8" s="347"/>
      <c r="K8" s="347"/>
      <c r="L8" s="381"/>
    </row>
    <row r="9" spans="1:12" s="331" customFormat="1" ht="31.5" customHeight="1">
      <c r="A9" s="333"/>
      <c r="B9" s="1220" t="s">
        <v>844</v>
      </c>
      <c r="C9" s="1220"/>
      <c r="D9" s="1220"/>
      <c r="E9" s="1220"/>
      <c r="F9" s="1220"/>
      <c r="G9" s="1220"/>
      <c r="H9" s="747"/>
      <c r="I9" s="747"/>
      <c r="J9" s="347"/>
      <c r="K9" s="347"/>
      <c r="L9" s="747"/>
    </row>
    <row r="10" spans="1:12" s="331" customFormat="1" ht="29.25" customHeight="1">
      <c r="A10" s="220" t="s">
        <v>195</v>
      </c>
      <c r="C10" s="332"/>
      <c r="D10" s="332"/>
      <c r="E10" s="332"/>
      <c r="F10" s="332"/>
      <c r="G10" s="334"/>
      <c r="H10" s="332"/>
      <c r="I10" s="332"/>
      <c r="J10" s="332"/>
      <c r="K10" s="332"/>
      <c r="L10" s="332"/>
    </row>
    <row r="11" spans="1:12" s="331" customFormat="1" ht="16.5" customHeight="1">
      <c r="A11" s="382">
        <v>1</v>
      </c>
      <c r="B11" s="331" t="s">
        <v>670</v>
      </c>
      <c r="C11" s="377"/>
      <c r="D11" s="349" t="e">
        <f>I33</f>
        <v>#DIV/0!</v>
      </c>
      <c r="E11" s="377"/>
      <c r="F11" s="377"/>
      <c r="H11" s="332"/>
      <c r="I11" s="332"/>
      <c r="J11" s="332"/>
      <c r="K11" s="332"/>
      <c r="L11" s="332"/>
    </row>
    <row r="12" spans="1:12" s="331" customFormat="1" ht="16.5" customHeight="1">
      <c r="A12" s="382">
        <f>+A11+1</f>
        <v>2</v>
      </c>
      <c r="B12" s="331" t="s">
        <v>507</v>
      </c>
      <c r="C12" s="377"/>
      <c r="D12" s="349" t="e">
        <f>+G53</f>
        <v>#DIV/0!</v>
      </c>
      <c r="E12" s="377"/>
      <c r="F12" s="377"/>
      <c r="H12" s="332"/>
      <c r="I12" s="332"/>
      <c r="J12" s="332"/>
      <c r="K12" s="332"/>
      <c r="L12" s="332"/>
    </row>
    <row r="13" spans="1:12" s="331" customFormat="1" ht="16.5" customHeight="1">
      <c r="A13" s="382">
        <f>+A12+1</f>
        <v>3</v>
      </c>
      <c r="B13" s="354" t="s">
        <v>428</v>
      </c>
      <c r="C13" s="377"/>
      <c r="D13" s="355" t="e">
        <f>+D11+D12</f>
        <v>#DIV/0!</v>
      </c>
      <c r="E13" s="377"/>
      <c r="F13" s="377"/>
      <c r="H13" s="332"/>
      <c r="I13" s="332"/>
      <c r="J13" s="332"/>
      <c r="K13" s="332"/>
      <c r="L13" s="332"/>
    </row>
    <row r="14" spans="1:12" s="331" customFormat="1" ht="6" customHeight="1">
      <c r="A14" s="382"/>
      <c r="B14" s="335"/>
      <c r="C14" s="377"/>
      <c r="D14" s="365"/>
      <c r="E14" s="377"/>
      <c r="F14" s="377"/>
      <c r="H14" s="332"/>
      <c r="I14" s="332"/>
      <c r="J14" s="332"/>
      <c r="K14" s="332"/>
      <c r="L14" s="332"/>
    </row>
    <row r="15" spans="1:12" s="331" customFormat="1" ht="16.5" customHeight="1">
      <c r="A15" s="382"/>
      <c r="B15" s="335" t="s">
        <v>496</v>
      </c>
      <c r="C15" s="377"/>
      <c r="D15" s="365"/>
      <c r="E15" s="377"/>
      <c r="F15" s="377"/>
      <c r="H15" s="332"/>
      <c r="I15" s="332"/>
      <c r="J15" s="332"/>
      <c r="K15" s="332"/>
      <c r="L15" s="332"/>
    </row>
    <row r="16" spans="1:12" s="331" customFormat="1" ht="16.5" customHeight="1">
      <c r="A16" s="382">
        <f>A13+1</f>
        <v>4</v>
      </c>
      <c r="B16" s="332" t="s">
        <v>497</v>
      </c>
      <c r="C16" s="377"/>
      <c r="D16" s="863"/>
      <c r="E16" s="377"/>
      <c r="F16" s="377"/>
      <c r="H16" s="332"/>
      <c r="I16" s="332"/>
      <c r="J16" s="332"/>
      <c r="K16" s="332"/>
      <c r="L16" s="332"/>
    </row>
    <row r="17" spans="1:13" s="331" customFormat="1" ht="16.5" customHeight="1">
      <c r="A17" s="382">
        <f>A16+1</f>
        <v>5</v>
      </c>
      <c r="B17" s="332" t="s">
        <v>504</v>
      </c>
      <c r="C17" s="377"/>
      <c r="D17" s="343">
        <f>+C60</f>
        <v>0</v>
      </c>
      <c r="E17" s="864"/>
      <c r="F17" s="377"/>
      <c r="H17" s="332"/>
      <c r="I17" s="332"/>
      <c r="J17" s="332"/>
      <c r="K17" s="332"/>
      <c r="L17" s="332"/>
    </row>
    <row r="18" spans="1:13" s="331" customFormat="1" ht="60.75" customHeight="1">
      <c r="A18" s="382"/>
      <c r="B18" s="3" t="s">
        <v>440</v>
      </c>
      <c r="C18" s="377"/>
      <c r="D18" s="363" t="s">
        <v>498</v>
      </c>
      <c r="E18" s="363" t="s">
        <v>499</v>
      </c>
      <c r="F18" s="394" t="s">
        <v>500</v>
      </c>
      <c r="G18" s="394" t="s">
        <v>501</v>
      </c>
      <c r="H18" s="394" t="s">
        <v>502</v>
      </c>
      <c r="I18" s="394" t="s">
        <v>503</v>
      </c>
      <c r="J18" s="332"/>
      <c r="K18" s="332"/>
      <c r="L18" s="332"/>
      <c r="M18" s="332"/>
    </row>
    <row r="19" spans="1:13" s="331" customFormat="1" ht="21" customHeight="1">
      <c r="A19" s="382"/>
      <c r="B19" s="378" t="s">
        <v>196</v>
      </c>
      <c r="C19" s="377"/>
      <c r="D19" s="364" t="s">
        <v>197</v>
      </c>
      <c r="E19" s="364" t="s">
        <v>198</v>
      </c>
      <c r="F19" s="364" t="s">
        <v>199</v>
      </c>
      <c r="G19" s="364" t="s">
        <v>201</v>
      </c>
      <c r="H19" s="364" t="s">
        <v>200</v>
      </c>
      <c r="I19" s="364" t="s">
        <v>202</v>
      </c>
      <c r="J19" s="332"/>
      <c r="K19" s="332"/>
      <c r="L19" s="332"/>
      <c r="M19" s="332"/>
    </row>
    <row r="20" spans="1:13" s="331" customFormat="1" ht="16.5" customHeight="1">
      <c r="A20" s="382">
        <f>A17+1</f>
        <v>6</v>
      </c>
      <c r="B20" s="5" t="s">
        <v>193</v>
      </c>
      <c r="C20" s="377"/>
      <c r="D20" s="866"/>
      <c r="E20" s="866"/>
      <c r="F20" s="293">
        <f>D20-E20</f>
        <v>0</v>
      </c>
      <c r="G20" s="852">
        <f>($D$16/12)*F20</f>
        <v>0</v>
      </c>
      <c r="H20" s="293">
        <f>($D$17/12)*E20</f>
        <v>0</v>
      </c>
      <c r="I20" s="332"/>
      <c r="J20" s="865"/>
      <c r="K20" s="332"/>
      <c r="L20" s="332"/>
      <c r="M20" s="332"/>
    </row>
    <row r="21" spans="1:13" s="331" customFormat="1" ht="16.5" customHeight="1">
      <c r="A21" s="382">
        <f>+A20+1</f>
        <v>7</v>
      </c>
      <c r="B21" s="5" t="s">
        <v>85</v>
      </c>
      <c r="C21" s="377"/>
      <c r="D21" s="866"/>
      <c r="E21" s="866"/>
      <c r="F21" s="293">
        <f t="shared" ref="F21:F32" si="0">D21-E21</f>
        <v>0</v>
      </c>
      <c r="G21" s="852">
        <f t="shared" ref="G21:G32" si="1">($D$16/12)*F21</f>
        <v>0</v>
      </c>
      <c r="H21" s="293">
        <f t="shared" ref="H21:H32" si="2">($D$17/12)*E21</f>
        <v>0</v>
      </c>
      <c r="I21" s="332"/>
      <c r="J21" s="865"/>
      <c r="K21" s="332"/>
      <c r="L21" s="332"/>
      <c r="M21" s="332"/>
    </row>
    <row r="22" spans="1:13" s="331" customFormat="1" ht="16.5" customHeight="1">
      <c r="A22" s="382">
        <f t="shared" ref="A22:A33" si="3">+A21+1</f>
        <v>8</v>
      </c>
      <c r="B22" s="1" t="s">
        <v>84</v>
      </c>
      <c r="C22" s="377"/>
      <c r="D22" s="866"/>
      <c r="E22" s="866"/>
      <c r="F22" s="293">
        <f t="shared" si="0"/>
        <v>0</v>
      </c>
      <c r="G22" s="852">
        <f t="shared" si="1"/>
        <v>0</v>
      </c>
      <c r="H22" s="293">
        <f>($D$17/12)*E22</f>
        <v>0</v>
      </c>
      <c r="I22" s="332"/>
      <c r="J22" s="865"/>
      <c r="K22" s="332"/>
      <c r="L22" s="332"/>
      <c r="M22" s="332"/>
    </row>
    <row r="23" spans="1:13" s="331" customFormat="1" ht="16.5" customHeight="1">
      <c r="A23" s="382">
        <f t="shared" si="3"/>
        <v>9</v>
      </c>
      <c r="B23" s="1" t="s">
        <v>170</v>
      </c>
      <c r="C23" s="377"/>
      <c r="D23" s="866"/>
      <c r="E23" s="866"/>
      <c r="F23" s="293">
        <f t="shared" si="0"/>
        <v>0</v>
      </c>
      <c r="G23" s="852">
        <f>($D$16/12)*F23</f>
        <v>0</v>
      </c>
      <c r="H23" s="293">
        <f>($D$17/12)*E23</f>
        <v>0</v>
      </c>
      <c r="I23" s="332"/>
      <c r="J23" s="865"/>
      <c r="K23" s="332"/>
      <c r="L23" s="332"/>
      <c r="M23" s="332"/>
    </row>
    <row r="24" spans="1:13" s="331" customFormat="1" ht="16.5" customHeight="1">
      <c r="A24" s="382">
        <f t="shared" si="3"/>
        <v>10</v>
      </c>
      <c r="B24" s="1" t="s">
        <v>76</v>
      </c>
      <c r="C24" s="377"/>
      <c r="D24" s="866"/>
      <c r="E24" s="866"/>
      <c r="F24" s="293">
        <f t="shared" si="0"/>
        <v>0</v>
      </c>
      <c r="G24" s="852">
        <f>($D$16/12)*F24</f>
        <v>0</v>
      </c>
      <c r="H24" s="293">
        <f>($D$17/12)*E24</f>
        <v>0</v>
      </c>
      <c r="I24" s="332"/>
      <c r="J24" s="865"/>
      <c r="K24" s="332"/>
      <c r="L24" s="332"/>
      <c r="M24" s="332"/>
    </row>
    <row r="25" spans="1:13" s="331" customFormat="1" ht="16.5" customHeight="1">
      <c r="A25" s="382">
        <f t="shared" si="3"/>
        <v>11</v>
      </c>
      <c r="B25" s="1" t="s">
        <v>75</v>
      </c>
      <c r="C25" s="377"/>
      <c r="D25" s="866"/>
      <c r="E25" s="866"/>
      <c r="F25" s="293">
        <f t="shared" si="0"/>
        <v>0</v>
      </c>
      <c r="G25" s="852">
        <f t="shared" si="1"/>
        <v>0</v>
      </c>
      <c r="H25" s="293">
        <f t="shared" si="2"/>
        <v>0</v>
      </c>
      <c r="I25" s="332"/>
      <c r="J25" s="865"/>
      <c r="K25" s="332"/>
      <c r="L25" s="332"/>
      <c r="M25" s="830"/>
    </row>
    <row r="26" spans="1:13" s="331" customFormat="1" ht="16.5" customHeight="1">
      <c r="A26" s="382">
        <f t="shared" si="3"/>
        <v>12</v>
      </c>
      <c r="B26" s="1" t="s">
        <v>95</v>
      </c>
      <c r="C26" s="377"/>
      <c r="D26" s="866"/>
      <c r="E26" s="866"/>
      <c r="F26" s="293">
        <f t="shared" si="0"/>
        <v>0</v>
      </c>
      <c r="G26" s="852">
        <f t="shared" si="1"/>
        <v>0</v>
      </c>
      <c r="H26" s="293">
        <f t="shared" si="2"/>
        <v>0</v>
      </c>
      <c r="I26" s="332"/>
      <c r="J26" s="865"/>
      <c r="K26" s="332"/>
      <c r="L26" s="332"/>
      <c r="M26" s="852"/>
    </row>
    <row r="27" spans="1:13" s="331" customFormat="1" ht="16.5" customHeight="1">
      <c r="A27" s="382">
        <f t="shared" si="3"/>
        <v>13</v>
      </c>
      <c r="B27" s="1" t="s">
        <v>82</v>
      </c>
      <c r="C27" s="377"/>
      <c r="D27" s="866"/>
      <c r="E27" s="866"/>
      <c r="F27" s="293">
        <f t="shared" si="0"/>
        <v>0</v>
      </c>
      <c r="G27" s="852">
        <f t="shared" si="1"/>
        <v>0</v>
      </c>
      <c r="H27" s="293">
        <f>($D$17/12)*E27</f>
        <v>0</v>
      </c>
      <c r="I27" s="332"/>
      <c r="J27" s="865"/>
      <c r="K27" s="332"/>
      <c r="L27" s="332"/>
      <c r="M27" s="332"/>
    </row>
    <row r="28" spans="1:13" s="331" customFormat="1" ht="16.5" customHeight="1">
      <c r="A28" s="382">
        <f t="shared" si="3"/>
        <v>14</v>
      </c>
      <c r="B28" s="1" t="s">
        <v>171</v>
      </c>
      <c r="C28" s="377"/>
      <c r="D28" s="866"/>
      <c r="E28" s="866"/>
      <c r="F28" s="293">
        <f t="shared" si="0"/>
        <v>0</v>
      </c>
      <c r="G28" s="852">
        <f>($D$16/12)*F28</f>
        <v>0</v>
      </c>
      <c r="H28" s="293">
        <f>($D$17/12)*E28</f>
        <v>0</v>
      </c>
      <c r="I28" s="332"/>
      <c r="J28" s="865"/>
      <c r="K28" s="332"/>
      <c r="L28" s="332"/>
      <c r="M28" s="332"/>
    </row>
    <row r="29" spans="1:13" s="331" customFormat="1" ht="16.5" customHeight="1">
      <c r="A29" s="382">
        <f t="shared" si="3"/>
        <v>15</v>
      </c>
      <c r="B29" s="1" t="s">
        <v>80</v>
      </c>
      <c r="C29" s="377"/>
      <c r="D29" s="866"/>
      <c r="E29" s="866"/>
      <c r="F29" s="293">
        <f t="shared" si="0"/>
        <v>0</v>
      </c>
      <c r="G29" s="852">
        <f t="shared" si="1"/>
        <v>0</v>
      </c>
      <c r="H29" s="293">
        <f>($D$17/12)*E29</f>
        <v>0</v>
      </c>
      <c r="I29" s="332"/>
      <c r="J29" s="865"/>
      <c r="K29" s="332"/>
      <c r="L29" s="332"/>
      <c r="M29" s="332"/>
    </row>
    <row r="30" spans="1:13" s="331" customFormat="1" ht="16.5" customHeight="1">
      <c r="A30" s="382">
        <f t="shared" si="3"/>
        <v>16</v>
      </c>
      <c r="B30" s="1" t="s">
        <v>86</v>
      </c>
      <c r="C30" s="377"/>
      <c r="D30" s="866"/>
      <c r="E30" s="866"/>
      <c r="F30" s="293">
        <f t="shared" si="0"/>
        <v>0</v>
      </c>
      <c r="G30" s="852">
        <f t="shared" si="1"/>
        <v>0</v>
      </c>
      <c r="H30" s="293">
        <f>($D$17/12)*E30</f>
        <v>0</v>
      </c>
      <c r="I30" s="332"/>
      <c r="J30" s="865"/>
      <c r="K30" s="332"/>
      <c r="L30" s="332"/>
      <c r="M30" s="332"/>
    </row>
    <row r="31" spans="1:13" s="331" customFormat="1" ht="16.5" customHeight="1">
      <c r="A31" s="382">
        <f t="shared" si="3"/>
        <v>17</v>
      </c>
      <c r="B31" s="1" t="s">
        <v>79</v>
      </c>
      <c r="C31" s="377"/>
      <c r="D31" s="866"/>
      <c r="E31" s="866"/>
      <c r="F31" s="293">
        <f t="shared" si="0"/>
        <v>0</v>
      </c>
      <c r="G31" s="852">
        <f>($D$16/12)*F31</f>
        <v>0</v>
      </c>
      <c r="H31" s="293">
        <f t="shared" si="2"/>
        <v>0</v>
      </c>
      <c r="I31" s="332"/>
      <c r="J31" s="865"/>
      <c r="K31" s="332"/>
      <c r="L31" s="332"/>
      <c r="M31" s="332"/>
    </row>
    <row r="32" spans="1:13" s="331" customFormat="1" ht="16.5" customHeight="1">
      <c r="A32" s="382">
        <f t="shared" si="3"/>
        <v>18</v>
      </c>
      <c r="B32" s="1" t="s">
        <v>194</v>
      </c>
      <c r="C32" s="377"/>
      <c r="D32" s="866"/>
      <c r="E32" s="866"/>
      <c r="F32" s="854">
        <f t="shared" si="0"/>
        <v>0</v>
      </c>
      <c r="G32" s="853">
        <f t="shared" si="1"/>
        <v>0</v>
      </c>
      <c r="H32" s="854">
        <f t="shared" si="2"/>
        <v>0</v>
      </c>
      <c r="I32" s="395"/>
      <c r="J32" s="865"/>
      <c r="K32" s="332"/>
      <c r="L32" s="332"/>
      <c r="M32" s="332"/>
    </row>
    <row r="33" spans="1:13" s="331" customFormat="1" ht="16.5" customHeight="1">
      <c r="A33" s="382">
        <f t="shared" si="3"/>
        <v>19</v>
      </c>
      <c r="B33" s="6" t="s">
        <v>256</v>
      </c>
      <c r="C33" s="377"/>
      <c r="D33" s="869"/>
      <c r="E33" s="396">
        <f>SUM(E20:E32)/13</f>
        <v>0</v>
      </c>
      <c r="F33" s="855"/>
      <c r="G33" s="852">
        <f>SUM(G20:G32)</f>
        <v>0</v>
      </c>
      <c r="H33" s="293">
        <f>SUM(H20:H32)</f>
        <v>0</v>
      </c>
      <c r="I33" s="349" t="e">
        <f>(G33+H33)/E33</f>
        <v>#DIV/0!</v>
      </c>
      <c r="J33" s="865"/>
      <c r="K33" s="332"/>
      <c r="L33" s="332"/>
      <c r="M33" s="332"/>
    </row>
    <row r="34" spans="1:13" s="331" customFormat="1" ht="21" customHeight="1">
      <c r="A34" s="382"/>
      <c r="B34" s="397"/>
      <c r="C34" s="332"/>
      <c r="D34" s="332"/>
      <c r="E34" s="338"/>
      <c r="F34" s="332"/>
      <c r="G34" s="334"/>
      <c r="H34" s="338"/>
      <c r="I34" s="865"/>
      <c r="J34" s="332"/>
      <c r="K34" s="332"/>
      <c r="L34" s="332"/>
    </row>
    <row r="35" spans="1:13" s="331" customFormat="1" ht="15.75" customHeight="1">
      <c r="A35" s="382"/>
      <c r="B35" s="1220" t="s">
        <v>743</v>
      </c>
      <c r="C35" s="1220"/>
      <c r="D35" s="1220"/>
      <c r="E35" s="1220"/>
      <c r="F35" s="1220"/>
      <c r="G35" s="1220"/>
      <c r="H35" s="1220"/>
      <c r="I35" s="1220"/>
      <c r="J35" s="332"/>
      <c r="K35" s="332"/>
      <c r="L35" s="332"/>
    </row>
    <row r="36" spans="1:13" s="331" customFormat="1">
      <c r="A36" s="382"/>
      <c r="B36" s="332"/>
      <c r="C36" s="215" t="s">
        <v>196</v>
      </c>
      <c r="D36" s="215" t="s">
        <v>197</v>
      </c>
      <c r="E36" s="361" t="s">
        <v>431</v>
      </c>
      <c r="F36" s="351" t="s">
        <v>199</v>
      </c>
      <c r="G36" s="351" t="s">
        <v>201</v>
      </c>
      <c r="H36" s="351" t="s">
        <v>200</v>
      </c>
      <c r="I36" s="351" t="s">
        <v>202</v>
      </c>
      <c r="J36" s="332"/>
      <c r="K36" s="332"/>
      <c r="L36" s="332"/>
    </row>
    <row r="37" spans="1:13" s="331" customFormat="1" ht="55.5" customHeight="1">
      <c r="A37" s="382"/>
      <c r="B37" s="335" t="s">
        <v>416</v>
      </c>
      <c r="C37" s="356" t="s">
        <v>417</v>
      </c>
      <c r="D37" s="292" t="s">
        <v>851</v>
      </c>
      <c r="E37" s="358" t="s">
        <v>435</v>
      </c>
      <c r="F37" s="358" t="s">
        <v>432</v>
      </c>
      <c r="G37" s="358" t="s">
        <v>441</v>
      </c>
      <c r="H37" s="358" t="s">
        <v>436</v>
      </c>
      <c r="I37" s="358" t="s">
        <v>437</v>
      </c>
      <c r="J37" s="332"/>
      <c r="K37" s="332"/>
      <c r="L37" s="332"/>
    </row>
    <row r="38" spans="1:13" s="331" customFormat="1">
      <c r="A38" s="382">
        <f>+A33+1</f>
        <v>20</v>
      </c>
      <c r="B38" s="332" t="s">
        <v>418</v>
      </c>
      <c r="C38" s="866"/>
      <c r="D38" s="866"/>
      <c r="E38" s="866"/>
      <c r="F38" s="866"/>
      <c r="G38" s="362" t="e">
        <f t="shared" ref="G38:G43" si="4">+D38/F38</f>
        <v>#DIV/0!</v>
      </c>
      <c r="H38" s="866">
        <v>0</v>
      </c>
      <c r="I38" s="362" t="e">
        <f t="shared" ref="I38:I43" si="5">MAX(+D38-G38-H38,0)</f>
        <v>#DIV/0!</v>
      </c>
      <c r="J38" s="352"/>
      <c r="K38" s="338"/>
      <c r="L38" s="332"/>
    </row>
    <row r="39" spans="1:13" s="331" customFormat="1">
      <c r="A39" s="382">
        <f>+A38+1</f>
        <v>21</v>
      </c>
      <c r="B39" s="332" t="s">
        <v>419</v>
      </c>
      <c r="C39" s="866"/>
      <c r="D39" s="866"/>
      <c r="E39" s="866"/>
      <c r="F39" s="866"/>
      <c r="G39" s="362" t="e">
        <f>+D39/F39</f>
        <v>#DIV/0!</v>
      </c>
      <c r="H39" s="866">
        <v>0</v>
      </c>
      <c r="I39" s="362" t="e">
        <f t="shared" si="5"/>
        <v>#DIV/0!</v>
      </c>
      <c r="J39" s="339"/>
      <c r="K39" s="332"/>
      <c r="L39" s="332"/>
      <c r="M39" s="340"/>
    </row>
    <row r="40" spans="1:13" s="331" customFormat="1">
      <c r="A40" s="382">
        <f t="shared" ref="A40:A53" si="6">+A39+1</f>
        <v>22</v>
      </c>
      <c r="B40" s="332" t="s">
        <v>420</v>
      </c>
      <c r="C40" s="866"/>
      <c r="D40" s="866"/>
      <c r="E40" s="866"/>
      <c r="F40" s="866"/>
      <c r="G40" s="362" t="e">
        <f t="shared" si="4"/>
        <v>#DIV/0!</v>
      </c>
      <c r="H40" s="866">
        <v>0</v>
      </c>
      <c r="I40" s="362" t="e">
        <f t="shared" si="5"/>
        <v>#DIV/0!</v>
      </c>
      <c r="J40" s="339"/>
      <c r="K40" s="341"/>
      <c r="L40" s="332"/>
    </row>
    <row r="41" spans="1:13" s="331" customFormat="1">
      <c r="A41" s="382">
        <f t="shared" si="6"/>
        <v>23</v>
      </c>
      <c r="B41" s="332" t="s">
        <v>421</v>
      </c>
      <c r="C41" s="866"/>
      <c r="D41" s="866"/>
      <c r="E41" s="866"/>
      <c r="F41" s="866"/>
      <c r="G41" s="362" t="e">
        <f>+D41/F41</f>
        <v>#DIV/0!</v>
      </c>
      <c r="H41" s="866">
        <v>0</v>
      </c>
      <c r="I41" s="362" t="e">
        <f t="shared" si="5"/>
        <v>#DIV/0!</v>
      </c>
      <c r="J41" s="332"/>
      <c r="K41" s="332"/>
      <c r="L41" s="332"/>
    </row>
    <row r="42" spans="1:13" s="331" customFormat="1">
      <c r="A42" s="382">
        <f t="shared" si="6"/>
        <v>24</v>
      </c>
      <c r="B42" s="332" t="s">
        <v>422</v>
      </c>
      <c r="C42" s="866"/>
      <c r="D42" s="866"/>
      <c r="E42" s="866"/>
      <c r="F42" s="866"/>
      <c r="G42" s="362" t="e">
        <f t="shared" si="4"/>
        <v>#DIV/0!</v>
      </c>
      <c r="H42" s="866">
        <v>0</v>
      </c>
      <c r="I42" s="362" t="e">
        <f t="shared" si="5"/>
        <v>#DIV/0!</v>
      </c>
      <c r="J42" s="339"/>
      <c r="K42" s="332"/>
      <c r="L42" s="332"/>
    </row>
    <row r="43" spans="1:13" s="331" customFormat="1">
      <c r="A43" s="382">
        <f t="shared" si="6"/>
        <v>25</v>
      </c>
      <c r="B43" s="332" t="s">
        <v>433</v>
      </c>
      <c r="C43" s="866"/>
      <c r="D43" s="866"/>
      <c r="E43" s="866"/>
      <c r="F43" s="866"/>
      <c r="G43" s="362" t="e">
        <f t="shared" si="4"/>
        <v>#DIV/0!</v>
      </c>
      <c r="H43" s="866">
        <v>0</v>
      </c>
      <c r="I43" s="362" t="e">
        <f t="shared" si="5"/>
        <v>#DIV/0!</v>
      </c>
      <c r="J43" s="339"/>
      <c r="K43" s="332"/>
      <c r="L43" s="332"/>
    </row>
    <row r="44" spans="1:13" s="331" customFormat="1">
      <c r="A44" s="382">
        <f t="shared" si="6"/>
        <v>26</v>
      </c>
      <c r="B44" s="350" t="s">
        <v>442</v>
      </c>
      <c r="C44" s="353"/>
      <c r="D44" s="593">
        <f>SUM(D38:D43)</f>
        <v>0</v>
      </c>
      <c r="E44" s="359"/>
      <c r="F44" s="350"/>
      <c r="G44" s="593" t="e">
        <f>SUM(G38:G43)</f>
        <v>#DIV/0!</v>
      </c>
      <c r="H44" s="849">
        <f>SUM(H38:H43)</f>
        <v>0</v>
      </c>
      <c r="I44" s="593" t="e">
        <f>SUM(I38:I43)</f>
        <v>#DIV/0!</v>
      </c>
      <c r="J44" s="332"/>
      <c r="K44" s="332"/>
      <c r="L44" s="332"/>
    </row>
    <row r="45" spans="1:13" s="331" customFormat="1">
      <c r="A45" s="382">
        <f t="shared" si="6"/>
        <v>27</v>
      </c>
      <c r="B45" s="332"/>
      <c r="C45" s="339"/>
      <c r="D45" s="293"/>
      <c r="E45" s="293"/>
      <c r="G45" s="362"/>
      <c r="H45" s="850"/>
      <c r="I45" s="362"/>
      <c r="J45" s="332"/>
      <c r="K45" s="338"/>
      <c r="L45" s="332"/>
    </row>
    <row r="46" spans="1:13" s="331" customFormat="1">
      <c r="A46" s="382">
        <f t="shared" si="6"/>
        <v>28</v>
      </c>
      <c r="B46" s="335" t="s">
        <v>438</v>
      </c>
      <c r="C46" s="339"/>
      <c r="D46" s="293"/>
      <c r="E46" s="293"/>
      <c r="G46" s="362"/>
      <c r="H46" s="851"/>
      <c r="I46" s="173"/>
      <c r="J46" s="332"/>
      <c r="K46" s="342"/>
      <c r="L46" s="332"/>
    </row>
    <row r="47" spans="1:13" s="331" customFormat="1">
      <c r="A47" s="382">
        <f t="shared" si="6"/>
        <v>29</v>
      </c>
      <c r="B47" s="332" t="s">
        <v>423</v>
      </c>
      <c r="C47" s="866"/>
      <c r="D47" s="866"/>
      <c r="E47" s="866"/>
      <c r="F47" s="173" t="s">
        <v>439</v>
      </c>
      <c r="G47" s="362">
        <f>D47</f>
        <v>0</v>
      </c>
      <c r="H47" s="851" t="s">
        <v>439</v>
      </c>
      <c r="I47" s="173" t="s">
        <v>439</v>
      </c>
      <c r="J47" s="332"/>
      <c r="K47" s="342"/>
      <c r="L47" s="332"/>
    </row>
    <row r="48" spans="1:13" s="331" customFormat="1">
      <c r="A48" s="382">
        <f t="shared" si="6"/>
        <v>30</v>
      </c>
      <c r="B48" s="332" t="s">
        <v>424</v>
      </c>
      <c r="C48" s="866"/>
      <c r="D48" s="866"/>
      <c r="E48" s="866"/>
      <c r="F48" s="173" t="s">
        <v>439</v>
      </c>
      <c r="G48" s="362">
        <f>D48</f>
        <v>0</v>
      </c>
      <c r="H48" s="851" t="s">
        <v>439</v>
      </c>
      <c r="I48" s="173" t="s">
        <v>439</v>
      </c>
      <c r="J48" s="332"/>
      <c r="K48" s="342"/>
      <c r="L48" s="332"/>
    </row>
    <row r="49" spans="1:12" s="331" customFormat="1">
      <c r="A49" s="382">
        <f t="shared" si="6"/>
        <v>31</v>
      </c>
      <c r="B49" s="332" t="s">
        <v>425</v>
      </c>
      <c r="C49" s="866"/>
      <c r="D49" s="866"/>
      <c r="E49" s="866"/>
      <c r="F49" s="173" t="s">
        <v>439</v>
      </c>
      <c r="G49" s="362">
        <f>D49</f>
        <v>0</v>
      </c>
      <c r="H49" s="851" t="s">
        <v>439</v>
      </c>
      <c r="I49" s="173" t="s">
        <v>439</v>
      </c>
      <c r="J49" s="339"/>
      <c r="L49" s="332"/>
    </row>
    <row r="50" spans="1:12" s="331" customFormat="1">
      <c r="A50" s="382">
        <f t="shared" si="6"/>
        <v>32</v>
      </c>
      <c r="B50" s="332" t="s">
        <v>427</v>
      </c>
      <c r="C50" s="866"/>
      <c r="D50" s="866"/>
      <c r="E50" s="866"/>
      <c r="F50" s="173" t="s">
        <v>439</v>
      </c>
      <c r="G50" s="362">
        <f>D50</f>
        <v>0</v>
      </c>
      <c r="H50" s="851" t="s">
        <v>439</v>
      </c>
      <c r="I50" s="173" t="s">
        <v>439</v>
      </c>
      <c r="J50" s="332"/>
      <c r="K50" s="332"/>
      <c r="L50" s="332"/>
    </row>
    <row r="51" spans="1:12" s="331" customFormat="1">
      <c r="A51" s="382">
        <f t="shared" si="6"/>
        <v>33</v>
      </c>
      <c r="B51" s="350" t="s">
        <v>426</v>
      </c>
      <c r="C51" s="360"/>
      <c r="D51" s="593">
        <f>+SUM(D44:D50)</f>
        <v>0</v>
      </c>
      <c r="E51" s="359"/>
      <c r="F51" s="350"/>
      <c r="G51" s="593" t="e">
        <f>+SUM(G44:G50)</f>
        <v>#DIV/0!</v>
      </c>
      <c r="H51" s="849">
        <f>+SUM(H44:H50)</f>
        <v>0</v>
      </c>
      <c r="I51" s="593" t="e">
        <f>+SUM(I44:I50)</f>
        <v>#DIV/0!</v>
      </c>
      <c r="J51" s="332"/>
      <c r="K51" s="332"/>
      <c r="L51" s="332"/>
    </row>
    <row r="52" spans="1:12" s="331" customFormat="1">
      <c r="A52" s="382">
        <f t="shared" si="6"/>
        <v>34</v>
      </c>
      <c r="B52" s="332" t="s">
        <v>671</v>
      </c>
      <c r="C52" s="344"/>
      <c r="G52" s="293">
        <f>+E33</f>
        <v>0</v>
      </c>
      <c r="H52" s="379"/>
      <c r="I52" s="332"/>
      <c r="J52" s="332"/>
      <c r="K52" s="332"/>
      <c r="L52" s="332"/>
    </row>
    <row r="53" spans="1:12" s="331" customFormat="1">
      <c r="A53" s="382">
        <f t="shared" si="6"/>
        <v>35</v>
      </c>
      <c r="B53" s="332" t="s">
        <v>434</v>
      </c>
      <c r="C53" s="344"/>
      <c r="G53" s="349" t="e">
        <f>G51/G52</f>
        <v>#DIV/0!</v>
      </c>
      <c r="H53" s="379"/>
      <c r="I53" s="332"/>
      <c r="J53" s="332"/>
      <c r="K53" s="332"/>
      <c r="L53" s="332"/>
    </row>
    <row r="54" spans="1:12" s="331" customFormat="1">
      <c r="A54" s="215">
        <f>+A53+1</f>
        <v>36</v>
      </c>
      <c r="B54" s="332" t="s">
        <v>793</v>
      </c>
      <c r="C54" s="344"/>
      <c r="E54" s="830">
        <v>3.7199999999999997E-2</v>
      </c>
      <c r="H54" s="640"/>
      <c r="I54" s="332"/>
      <c r="J54" s="332"/>
      <c r="K54" s="332"/>
      <c r="L54" s="332"/>
    </row>
    <row r="55" spans="1:12" s="331" customFormat="1">
      <c r="A55" s="215"/>
      <c r="B55" s="335"/>
      <c r="C55" s="344"/>
      <c r="D55" s="334"/>
      <c r="E55" s="334"/>
      <c r="H55" s="640"/>
      <c r="I55" s="332"/>
      <c r="J55" s="332"/>
      <c r="K55" s="332"/>
      <c r="L55" s="332"/>
    </row>
    <row r="56" spans="1:12" s="331" customFormat="1">
      <c r="A56" s="356" t="s">
        <v>572</v>
      </c>
      <c r="B56" s="335"/>
      <c r="C56" s="344"/>
      <c r="D56" s="334"/>
      <c r="E56" s="334"/>
      <c r="H56" s="640"/>
      <c r="I56" s="332"/>
      <c r="J56" s="332"/>
      <c r="K56" s="332"/>
      <c r="L56" s="332"/>
    </row>
    <row r="57" spans="1:12" s="331" customFormat="1" ht="30" customHeight="1">
      <c r="A57" s="834" t="s">
        <v>62</v>
      </c>
      <c r="B57" s="1266" t="s">
        <v>796</v>
      </c>
      <c r="C57" s="1266"/>
      <c r="D57" s="1266"/>
      <c r="E57" s="1266"/>
      <c r="F57" s="1266"/>
      <c r="G57" s="1266"/>
      <c r="H57" s="1266"/>
      <c r="I57" s="1266"/>
    </row>
    <row r="58" spans="1:12" s="331" customFormat="1">
      <c r="A58" s="345"/>
      <c r="B58" s="331" t="s">
        <v>794</v>
      </c>
      <c r="C58" s="343">
        <v>0</v>
      </c>
      <c r="D58" s="867"/>
      <c r="J58" s="346"/>
      <c r="K58" s="346"/>
    </row>
    <row r="59" spans="1:12" s="331" customFormat="1">
      <c r="A59" s="345"/>
      <c r="B59" s="331" t="s">
        <v>795</v>
      </c>
      <c r="C59" s="822">
        <v>0</v>
      </c>
      <c r="D59" s="867"/>
      <c r="J59" s="346"/>
      <c r="K59" s="346"/>
    </row>
    <row r="60" spans="1:12" s="331" customFormat="1">
      <c r="A60" s="345"/>
      <c r="B60" s="331" t="s">
        <v>13</v>
      </c>
      <c r="C60" s="822">
        <f>+C58+C59</f>
        <v>0</v>
      </c>
      <c r="J60" s="346"/>
      <c r="K60" s="346"/>
    </row>
    <row r="133" spans="2:3">
      <c r="B133" s="331"/>
      <c r="C133" s="331"/>
    </row>
  </sheetData>
  <customSheetViews>
    <customSheetView guid="{63AFAF34-E340-4B5E-A289-FFB7051CA9B6}" showPageBreaks="1" printArea="1" view="pageBreakPreview">
      <selection activeCell="B11" sqref="B11:G11"/>
      <pageMargins left="0.5" right="0.1" top="0.25" bottom="0.25" header="0.3" footer="0.3"/>
      <pageSetup scale="53" orientation="landscape" r:id="rId1"/>
    </customSheetView>
  </customSheetViews>
  <mergeCells count="10">
    <mergeCell ref="B57:I57"/>
    <mergeCell ref="B35:I35"/>
    <mergeCell ref="B9:G9"/>
    <mergeCell ref="B8:G8"/>
    <mergeCell ref="A1:G1"/>
    <mergeCell ref="A2:G2"/>
    <mergeCell ref="A3:G3"/>
    <mergeCell ref="B5:G5"/>
    <mergeCell ref="B7:G7"/>
    <mergeCell ref="B6:G6"/>
  </mergeCells>
  <printOptions horizontalCentered="1"/>
  <pageMargins left="0.5" right="0.1" top="0.25" bottom="0.25" header="0.3" footer="0.3"/>
  <pageSetup scale="53" orientation="landscape" r:id="rId2"/>
  <drawing r:id="rId3"/>
  <legacyDrawing r:id="rId4"/>
  <oleObjects>
    <mc:AlternateContent xmlns:mc="http://schemas.openxmlformats.org/markup-compatibility/2006">
      <mc:Choice Requires="x14">
        <oleObject progId="Equation.3" shapeId="98305" r:id="rId5">
          <objectPr defaultSize="0" autoPict="0" r:id="rId6">
            <anchor moveWithCells="1" sizeWithCells="1">
              <from>
                <xdr:col>1</xdr:col>
                <xdr:colOff>374650</xdr:colOff>
                <xdr:row>4</xdr:row>
                <xdr:rowOff>12700</xdr:rowOff>
              </from>
              <to>
                <xdr:col>2</xdr:col>
                <xdr:colOff>1022350</xdr:colOff>
                <xdr:row>4</xdr:row>
                <xdr:rowOff>12700</xdr:rowOff>
              </to>
            </anchor>
          </objectPr>
        </oleObject>
      </mc:Choice>
      <mc:Fallback>
        <oleObject progId="Equation.3" shapeId="98305" r:id="rId5"/>
      </mc:Fallback>
    </mc:AlternateContent>
  </oleObject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L114"/>
  <sheetViews>
    <sheetView view="pageBreakPreview" zoomScale="80" zoomScaleNormal="90" zoomScaleSheetLayoutView="80" workbookViewId="0">
      <selection activeCell="B24" sqref="B24"/>
    </sheetView>
  </sheetViews>
  <sheetFormatPr defaultColWidth="8.84375" defaultRowHeight="13"/>
  <cols>
    <col min="1" max="1" width="5.07421875" style="345" bestFit="1" customWidth="1"/>
    <col min="2" max="2" width="41.84375" style="346" customWidth="1"/>
    <col min="3" max="3" width="14.69140625" style="346" customWidth="1"/>
    <col min="4" max="4" width="14.3046875" style="346" customWidth="1"/>
    <col min="5" max="5" width="9.84375" style="346" customWidth="1"/>
    <col min="6" max="6" width="15.69140625" style="346" customWidth="1"/>
    <col min="7" max="9" width="13.53515625" style="346" customWidth="1"/>
    <col min="10" max="10" width="14.84375" style="346" customWidth="1"/>
    <col min="11" max="11" width="13.53515625" style="346" customWidth="1"/>
    <col min="12" max="12" width="7.07421875" style="346" customWidth="1"/>
    <col min="13" max="13" width="12.07421875" style="346" customWidth="1"/>
    <col min="14" max="14" width="8.07421875" style="346" customWidth="1"/>
    <col min="15" max="15" width="7.69140625" style="346" bestFit="1" customWidth="1"/>
    <col min="16" max="16" width="11.69140625" style="346" bestFit="1" customWidth="1"/>
    <col min="17" max="17" width="10.84375" style="346" bestFit="1" customWidth="1"/>
    <col min="18" max="16384" width="8.84375" style="346"/>
  </cols>
  <sheetData>
    <row r="1" spans="1:12" s="331" customFormat="1" ht="25.5" customHeight="1">
      <c r="A1" s="1267" t="s">
        <v>413</v>
      </c>
      <c r="B1" s="1267"/>
      <c r="C1" s="1267"/>
      <c r="D1" s="1267"/>
      <c r="E1" s="1267"/>
      <c r="F1" s="1267"/>
      <c r="G1" s="1267"/>
      <c r="H1" s="357"/>
      <c r="I1" s="357"/>
      <c r="J1" s="357"/>
      <c r="K1" s="357"/>
    </row>
    <row r="2" spans="1:12" s="331" customFormat="1">
      <c r="A2" s="1267" t="s">
        <v>797</v>
      </c>
      <c r="B2" s="1267"/>
      <c r="C2" s="1267"/>
      <c r="D2" s="1267"/>
      <c r="E2" s="1267"/>
      <c r="F2" s="1267"/>
      <c r="G2" s="1267"/>
      <c r="H2" s="357"/>
      <c r="I2" s="357"/>
      <c r="J2" s="357"/>
      <c r="K2" s="357"/>
    </row>
    <row r="3" spans="1:12" s="331" customFormat="1" ht="15" customHeight="1">
      <c r="A3" s="1237" t="str">
        <f>+'Attachment H-26'!D5</f>
        <v>Transource West Virginia, LLC</v>
      </c>
      <c r="B3" s="1237"/>
      <c r="C3" s="1237"/>
      <c r="D3" s="1237"/>
      <c r="E3" s="1237"/>
      <c r="F3" s="1237"/>
      <c r="G3" s="1237"/>
      <c r="H3" s="36"/>
      <c r="I3" s="36"/>
      <c r="J3" s="36"/>
      <c r="K3" s="36"/>
      <c r="L3" s="332"/>
    </row>
    <row r="4" spans="1:12" s="331" customFormat="1">
      <c r="A4" s="380"/>
      <c r="L4" s="332"/>
    </row>
    <row r="5" spans="1:12" s="331" customFormat="1">
      <c r="A5" s="333"/>
      <c r="B5" s="332"/>
      <c r="C5" s="332"/>
      <c r="D5" s="332"/>
      <c r="E5" s="332"/>
      <c r="F5" s="1269"/>
      <c r="G5" s="1269"/>
      <c r="H5" s="1269"/>
      <c r="I5" s="332"/>
      <c r="J5" s="332"/>
      <c r="K5" s="332"/>
      <c r="L5" s="332"/>
    </row>
    <row r="6" spans="1:12" s="331" customFormat="1" ht="54" customHeight="1">
      <c r="A6" s="333"/>
      <c r="B6" s="1220" t="s">
        <v>830</v>
      </c>
      <c r="C6" s="1220"/>
      <c r="D6" s="1220"/>
      <c r="E6" s="1220"/>
      <c r="F6" s="1220"/>
      <c r="G6" s="348"/>
      <c r="H6" s="348"/>
      <c r="I6" s="348"/>
      <c r="J6" s="332"/>
      <c r="K6" s="332"/>
      <c r="L6" s="332"/>
    </row>
    <row r="7" spans="1:12" s="331" customFormat="1" ht="18.75" customHeight="1">
      <c r="A7" s="333"/>
      <c r="B7" s="1270" t="s">
        <v>747</v>
      </c>
      <c r="C7" s="1270"/>
      <c r="D7" s="1270"/>
      <c r="E7" s="1270"/>
      <c r="F7" s="1270"/>
      <c r="G7" s="287"/>
      <c r="H7" s="381"/>
      <c r="I7" s="381"/>
      <c r="J7" s="347"/>
      <c r="K7" s="347"/>
      <c r="L7" s="381"/>
    </row>
    <row r="8" spans="1:12" s="331" customFormat="1" ht="33.75" customHeight="1">
      <c r="A8" s="333"/>
      <c r="B8" s="1220" t="s">
        <v>844</v>
      </c>
      <c r="C8" s="1220"/>
      <c r="D8" s="1220"/>
      <c r="E8" s="1220"/>
      <c r="F8" s="1220"/>
      <c r="G8" s="348"/>
      <c r="H8" s="381"/>
      <c r="I8" s="381"/>
      <c r="J8" s="347"/>
      <c r="K8" s="347"/>
      <c r="L8" s="381"/>
    </row>
    <row r="9" spans="1:12" s="331" customFormat="1">
      <c r="A9" s="333"/>
      <c r="B9" s="379"/>
      <c r="C9" s="379"/>
      <c r="D9" s="379"/>
      <c r="E9" s="379"/>
      <c r="F9" s="379"/>
      <c r="G9" s="379"/>
      <c r="H9" s="381"/>
      <c r="I9" s="381"/>
      <c r="J9" s="347"/>
      <c r="K9" s="347"/>
      <c r="L9" s="381"/>
    </row>
    <row r="10" spans="1:12" s="331" customFormat="1" ht="26">
      <c r="A10" s="220" t="s">
        <v>154</v>
      </c>
      <c r="B10" s="379"/>
      <c r="C10" s="379"/>
      <c r="D10" s="379"/>
      <c r="E10" s="379"/>
      <c r="F10" s="379"/>
      <c r="G10" s="379"/>
      <c r="H10" s="381"/>
      <c r="I10" s="381"/>
      <c r="J10" s="347"/>
      <c r="K10" s="347"/>
      <c r="L10" s="381"/>
    </row>
    <row r="11" spans="1:12" s="331" customFormat="1" ht="18.75" customHeight="1" thickBot="1">
      <c r="C11" s="332"/>
      <c r="D11" s="383" t="s">
        <v>48</v>
      </c>
      <c r="E11" s="332"/>
      <c r="F11" s="332"/>
      <c r="G11" s="334"/>
      <c r="H11" s="332"/>
      <c r="I11" s="332"/>
      <c r="J11" s="332"/>
      <c r="K11" s="332"/>
      <c r="L11" s="332"/>
    </row>
    <row r="12" spans="1:12" s="331" customFormat="1" ht="16.5" customHeight="1">
      <c r="A12" s="260">
        <v>1</v>
      </c>
      <c r="B12" s="24" t="s">
        <v>485</v>
      </c>
      <c r="D12" s="290">
        <v>786696.9</v>
      </c>
      <c r="E12" s="852"/>
      <c r="F12" s="332"/>
      <c r="G12" s="334"/>
      <c r="H12" s="332"/>
      <c r="I12" s="332"/>
      <c r="J12" s="332"/>
      <c r="K12" s="332"/>
      <c r="L12" s="332"/>
    </row>
    <row r="13" spans="1:12" s="331" customFormat="1" ht="16.5" customHeight="1">
      <c r="A13" s="392">
        <f>+A12+1</f>
        <v>2</v>
      </c>
      <c r="B13" s="393" t="s">
        <v>494</v>
      </c>
      <c r="C13" s="332"/>
      <c r="D13" s="291">
        <v>6865.21</v>
      </c>
      <c r="E13" s="293"/>
      <c r="F13" s="332"/>
      <c r="G13" s="334"/>
      <c r="H13" s="332"/>
      <c r="I13" s="332"/>
      <c r="J13" s="332"/>
      <c r="K13" s="332"/>
      <c r="L13" s="332"/>
    </row>
    <row r="14" spans="1:12" s="331" customFormat="1" ht="16.5" customHeight="1">
      <c r="A14" s="260">
        <f>+A13+1</f>
        <v>3</v>
      </c>
      <c r="B14" s="24" t="s">
        <v>495</v>
      </c>
      <c r="D14" s="293">
        <f>SUM(D12:D13)</f>
        <v>793562.11</v>
      </c>
      <c r="E14" s="332"/>
      <c r="F14" s="332"/>
      <c r="G14" s="334"/>
      <c r="H14" s="332"/>
      <c r="I14" s="332"/>
      <c r="J14" s="332"/>
      <c r="K14" s="332"/>
      <c r="L14" s="332"/>
    </row>
    <row r="15" spans="1:12" s="331" customFormat="1" ht="16.5" customHeight="1">
      <c r="A15" s="382"/>
      <c r="B15" s="335"/>
      <c r="C15" s="377"/>
      <c r="D15" s="856"/>
      <c r="E15" s="377"/>
      <c r="F15" s="377"/>
      <c r="H15" s="332"/>
      <c r="I15" s="332"/>
      <c r="J15" s="332"/>
      <c r="K15" s="332"/>
      <c r="L15" s="332"/>
    </row>
    <row r="16" spans="1:12" s="331" customFormat="1" ht="16.5" customHeight="1">
      <c r="A16" s="382"/>
      <c r="B16" s="335"/>
      <c r="C16" s="377"/>
      <c r="D16" s="856"/>
      <c r="E16" s="377"/>
      <c r="F16" s="377"/>
      <c r="H16" s="332"/>
      <c r="I16" s="332"/>
      <c r="J16" s="332"/>
      <c r="K16" s="332"/>
      <c r="L16" s="332"/>
    </row>
    <row r="17" spans="1:12" s="331" customFormat="1" ht="16.5" customHeight="1">
      <c r="A17" s="382"/>
      <c r="B17" s="332" t="s">
        <v>508</v>
      </c>
      <c r="C17" s="377"/>
      <c r="D17" s="856"/>
      <c r="E17" s="377"/>
      <c r="F17" s="377"/>
      <c r="H17" s="332"/>
      <c r="I17" s="332"/>
      <c r="J17" s="332"/>
      <c r="K17" s="332"/>
      <c r="L17" s="332"/>
    </row>
    <row r="18" spans="1:12" s="331" customFormat="1" ht="26.25" customHeight="1">
      <c r="A18" s="382"/>
      <c r="B18" s="398" t="s">
        <v>440</v>
      </c>
      <c r="C18" s="377"/>
      <c r="D18" s="857" t="s">
        <v>509</v>
      </c>
      <c r="E18" s="377"/>
      <c r="F18" s="377"/>
      <c r="H18" s="332"/>
      <c r="I18" s="332"/>
      <c r="J18" s="332"/>
      <c r="K18" s="332"/>
      <c r="L18" s="332"/>
    </row>
    <row r="19" spans="1:12" s="331" customFormat="1" ht="21" customHeight="1">
      <c r="A19" s="382"/>
      <c r="B19" s="378" t="s">
        <v>196</v>
      </c>
      <c r="C19" s="377"/>
      <c r="D19" s="858" t="s">
        <v>199</v>
      </c>
      <c r="E19" s="377"/>
      <c r="F19" s="377"/>
      <c r="H19" s="332"/>
      <c r="I19" s="332"/>
      <c r="J19" s="332"/>
      <c r="K19" s="332"/>
      <c r="L19" s="332"/>
    </row>
    <row r="20" spans="1:12" s="331" customFormat="1" ht="16.5" customHeight="1">
      <c r="A20" s="384">
        <f>+A14+1</f>
        <v>4</v>
      </c>
      <c r="B20" s="5" t="s">
        <v>193</v>
      </c>
      <c r="C20" s="377"/>
      <c r="D20" s="290">
        <v>28738270.059999999</v>
      </c>
      <c r="E20" s="377"/>
      <c r="F20" s="377"/>
      <c r="H20" s="332"/>
      <c r="I20" s="332"/>
      <c r="J20" s="332"/>
      <c r="K20" s="332"/>
      <c r="L20" s="332"/>
    </row>
    <row r="21" spans="1:12" s="331" customFormat="1" ht="16.5" customHeight="1">
      <c r="A21" s="382">
        <f>+A20+1</f>
        <v>5</v>
      </c>
      <c r="B21" s="5" t="s">
        <v>85</v>
      </c>
      <c r="C21" s="377"/>
      <c r="D21" s="290">
        <v>28738270.059999999</v>
      </c>
      <c r="E21" s="377"/>
      <c r="F21" s="377"/>
      <c r="H21" s="332"/>
      <c r="I21" s="332"/>
      <c r="J21" s="332"/>
      <c r="K21" s="332"/>
      <c r="L21" s="332"/>
    </row>
    <row r="22" spans="1:12" s="331" customFormat="1" ht="16.5" customHeight="1">
      <c r="A22" s="382">
        <f t="shared" ref="A22:A33" si="0">+A21+1</f>
        <v>6</v>
      </c>
      <c r="B22" s="1" t="s">
        <v>84</v>
      </c>
      <c r="C22" s="377"/>
      <c r="D22" s="290">
        <v>28738270.059999999</v>
      </c>
      <c r="E22" s="377"/>
      <c r="F22" s="377"/>
      <c r="H22" s="332"/>
      <c r="I22" s="332"/>
      <c r="J22" s="332"/>
      <c r="K22" s="332"/>
      <c r="L22" s="332"/>
    </row>
    <row r="23" spans="1:12" s="331" customFormat="1" ht="16.5" customHeight="1">
      <c r="A23" s="382">
        <f t="shared" si="0"/>
        <v>7</v>
      </c>
      <c r="B23" s="1" t="s">
        <v>170</v>
      </c>
      <c r="C23" s="377"/>
      <c r="D23" s="290">
        <v>28474685.100000001</v>
      </c>
      <c r="E23" s="377"/>
      <c r="F23" s="377"/>
      <c r="H23" s="332"/>
      <c r="I23" s="332"/>
      <c r="J23" s="332"/>
      <c r="K23" s="332"/>
      <c r="L23" s="332"/>
    </row>
    <row r="24" spans="1:12" s="331" customFormat="1" ht="16.5" customHeight="1">
      <c r="A24" s="382">
        <f t="shared" si="0"/>
        <v>8</v>
      </c>
      <c r="B24" s="1" t="s">
        <v>76</v>
      </c>
      <c r="C24" s="377"/>
      <c r="D24" s="290">
        <v>28473405.809999999</v>
      </c>
      <c r="E24" s="377"/>
      <c r="F24" s="377"/>
      <c r="H24" s="332"/>
      <c r="I24" s="332"/>
      <c r="J24" s="332"/>
      <c r="K24" s="332"/>
      <c r="L24" s="332"/>
    </row>
    <row r="25" spans="1:12" s="331" customFormat="1" ht="16.5" customHeight="1">
      <c r="A25" s="382">
        <f t="shared" si="0"/>
        <v>9</v>
      </c>
      <c r="B25" s="1" t="s">
        <v>75</v>
      </c>
      <c r="C25" s="377"/>
      <c r="D25" s="290">
        <v>28473405.809999999</v>
      </c>
      <c r="E25" s="377"/>
      <c r="F25" s="377"/>
      <c r="H25" s="332"/>
      <c r="I25" s="332"/>
      <c r="J25" s="332"/>
      <c r="K25" s="332"/>
      <c r="L25" s="332"/>
    </row>
    <row r="26" spans="1:12" s="331" customFormat="1" ht="16.5" customHeight="1">
      <c r="A26" s="382">
        <f t="shared" si="0"/>
        <v>10</v>
      </c>
      <c r="B26" s="1" t="s">
        <v>95</v>
      </c>
      <c r="C26" s="377"/>
      <c r="D26" s="290">
        <v>28473405.809999999</v>
      </c>
      <c r="E26" s="377"/>
      <c r="F26" s="377"/>
      <c r="H26" s="332"/>
      <c r="I26" s="332"/>
      <c r="J26" s="332"/>
      <c r="K26" s="332"/>
      <c r="L26" s="332"/>
    </row>
    <row r="27" spans="1:12" s="331" customFormat="1" ht="16.5" customHeight="1">
      <c r="A27" s="382">
        <f t="shared" si="0"/>
        <v>11</v>
      </c>
      <c r="B27" s="1" t="s">
        <v>82</v>
      </c>
      <c r="C27" s="377"/>
      <c r="D27" s="290">
        <v>28473405.809999999</v>
      </c>
      <c r="E27" s="377"/>
      <c r="F27" s="377"/>
      <c r="H27" s="332"/>
      <c r="I27" s="332"/>
      <c r="J27" s="332"/>
      <c r="K27" s="332"/>
      <c r="L27" s="332"/>
    </row>
    <row r="28" spans="1:12" s="331" customFormat="1" ht="16.5" customHeight="1">
      <c r="A28" s="382">
        <f t="shared" si="0"/>
        <v>12</v>
      </c>
      <c r="B28" s="1" t="s">
        <v>171</v>
      </c>
      <c r="C28" s="377"/>
      <c r="D28" s="290">
        <v>28473405.809999999</v>
      </c>
      <c r="E28" s="377"/>
      <c r="F28" s="377"/>
      <c r="H28" s="332"/>
      <c r="I28" s="332"/>
      <c r="J28" s="332"/>
      <c r="K28" s="332"/>
      <c r="L28" s="332"/>
    </row>
    <row r="29" spans="1:12" s="331" customFormat="1" ht="16.5" customHeight="1">
      <c r="A29" s="382">
        <f t="shared" si="0"/>
        <v>13</v>
      </c>
      <c r="B29" s="1" t="s">
        <v>80</v>
      </c>
      <c r="C29" s="377"/>
      <c r="D29" s="290">
        <v>28212483.84</v>
      </c>
      <c r="E29" s="377"/>
      <c r="F29" s="377"/>
      <c r="H29" s="332"/>
      <c r="I29" s="332"/>
      <c r="J29" s="332"/>
      <c r="K29" s="332"/>
      <c r="L29" s="332"/>
    </row>
    <row r="30" spans="1:12" s="331" customFormat="1" ht="16.5" customHeight="1">
      <c r="A30" s="382">
        <f t="shared" si="0"/>
        <v>14</v>
      </c>
      <c r="B30" s="1" t="s">
        <v>86</v>
      </c>
      <c r="C30" s="377"/>
      <c r="D30" s="290">
        <v>28212483.84</v>
      </c>
      <c r="E30" s="377"/>
      <c r="F30" s="377"/>
      <c r="H30" s="332"/>
      <c r="I30" s="332"/>
      <c r="J30" s="332"/>
      <c r="K30" s="332"/>
      <c r="L30" s="332"/>
    </row>
    <row r="31" spans="1:12" s="331" customFormat="1" ht="16.5" customHeight="1">
      <c r="A31" s="382">
        <f t="shared" si="0"/>
        <v>15</v>
      </c>
      <c r="B31" s="1" t="s">
        <v>79</v>
      </c>
      <c r="C31" s="377"/>
      <c r="D31" s="290">
        <v>28212483.84</v>
      </c>
      <c r="E31" s="377"/>
      <c r="F31" s="377"/>
      <c r="H31" s="332"/>
      <c r="I31" s="332"/>
      <c r="J31" s="332"/>
      <c r="K31" s="332"/>
      <c r="L31" s="332"/>
    </row>
    <row r="32" spans="1:12" s="331" customFormat="1" ht="16.5" customHeight="1">
      <c r="A32" s="382">
        <f t="shared" si="0"/>
        <v>16</v>
      </c>
      <c r="B32" s="1" t="s">
        <v>194</v>
      </c>
      <c r="C32" s="377"/>
      <c r="D32" s="290">
        <v>28212483.84</v>
      </c>
      <c r="E32" s="377"/>
      <c r="F32" s="377"/>
      <c r="H32" s="332"/>
      <c r="I32" s="332"/>
      <c r="J32" s="332"/>
      <c r="K32" s="332"/>
      <c r="L32" s="332"/>
    </row>
    <row r="33" spans="1:12" s="331" customFormat="1" ht="16.5" customHeight="1">
      <c r="A33" s="382">
        <f t="shared" si="0"/>
        <v>17</v>
      </c>
      <c r="B33" s="6" t="s">
        <v>256</v>
      </c>
      <c r="C33" s="377"/>
      <c r="D33" s="592">
        <f>SUM(D20:D32)/13</f>
        <v>28454343.053076919</v>
      </c>
      <c r="E33" s="377"/>
      <c r="F33" s="377"/>
      <c r="H33" s="332"/>
      <c r="I33" s="332"/>
      <c r="J33" s="332"/>
      <c r="K33" s="332"/>
      <c r="L33" s="332"/>
    </row>
    <row r="34" spans="1:12" s="331" customFormat="1" ht="21" customHeight="1">
      <c r="A34" s="382"/>
      <c r="C34" s="332"/>
      <c r="D34" s="332"/>
      <c r="E34" s="332"/>
      <c r="F34" s="332"/>
      <c r="G34" s="334"/>
      <c r="H34" s="332"/>
      <c r="I34" s="332"/>
      <c r="J34" s="332"/>
      <c r="K34" s="332"/>
      <c r="L34" s="332"/>
    </row>
    <row r="35" spans="1:12" s="331" customFormat="1" ht="16.5" customHeight="1">
      <c r="A35" s="382">
        <f>+A33+1</f>
        <v>18</v>
      </c>
      <c r="B35" s="331" t="s">
        <v>669</v>
      </c>
      <c r="C35" s="377"/>
      <c r="D35" s="349">
        <f>D14/D33</f>
        <v>2.7888962627593959E-2</v>
      </c>
      <c r="E35" s="377"/>
      <c r="F35" s="377"/>
      <c r="H35" s="332"/>
      <c r="I35" s="332"/>
      <c r="J35" s="332"/>
      <c r="K35" s="332"/>
      <c r="L35" s="332"/>
    </row>
    <row r="36" spans="1:12" s="331" customFormat="1" ht="16.5" customHeight="1">
      <c r="A36" s="382"/>
      <c r="B36" s="335"/>
      <c r="C36" s="377"/>
      <c r="D36" s="365"/>
      <c r="E36" s="377"/>
      <c r="F36" s="377"/>
      <c r="H36" s="332"/>
      <c r="I36" s="332"/>
      <c r="J36" s="332"/>
      <c r="K36" s="332"/>
      <c r="L36" s="332"/>
    </row>
    <row r="37" spans="1:12" s="331" customFormat="1" ht="16.5" customHeight="1">
      <c r="A37" s="706" t="s">
        <v>572</v>
      </c>
      <c r="B37" s="335"/>
      <c r="C37" s="537"/>
      <c r="D37" s="365"/>
      <c r="E37" s="537"/>
      <c r="F37" s="537"/>
      <c r="H37" s="332"/>
      <c r="I37" s="332"/>
      <c r="J37" s="332"/>
      <c r="K37" s="332"/>
      <c r="L37" s="332"/>
    </row>
    <row r="38" spans="1:12" s="331" customFormat="1" ht="32.25" customHeight="1">
      <c r="A38" s="740" t="s">
        <v>62</v>
      </c>
      <c r="B38" s="1211" t="s">
        <v>488</v>
      </c>
      <c r="C38" s="1211"/>
      <c r="D38" s="1211"/>
      <c r="E38" s="1211"/>
      <c r="F38" s="1211"/>
      <c r="G38" s="399"/>
      <c r="H38" s="332"/>
      <c r="I38" s="336"/>
      <c r="J38" s="337"/>
      <c r="K38" s="332"/>
      <c r="L38" s="332"/>
    </row>
    <row r="39" spans="1:12" s="331" customFormat="1">
      <c r="A39" s="345"/>
      <c r="J39" s="346"/>
      <c r="K39" s="346"/>
    </row>
    <row r="40" spans="1:12" s="331" customFormat="1">
      <c r="A40" s="345"/>
      <c r="J40" s="346"/>
      <c r="K40" s="346"/>
    </row>
    <row r="41" spans="1:12" s="331" customFormat="1">
      <c r="A41" s="345"/>
      <c r="J41" s="346"/>
      <c r="K41" s="346"/>
    </row>
    <row r="114" spans="2:3">
      <c r="B114" s="331"/>
      <c r="C114" s="331"/>
    </row>
  </sheetData>
  <customSheetViews>
    <customSheetView guid="{63AFAF34-E340-4B5E-A289-FFB7051CA9B6}" scale="90" showPageBreaks="1" fitToPage="1" printArea="1">
      <selection activeCell="A2" sqref="A2:G2"/>
      <colBreaks count="1" manualBreakCount="1">
        <brk id="9" max="60" man="1"/>
      </colBreaks>
      <pageMargins left="0.5" right="0.1" top="0.25" bottom="0.25" header="0.3" footer="0.3"/>
      <pageSetup scale="80" orientation="landscape" r:id="rId1"/>
    </customSheetView>
  </customSheetViews>
  <mergeCells count="8">
    <mergeCell ref="B6:F6"/>
    <mergeCell ref="B38:F38"/>
    <mergeCell ref="A1:G1"/>
    <mergeCell ref="A2:G2"/>
    <mergeCell ref="A3:G3"/>
    <mergeCell ref="F5:H5"/>
    <mergeCell ref="B7:F7"/>
    <mergeCell ref="B8:F8"/>
  </mergeCells>
  <pageMargins left="0.5" right="0.1" top="0.25" bottom="0.25" header="0.3" footer="0.3"/>
  <pageSetup scale="83" orientation="landscape" r:id="rId2"/>
  <colBreaks count="1" manualBreakCount="1">
    <brk id="9" max="60" man="1"/>
  </colBreaks>
  <drawing r:id="rId3"/>
  <legacyDrawing r:id="rId4"/>
  <oleObjects>
    <mc:AlternateContent xmlns:mc="http://schemas.openxmlformats.org/markup-compatibility/2006">
      <mc:Choice Requires="x14">
        <oleObject progId="Equation.3" shapeId="96257" r:id="rId5">
          <objectPr defaultSize="0" autoPict="0" r:id="rId6">
            <anchor moveWithCells="1" sizeWithCells="1">
              <from>
                <xdr:col>1</xdr:col>
                <xdr:colOff>374650</xdr:colOff>
                <xdr:row>3</xdr:row>
                <xdr:rowOff>152400</xdr:rowOff>
              </from>
              <to>
                <xdr:col>2</xdr:col>
                <xdr:colOff>1003300</xdr:colOff>
                <xdr:row>3</xdr:row>
                <xdr:rowOff>152400</xdr:rowOff>
              </to>
            </anchor>
          </objectPr>
        </oleObject>
      </mc:Choice>
      <mc:Fallback>
        <oleObject progId="Equation.3" shapeId="96257" r:id="rId5"/>
      </mc:Fallback>
    </mc:AlternateContent>
  </oleObjec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autoPageBreaks="0" fitToPage="1"/>
  </sheetPr>
  <dimension ref="A1:J450"/>
  <sheetViews>
    <sheetView showOutlineSymbols="0" view="pageBreakPreview" zoomScale="80" zoomScaleNormal="75" zoomScaleSheetLayoutView="80" workbookViewId="0">
      <pane ySplit="12" topLeftCell="A13" activePane="bottomLeft" state="frozen"/>
      <selection activeCell="B24" sqref="B24"/>
      <selection pane="bottomLeft" activeCell="B24" sqref="B24"/>
    </sheetView>
  </sheetViews>
  <sheetFormatPr defaultColWidth="9.69140625" defaultRowHeight="13"/>
  <cols>
    <col min="1" max="1" width="7.69140625" style="764" customWidth="1"/>
    <col min="2" max="2" width="32.84375" style="764" customWidth="1"/>
    <col min="3" max="7" width="12.07421875" style="764" customWidth="1"/>
    <col min="8" max="8" width="13.4609375" style="764" customWidth="1"/>
    <col min="9" max="9" width="12.69140625" style="764" customWidth="1"/>
    <col min="10" max="10" width="13.69140625" style="764" customWidth="1"/>
    <col min="11" max="256" width="9.69140625" style="764"/>
    <col min="257" max="257" width="7.69140625" style="764" customWidth="1"/>
    <col min="258" max="258" width="32.84375" style="764" customWidth="1"/>
    <col min="259" max="259" width="9.07421875" style="764" customWidth="1"/>
    <col min="260" max="260" width="6.53515625" style="764" customWidth="1"/>
    <col min="261" max="261" width="7.84375" style="764" customWidth="1"/>
    <col min="262" max="262" width="8.07421875" style="764" customWidth="1"/>
    <col min="263" max="263" width="9" style="764" customWidth="1"/>
    <col min="264" max="264" width="11.53515625" style="764" customWidth="1"/>
    <col min="265" max="265" width="12.69140625" style="764" customWidth="1"/>
    <col min="266" max="266" width="13.69140625" style="764" customWidth="1"/>
    <col min="267" max="512" width="9.69140625" style="764"/>
    <col min="513" max="513" width="7.69140625" style="764" customWidth="1"/>
    <col min="514" max="514" width="32.84375" style="764" customWidth="1"/>
    <col min="515" max="515" width="9.07421875" style="764" customWidth="1"/>
    <col min="516" max="516" width="6.53515625" style="764" customWidth="1"/>
    <col min="517" max="517" width="7.84375" style="764" customWidth="1"/>
    <col min="518" max="518" width="8.07421875" style="764" customWidth="1"/>
    <col min="519" max="519" width="9" style="764" customWidth="1"/>
    <col min="520" max="520" width="11.53515625" style="764" customWidth="1"/>
    <col min="521" max="521" width="12.69140625" style="764" customWidth="1"/>
    <col min="522" max="522" width="13.69140625" style="764" customWidth="1"/>
    <col min="523" max="768" width="9.69140625" style="764"/>
    <col min="769" max="769" width="7.69140625" style="764" customWidth="1"/>
    <col min="770" max="770" width="32.84375" style="764" customWidth="1"/>
    <col min="771" max="771" width="9.07421875" style="764" customWidth="1"/>
    <col min="772" max="772" width="6.53515625" style="764" customWidth="1"/>
    <col min="773" max="773" width="7.84375" style="764" customWidth="1"/>
    <col min="774" max="774" width="8.07421875" style="764" customWidth="1"/>
    <col min="775" max="775" width="9" style="764" customWidth="1"/>
    <col min="776" max="776" width="11.53515625" style="764" customWidth="1"/>
    <col min="777" max="777" width="12.69140625" style="764" customWidth="1"/>
    <col min="778" max="778" width="13.69140625" style="764" customWidth="1"/>
    <col min="779" max="1024" width="9.69140625" style="764"/>
    <col min="1025" max="1025" width="7.69140625" style="764" customWidth="1"/>
    <col min="1026" max="1026" width="32.84375" style="764" customWidth="1"/>
    <col min="1027" max="1027" width="9.07421875" style="764" customWidth="1"/>
    <col min="1028" max="1028" width="6.53515625" style="764" customWidth="1"/>
    <col min="1029" max="1029" width="7.84375" style="764" customWidth="1"/>
    <col min="1030" max="1030" width="8.07421875" style="764" customWidth="1"/>
    <col min="1031" max="1031" width="9" style="764" customWidth="1"/>
    <col min="1032" max="1032" width="11.53515625" style="764" customWidth="1"/>
    <col min="1033" max="1033" width="12.69140625" style="764" customWidth="1"/>
    <col min="1034" max="1034" width="13.69140625" style="764" customWidth="1"/>
    <col min="1035" max="1280" width="9.69140625" style="764"/>
    <col min="1281" max="1281" width="7.69140625" style="764" customWidth="1"/>
    <col min="1282" max="1282" width="32.84375" style="764" customWidth="1"/>
    <col min="1283" max="1283" width="9.07421875" style="764" customWidth="1"/>
    <col min="1284" max="1284" width="6.53515625" style="764" customWidth="1"/>
    <col min="1285" max="1285" width="7.84375" style="764" customWidth="1"/>
    <col min="1286" max="1286" width="8.07421875" style="764" customWidth="1"/>
    <col min="1287" max="1287" width="9" style="764" customWidth="1"/>
    <col min="1288" max="1288" width="11.53515625" style="764" customWidth="1"/>
    <col min="1289" max="1289" width="12.69140625" style="764" customWidth="1"/>
    <col min="1290" max="1290" width="13.69140625" style="764" customWidth="1"/>
    <col min="1291" max="1536" width="9.69140625" style="764"/>
    <col min="1537" max="1537" width="7.69140625" style="764" customWidth="1"/>
    <col min="1538" max="1538" width="32.84375" style="764" customWidth="1"/>
    <col min="1539" max="1539" width="9.07421875" style="764" customWidth="1"/>
    <col min="1540" max="1540" width="6.53515625" style="764" customWidth="1"/>
    <col min="1541" max="1541" width="7.84375" style="764" customWidth="1"/>
    <col min="1542" max="1542" width="8.07421875" style="764" customWidth="1"/>
    <col min="1543" max="1543" width="9" style="764" customWidth="1"/>
    <col min="1544" max="1544" width="11.53515625" style="764" customWidth="1"/>
    <col min="1545" max="1545" width="12.69140625" style="764" customWidth="1"/>
    <col min="1546" max="1546" width="13.69140625" style="764" customWidth="1"/>
    <col min="1547" max="1792" width="9.69140625" style="764"/>
    <col min="1793" max="1793" width="7.69140625" style="764" customWidth="1"/>
    <col min="1794" max="1794" width="32.84375" style="764" customWidth="1"/>
    <col min="1795" max="1795" width="9.07421875" style="764" customWidth="1"/>
    <col min="1796" max="1796" width="6.53515625" style="764" customWidth="1"/>
    <col min="1797" max="1797" width="7.84375" style="764" customWidth="1"/>
    <col min="1798" max="1798" width="8.07421875" style="764" customWidth="1"/>
    <col min="1799" max="1799" width="9" style="764" customWidth="1"/>
    <col min="1800" max="1800" width="11.53515625" style="764" customWidth="1"/>
    <col min="1801" max="1801" width="12.69140625" style="764" customWidth="1"/>
    <col min="1802" max="1802" width="13.69140625" style="764" customWidth="1"/>
    <col min="1803" max="2048" width="9.69140625" style="764"/>
    <col min="2049" max="2049" width="7.69140625" style="764" customWidth="1"/>
    <col min="2050" max="2050" width="32.84375" style="764" customWidth="1"/>
    <col min="2051" max="2051" width="9.07421875" style="764" customWidth="1"/>
    <col min="2052" max="2052" width="6.53515625" style="764" customWidth="1"/>
    <col min="2053" max="2053" width="7.84375" style="764" customWidth="1"/>
    <col min="2054" max="2054" width="8.07421875" style="764" customWidth="1"/>
    <col min="2055" max="2055" width="9" style="764" customWidth="1"/>
    <col min="2056" max="2056" width="11.53515625" style="764" customWidth="1"/>
    <col min="2057" max="2057" width="12.69140625" style="764" customWidth="1"/>
    <col min="2058" max="2058" width="13.69140625" style="764" customWidth="1"/>
    <col min="2059" max="2304" width="9.69140625" style="764"/>
    <col min="2305" max="2305" width="7.69140625" style="764" customWidth="1"/>
    <col min="2306" max="2306" width="32.84375" style="764" customWidth="1"/>
    <col min="2307" max="2307" width="9.07421875" style="764" customWidth="1"/>
    <col min="2308" max="2308" width="6.53515625" style="764" customWidth="1"/>
    <col min="2309" max="2309" width="7.84375" style="764" customWidth="1"/>
    <col min="2310" max="2310" width="8.07421875" style="764" customWidth="1"/>
    <col min="2311" max="2311" width="9" style="764" customWidth="1"/>
    <col min="2312" max="2312" width="11.53515625" style="764" customWidth="1"/>
    <col min="2313" max="2313" width="12.69140625" style="764" customWidth="1"/>
    <col min="2314" max="2314" width="13.69140625" style="764" customWidth="1"/>
    <col min="2315" max="2560" width="9.69140625" style="764"/>
    <col min="2561" max="2561" width="7.69140625" style="764" customWidth="1"/>
    <col min="2562" max="2562" width="32.84375" style="764" customWidth="1"/>
    <col min="2563" max="2563" width="9.07421875" style="764" customWidth="1"/>
    <col min="2564" max="2564" width="6.53515625" style="764" customWidth="1"/>
    <col min="2565" max="2565" width="7.84375" style="764" customWidth="1"/>
    <col min="2566" max="2566" width="8.07421875" style="764" customWidth="1"/>
    <col min="2567" max="2567" width="9" style="764" customWidth="1"/>
    <col min="2568" max="2568" width="11.53515625" style="764" customWidth="1"/>
    <col min="2569" max="2569" width="12.69140625" style="764" customWidth="1"/>
    <col min="2570" max="2570" width="13.69140625" style="764" customWidth="1"/>
    <col min="2571" max="2816" width="9.69140625" style="764"/>
    <col min="2817" max="2817" width="7.69140625" style="764" customWidth="1"/>
    <col min="2818" max="2818" width="32.84375" style="764" customWidth="1"/>
    <col min="2819" max="2819" width="9.07421875" style="764" customWidth="1"/>
    <col min="2820" max="2820" width="6.53515625" style="764" customWidth="1"/>
    <col min="2821" max="2821" width="7.84375" style="764" customWidth="1"/>
    <col min="2822" max="2822" width="8.07421875" style="764" customWidth="1"/>
    <col min="2823" max="2823" width="9" style="764" customWidth="1"/>
    <col min="2824" max="2824" width="11.53515625" style="764" customWidth="1"/>
    <col min="2825" max="2825" width="12.69140625" style="764" customWidth="1"/>
    <col min="2826" max="2826" width="13.69140625" style="764" customWidth="1"/>
    <col min="2827" max="3072" width="9.69140625" style="764"/>
    <col min="3073" max="3073" width="7.69140625" style="764" customWidth="1"/>
    <col min="3074" max="3074" width="32.84375" style="764" customWidth="1"/>
    <col min="3075" max="3075" width="9.07421875" style="764" customWidth="1"/>
    <col min="3076" max="3076" width="6.53515625" style="764" customWidth="1"/>
    <col min="3077" max="3077" width="7.84375" style="764" customWidth="1"/>
    <col min="3078" max="3078" width="8.07421875" style="764" customWidth="1"/>
    <col min="3079" max="3079" width="9" style="764" customWidth="1"/>
    <col min="3080" max="3080" width="11.53515625" style="764" customWidth="1"/>
    <col min="3081" max="3081" width="12.69140625" style="764" customWidth="1"/>
    <col min="3082" max="3082" width="13.69140625" style="764" customWidth="1"/>
    <col min="3083" max="3328" width="9.69140625" style="764"/>
    <col min="3329" max="3329" width="7.69140625" style="764" customWidth="1"/>
    <col min="3330" max="3330" width="32.84375" style="764" customWidth="1"/>
    <col min="3331" max="3331" width="9.07421875" style="764" customWidth="1"/>
    <col min="3332" max="3332" width="6.53515625" style="764" customWidth="1"/>
    <col min="3333" max="3333" width="7.84375" style="764" customWidth="1"/>
    <col min="3334" max="3334" width="8.07421875" style="764" customWidth="1"/>
    <col min="3335" max="3335" width="9" style="764" customWidth="1"/>
    <col min="3336" max="3336" width="11.53515625" style="764" customWidth="1"/>
    <col min="3337" max="3337" width="12.69140625" style="764" customWidth="1"/>
    <col min="3338" max="3338" width="13.69140625" style="764" customWidth="1"/>
    <col min="3339" max="3584" width="9.69140625" style="764"/>
    <col min="3585" max="3585" width="7.69140625" style="764" customWidth="1"/>
    <col min="3586" max="3586" width="32.84375" style="764" customWidth="1"/>
    <col min="3587" max="3587" width="9.07421875" style="764" customWidth="1"/>
    <col min="3588" max="3588" width="6.53515625" style="764" customWidth="1"/>
    <col min="3589" max="3589" width="7.84375" style="764" customWidth="1"/>
    <col min="3590" max="3590" width="8.07421875" style="764" customWidth="1"/>
    <col min="3591" max="3591" width="9" style="764" customWidth="1"/>
    <col min="3592" max="3592" width="11.53515625" style="764" customWidth="1"/>
    <col min="3593" max="3593" width="12.69140625" style="764" customWidth="1"/>
    <col min="3594" max="3594" width="13.69140625" style="764" customWidth="1"/>
    <col min="3595" max="3840" width="9.69140625" style="764"/>
    <col min="3841" max="3841" width="7.69140625" style="764" customWidth="1"/>
    <col min="3842" max="3842" width="32.84375" style="764" customWidth="1"/>
    <col min="3843" max="3843" width="9.07421875" style="764" customWidth="1"/>
    <col min="3844" max="3844" width="6.53515625" style="764" customWidth="1"/>
    <col min="3845" max="3845" width="7.84375" style="764" customWidth="1"/>
    <col min="3846" max="3846" width="8.07421875" style="764" customWidth="1"/>
    <col min="3847" max="3847" width="9" style="764" customWidth="1"/>
    <col min="3848" max="3848" width="11.53515625" style="764" customWidth="1"/>
    <col min="3849" max="3849" width="12.69140625" style="764" customWidth="1"/>
    <col min="3850" max="3850" width="13.69140625" style="764" customWidth="1"/>
    <col min="3851" max="4096" width="9.69140625" style="764"/>
    <col min="4097" max="4097" width="7.69140625" style="764" customWidth="1"/>
    <col min="4098" max="4098" width="32.84375" style="764" customWidth="1"/>
    <col min="4099" max="4099" width="9.07421875" style="764" customWidth="1"/>
    <col min="4100" max="4100" width="6.53515625" style="764" customWidth="1"/>
    <col min="4101" max="4101" width="7.84375" style="764" customWidth="1"/>
    <col min="4102" max="4102" width="8.07421875" style="764" customWidth="1"/>
    <col min="4103" max="4103" width="9" style="764" customWidth="1"/>
    <col min="4104" max="4104" width="11.53515625" style="764" customWidth="1"/>
    <col min="4105" max="4105" width="12.69140625" style="764" customWidth="1"/>
    <col min="4106" max="4106" width="13.69140625" style="764" customWidth="1"/>
    <col min="4107" max="4352" width="9.69140625" style="764"/>
    <col min="4353" max="4353" width="7.69140625" style="764" customWidth="1"/>
    <col min="4354" max="4354" width="32.84375" style="764" customWidth="1"/>
    <col min="4355" max="4355" width="9.07421875" style="764" customWidth="1"/>
    <col min="4356" max="4356" width="6.53515625" style="764" customWidth="1"/>
    <col min="4357" max="4357" width="7.84375" style="764" customWidth="1"/>
    <col min="4358" max="4358" width="8.07421875" style="764" customWidth="1"/>
    <col min="4359" max="4359" width="9" style="764" customWidth="1"/>
    <col min="4360" max="4360" width="11.53515625" style="764" customWidth="1"/>
    <col min="4361" max="4361" width="12.69140625" style="764" customWidth="1"/>
    <col min="4362" max="4362" width="13.69140625" style="764" customWidth="1"/>
    <col min="4363" max="4608" width="9.69140625" style="764"/>
    <col min="4609" max="4609" width="7.69140625" style="764" customWidth="1"/>
    <col min="4610" max="4610" width="32.84375" style="764" customWidth="1"/>
    <col min="4611" max="4611" width="9.07421875" style="764" customWidth="1"/>
    <col min="4612" max="4612" width="6.53515625" style="764" customWidth="1"/>
    <col min="4613" max="4613" width="7.84375" style="764" customWidth="1"/>
    <col min="4614" max="4614" width="8.07421875" style="764" customWidth="1"/>
    <col min="4615" max="4615" width="9" style="764" customWidth="1"/>
    <col min="4616" max="4616" width="11.53515625" style="764" customWidth="1"/>
    <col min="4617" max="4617" width="12.69140625" style="764" customWidth="1"/>
    <col min="4618" max="4618" width="13.69140625" style="764" customWidth="1"/>
    <col min="4619" max="4864" width="9.69140625" style="764"/>
    <col min="4865" max="4865" width="7.69140625" style="764" customWidth="1"/>
    <col min="4866" max="4866" width="32.84375" style="764" customWidth="1"/>
    <col min="4867" max="4867" width="9.07421875" style="764" customWidth="1"/>
    <col min="4868" max="4868" width="6.53515625" style="764" customWidth="1"/>
    <col min="4869" max="4869" width="7.84375" style="764" customWidth="1"/>
    <col min="4870" max="4870" width="8.07421875" style="764" customWidth="1"/>
    <col min="4871" max="4871" width="9" style="764" customWidth="1"/>
    <col min="4872" max="4872" width="11.53515625" style="764" customWidth="1"/>
    <col min="4873" max="4873" width="12.69140625" style="764" customWidth="1"/>
    <col min="4874" max="4874" width="13.69140625" style="764" customWidth="1"/>
    <col min="4875" max="5120" width="9.69140625" style="764"/>
    <col min="5121" max="5121" width="7.69140625" style="764" customWidth="1"/>
    <col min="5122" max="5122" width="32.84375" style="764" customWidth="1"/>
    <col min="5123" max="5123" width="9.07421875" style="764" customWidth="1"/>
    <col min="5124" max="5124" width="6.53515625" style="764" customWidth="1"/>
    <col min="5125" max="5125" width="7.84375" style="764" customWidth="1"/>
    <col min="5126" max="5126" width="8.07421875" style="764" customWidth="1"/>
    <col min="5127" max="5127" width="9" style="764" customWidth="1"/>
    <col min="5128" max="5128" width="11.53515625" style="764" customWidth="1"/>
    <col min="5129" max="5129" width="12.69140625" style="764" customWidth="1"/>
    <col min="5130" max="5130" width="13.69140625" style="764" customWidth="1"/>
    <col min="5131" max="5376" width="9.69140625" style="764"/>
    <col min="5377" max="5377" width="7.69140625" style="764" customWidth="1"/>
    <col min="5378" max="5378" width="32.84375" style="764" customWidth="1"/>
    <col min="5379" max="5379" width="9.07421875" style="764" customWidth="1"/>
    <col min="5380" max="5380" width="6.53515625" style="764" customWidth="1"/>
    <col min="5381" max="5381" width="7.84375" style="764" customWidth="1"/>
    <col min="5382" max="5382" width="8.07421875" style="764" customWidth="1"/>
    <col min="5383" max="5383" width="9" style="764" customWidth="1"/>
    <col min="5384" max="5384" width="11.53515625" style="764" customWidth="1"/>
    <col min="5385" max="5385" width="12.69140625" style="764" customWidth="1"/>
    <col min="5386" max="5386" width="13.69140625" style="764" customWidth="1"/>
    <col min="5387" max="5632" width="9.69140625" style="764"/>
    <col min="5633" max="5633" width="7.69140625" style="764" customWidth="1"/>
    <col min="5634" max="5634" width="32.84375" style="764" customWidth="1"/>
    <col min="5635" max="5635" width="9.07421875" style="764" customWidth="1"/>
    <col min="5636" max="5636" width="6.53515625" style="764" customWidth="1"/>
    <col min="5637" max="5637" width="7.84375" style="764" customWidth="1"/>
    <col min="5638" max="5638" width="8.07421875" style="764" customWidth="1"/>
    <col min="5639" max="5639" width="9" style="764" customWidth="1"/>
    <col min="5640" max="5640" width="11.53515625" style="764" customWidth="1"/>
    <col min="5641" max="5641" width="12.69140625" style="764" customWidth="1"/>
    <col min="5642" max="5642" width="13.69140625" style="764" customWidth="1"/>
    <col min="5643" max="5888" width="9.69140625" style="764"/>
    <col min="5889" max="5889" width="7.69140625" style="764" customWidth="1"/>
    <col min="5890" max="5890" width="32.84375" style="764" customWidth="1"/>
    <col min="5891" max="5891" width="9.07421875" style="764" customWidth="1"/>
    <col min="5892" max="5892" width="6.53515625" style="764" customWidth="1"/>
    <col min="5893" max="5893" width="7.84375" style="764" customWidth="1"/>
    <col min="5894" max="5894" width="8.07421875" style="764" customWidth="1"/>
    <col min="5895" max="5895" width="9" style="764" customWidth="1"/>
    <col min="5896" max="5896" width="11.53515625" style="764" customWidth="1"/>
    <col min="5897" max="5897" width="12.69140625" style="764" customWidth="1"/>
    <col min="5898" max="5898" width="13.69140625" style="764" customWidth="1"/>
    <col min="5899" max="6144" width="9.69140625" style="764"/>
    <col min="6145" max="6145" width="7.69140625" style="764" customWidth="1"/>
    <col min="6146" max="6146" width="32.84375" style="764" customWidth="1"/>
    <col min="6147" max="6147" width="9.07421875" style="764" customWidth="1"/>
    <col min="6148" max="6148" width="6.53515625" style="764" customWidth="1"/>
    <col min="6149" max="6149" width="7.84375" style="764" customWidth="1"/>
    <col min="6150" max="6150" width="8.07421875" style="764" customWidth="1"/>
    <col min="6151" max="6151" width="9" style="764" customWidth="1"/>
    <col min="6152" max="6152" width="11.53515625" style="764" customWidth="1"/>
    <col min="6153" max="6153" width="12.69140625" style="764" customWidth="1"/>
    <col min="6154" max="6154" width="13.69140625" style="764" customWidth="1"/>
    <col min="6155" max="6400" width="9.69140625" style="764"/>
    <col min="6401" max="6401" width="7.69140625" style="764" customWidth="1"/>
    <col min="6402" max="6402" width="32.84375" style="764" customWidth="1"/>
    <col min="6403" max="6403" width="9.07421875" style="764" customWidth="1"/>
    <col min="6404" max="6404" width="6.53515625" style="764" customWidth="1"/>
    <col min="6405" max="6405" width="7.84375" style="764" customWidth="1"/>
    <col min="6406" max="6406" width="8.07421875" style="764" customWidth="1"/>
    <col min="6407" max="6407" width="9" style="764" customWidth="1"/>
    <col min="6408" max="6408" width="11.53515625" style="764" customWidth="1"/>
    <col min="6409" max="6409" width="12.69140625" style="764" customWidth="1"/>
    <col min="6410" max="6410" width="13.69140625" style="764" customWidth="1"/>
    <col min="6411" max="6656" width="9.69140625" style="764"/>
    <col min="6657" max="6657" width="7.69140625" style="764" customWidth="1"/>
    <col min="6658" max="6658" width="32.84375" style="764" customWidth="1"/>
    <col min="6659" max="6659" width="9.07421875" style="764" customWidth="1"/>
    <col min="6660" max="6660" width="6.53515625" style="764" customWidth="1"/>
    <col min="6661" max="6661" width="7.84375" style="764" customWidth="1"/>
    <col min="6662" max="6662" width="8.07421875" style="764" customWidth="1"/>
    <col min="6663" max="6663" width="9" style="764" customWidth="1"/>
    <col min="6664" max="6664" width="11.53515625" style="764" customWidth="1"/>
    <col min="6665" max="6665" width="12.69140625" style="764" customWidth="1"/>
    <col min="6666" max="6666" width="13.69140625" style="764" customWidth="1"/>
    <col min="6667" max="6912" width="9.69140625" style="764"/>
    <col min="6913" max="6913" width="7.69140625" style="764" customWidth="1"/>
    <col min="6914" max="6914" width="32.84375" style="764" customWidth="1"/>
    <col min="6915" max="6915" width="9.07421875" style="764" customWidth="1"/>
    <col min="6916" max="6916" width="6.53515625" style="764" customWidth="1"/>
    <col min="6917" max="6917" width="7.84375" style="764" customWidth="1"/>
    <col min="6918" max="6918" width="8.07421875" style="764" customWidth="1"/>
    <col min="6919" max="6919" width="9" style="764" customWidth="1"/>
    <col min="6920" max="6920" width="11.53515625" style="764" customWidth="1"/>
    <col min="6921" max="6921" width="12.69140625" style="764" customWidth="1"/>
    <col min="6922" max="6922" width="13.69140625" style="764" customWidth="1"/>
    <col min="6923" max="7168" width="9.69140625" style="764"/>
    <col min="7169" max="7169" width="7.69140625" style="764" customWidth="1"/>
    <col min="7170" max="7170" width="32.84375" style="764" customWidth="1"/>
    <col min="7171" max="7171" width="9.07421875" style="764" customWidth="1"/>
    <col min="7172" max="7172" width="6.53515625" style="764" customWidth="1"/>
    <col min="7173" max="7173" width="7.84375" style="764" customWidth="1"/>
    <col min="7174" max="7174" width="8.07421875" style="764" customWidth="1"/>
    <col min="7175" max="7175" width="9" style="764" customWidth="1"/>
    <col min="7176" max="7176" width="11.53515625" style="764" customWidth="1"/>
    <col min="7177" max="7177" width="12.69140625" style="764" customWidth="1"/>
    <col min="7178" max="7178" width="13.69140625" style="764" customWidth="1"/>
    <col min="7179" max="7424" width="9.69140625" style="764"/>
    <col min="7425" max="7425" width="7.69140625" style="764" customWidth="1"/>
    <col min="7426" max="7426" width="32.84375" style="764" customWidth="1"/>
    <col min="7427" max="7427" width="9.07421875" style="764" customWidth="1"/>
    <col min="7428" max="7428" width="6.53515625" style="764" customWidth="1"/>
    <col min="7429" max="7429" width="7.84375" style="764" customWidth="1"/>
    <col min="7430" max="7430" width="8.07421875" style="764" customWidth="1"/>
    <col min="7431" max="7431" width="9" style="764" customWidth="1"/>
    <col min="7432" max="7432" width="11.53515625" style="764" customWidth="1"/>
    <col min="7433" max="7433" width="12.69140625" style="764" customWidth="1"/>
    <col min="7434" max="7434" width="13.69140625" style="764" customWidth="1"/>
    <col min="7435" max="7680" width="9.69140625" style="764"/>
    <col min="7681" max="7681" width="7.69140625" style="764" customWidth="1"/>
    <col min="7682" max="7682" width="32.84375" style="764" customWidth="1"/>
    <col min="7683" max="7683" width="9.07421875" style="764" customWidth="1"/>
    <col min="7684" max="7684" width="6.53515625" style="764" customWidth="1"/>
    <col min="7685" max="7685" width="7.84375" style="764" customWidth="1"/>
    <col min="7686" max="7686" width="8.07421875" style="764" customWidth="1"/>
    <col min="7687" max="7687" width="9" style="764" customWidth="1"/>
    <col min="7688" max="7688" width="11.53515625" style="764" customWidth="1"/>
    <col min="7689" max="7689" width="12.69140625" style="764" customWidth="1"/>
    <col min="7690" max="7690" width="13.69140625" style="764" customWidth="1"/>
    <col min="7691" max="7936" width="9.69140625" style="764"/>
    <col min="7937" max="7937" width="7.69140625" style="764" customWidth="1"/>
    <col min="7938" max="7938" width="32.84375" style="764" customWidth="1"/>
    <col min="7939" max="7939" width="9.07421875" style="764" customWidth="1"/>
    <col min="7940" max="7940" width="6.53515625" style="764" customWidth="1"/>
    <col min="7941" max="7941" width="7.84375" style="764" customWidth="1"/>
    <col min="7942" max="7942" width="8.07421875" style="764" customWidth="1"/>
    <col min="7943" max="7943" width="9" style="764" customWidth="1"/>
    <col min="7944" max="7944" width="11.53515625" style="764" customWidth="1"/>
    <col min="7945" max="7945" width="12.69140625" style="764" customWidth="1"/>
    <col min="7946" max="7946" width="13.69140625" style="764" customWidth="1"/>
    <col min="7947" max="8192" width="9.69140625" style="764"/>
    <col min="8193" max="8193" width="7.69140625" style="764" customWidth="1"/>
    <col min="8194" max="8194" width="32.84375" style="764" customWidth="1"/>
    <col min="8195" max="8195" width="9.07421875" style="764" customWidth="1"/>
    <col min="8196" max="8196" width="6.53515625" style="764" customWidth="1"/>
    <col min="8197" max="8197" width="7.84375" style="764" customWidth="1"/>
    <col min="8198" max="8198" width="8.07421875" style="764" customWidth="1"/>
    <col min="8199" max="8199" width="9" style="764" customWidth="1"/>
    <col min="8200" max="8200" width="11.53515625" style="764" customWidth="1"/>
    <col min="8201" max="8201" width="12.69140625" style="764" customWidth="1"/>
    <col min="8202" max="8202" width="13.69140625" style="764" customWidth="1"/>
    <col min="8203" max="8448" width="9.69140625" style="764"/>
    <col min="8449" max="8449" width="7.69140625" style="764" customWidth="1"/>
    <col min="8450" max="8450" width="32.84375" style="764" customWidth="1"/>
    <col min="8451" max="8451" width="9.07421875" style="764" customWidth="1"/>
    <col min="8452" max="8452" width="6.53515625" style="764" customWidth="1"/>
    <col min="8453" max="8453" width="7.84375" style="764" customWidth="1"/>
    <col min="8454" max="8454" width="8.07421875" style="764" customWidth="1"/>
    <col min="8455" max="8455" width="9" style="764" customWidth="1"/>
    <col min="8456" max="8456" width="11.53515625" style="764" customWidth="1"/>
    <col min="8457" max="8457" width="12.69140625" style="764" customWidth="1"/>
    <col min="8458" max="8458" width="13.69140625" style="764" customWidth="1"/>
    <col min="8459" max="8704" width="9.69140625" style="764"/>
    <col min="8705" max="8705" width="7.69140625" style="764" customWidth="1"/>
    <col min="8706" max="8706" width="32.84375" style="764" customWidth="1"/>
    <col min="8707" max="8707" width="9.07421875" style="764" customWidth="1"/>
    <col min="8708" max="8708" width="6.53515625" style="764" customWidth="1"/>
    <col min="8709" max="8709" width="7.84375" style="764" customWidth="1"/>
    <col min="8710" max="8710" width="8.07421875" style="764" customWidth="1"/>
    <col min="8711" max="8711" width="9" style="764" customWidth="1"/>
    <col min="8712" max="8712" width="11.53515625" style="764" customWidth="1"/>
    <col min="8713" max="8713" width="12.69140625" style="764" customWidth="1"/>
    <col min="8714" max="8714" width="13.69140625" style="764" customWidth="1"/>
    <col min="8715" max="8960" width="9.69140625" style="764"/>
    <col min="8961" max="8961" width="7.69140625" style="764" customWidth="1"/>
    <col min="8962" max="8962" width="32.84375" style="764" customWidth="1"/>
    <col min="8963" max="8963" width="9.07421875" style="764" customWidth="1"/>
    <col min="8964" max="8964" width="6.53515625" style="764" customWidth="1"/>
    <col min="8965" max="8965" width="7.84375" style="764" customWidth="1"/>
    <col min="8966" max="8966" width="8.07421875" style="764" customWidth="1"/>
    <col min="8967" max="8967" width="9" style="764" customWidth="1"/>
    <col min="8968" max="8968" width="11.53515625" style="764" customWidth="1"/>
    <col min="8969" max="8969" width="12.69140625" style="764" customWidth="1"/>
    <col min="8970" max="8970" width="13.69140625" style="764" customWidth="1"/>
    <col min="8971" max="9216" width="9.69140625" style="764"/>
    <col min="9217" max="9217" width="7.69140625" style="764" customWidth="1"/>
    <col min="9218" max="9218" width="32.84375" style="764" customWidth="1"/>
    <col min="9219" max="9219" width="9.07421875" style="764" customWidth="1"/>
    <col min="9220" max="9220" width="6.53515625" style="764" customWidth="1"/>
    <col min="9221" max="9221" width="7.84375" style="764" customWidth="1"/>
    <col min="9222" max="9222" width="8.07421875" style="764" customWidth="1"/>
    <col min="9223" max="9223" width="9" style="764" customWidth="1"/>
    <col min="9224" max="9224" width="11.53515625" style="764" customWidth="1"/>
    <col min="9225" max="9225" width="12.69140625" style="764" customWidth="1"/>
    <col min="9226" max="9226" width="13.69140625" style="764" customWidth="1"/>
    <col min="9227" max="9472" width="9.69140625" style="764"/>
    <col min="9473" max="9473" width="7.69140625" style="764" customWidth="1"/>
    <col min="9474" max="9474" width="32.84375" style="764" customWidth="1"/>
    <col min="9475" max="9475" width="9.07421875" style="764" customWidth="1"/>
    <col min="9476" max="9476" width="6.53515625" style="764" customWidth="1"/>
    <col min="9477" max="9477" width="7.84375" style="764" customWidth="1"/>
    <col min="9478" max="9478" width="8.07421875" style="764" customWidth="1"/>
    <col min="9479" max="9479" width="9" style="764" customWidth="1"/>
    <col min="9480" max="9480" width="11.53515625" style="764" customWidth="1"/>
    <col min="9481" max="9481" width="12.69140625" style="764" customWidth="1"/>
    <col min="9482" max="9482" width="13.69140625" style="764" customWidth="1"/>
    <col min="9483" max="9728" width="9.69140625" style="764"/>
    <col min="9729" max="9729" width="7.69140625" style="764" customWidth="1"/>
    <col min="9730" max="9730" width="32.84375" style="764" customWidth="1"/>
    <col min="9731" max="9731" width="9.07421875" style="764" customWidth="1"/>
    <col min="9732" max="9732" width="6.53515625" style="764" customWidth="1"/>
    <col min="9733" max="9733" width="7.84375" style="764" customWidth="1"/>
    <col min="9734" max="9734" width="8.07421875" style="764" customWidth="1"/>
    <col min="9735" max="9735" width="9" style="764" customWidth="1"/>
    <col min="9736" max="9736" width="11.53515625" style="764" customWidth="1"/>
    <col min="9737" max="9737" width="12.69140625" style="764" customWidth="1"/>
    <col min="9738" max="9738" width="13.69140625" style="764" customWidth="1"/>
    <col min="9739" max="9984" width="9.69140625" style="764"/>
    <col min="9985" max="9985" width="7.69140625" style="764" customWidth="1"/>
    <col min="9986" max="9986" width="32.84375" style="764" customWidth="1"/>
    <col min="9987" max="9987" width="9.07421875" style="764" customWidth="1"/>
    <col min="9988" max="9988" width="6.53515625" style="764" customWidth="1"/>
    <col min="9989" max="9989" width="7.84375" style="764" customWidth="1"/>
    <col min="9990" max="9990" width="8.07421875" style="764" customWidth="1"/>
    <col min="9991" max="9991" width="9" style="764" customWidth="1"/>
    <col min="9992" max="9992" width="11.53515625" style="764" customWidth="1"/>
    <col min="9993" max="9993" width="12.69140625" style="764" customWidth="1"/>
    <col min="9994" max="9994" width="13.69140625" style="764" customWidth="1"/>
    <col min="9995" max="10240" width="9.69140625" style="764"/>
    <col min="10241" max="10241" width="7.69140625" style="764" customWidth="1"/>
    <col min="10242" max="10242" width="32.84375" style="764" customWidth="1"/>
    <col min="10243" max="10243" width="9.07421875" style="764" customWidth="1"/>
    <col min="10244" max="10244" width="6.53515625" style="764" customWidth="1"/>
    <col min="10245" max="10245" width="7.84375" style="764" customWidth="1"/>
    <col min="10246" max="10246" width="8.07421875" style="764" customWidth="1"/>
    <col min="10247" max="10247" width="9" style="764" customWidth="1"/>
    <col min="10248" max="10248" width="11.53515625" style="764" customWidth="1"/>
    <col min="10249" max="10249" width="12.69140625" style="764" customWidth="1"/>
    <col min="10250" max="10250" width="13.69140625" style="764" customWidth="1"/>
    <col min="10251" max="10496" width="9.69140625" style="764"/>
    <col min="10497" max="10497" width="7.69140625" style="764" customWidth="1"/>
    <col min="10498" max="10498" width="32.84375" style="764" customWidth="1"/>
    <col min="10499" max="10499" width="9.07421875" style="764" customWidth="1"/>
    <col min="10500" max="10500" width="6.53515625" style="764" customWidth="1"/>
    <col min="10501" max="10501" width="7.84375" style="764" customWidth="1"/>
    <col min="10502" max="10502" width="8.07421875" style="764" customWidth="1"/>
    <col min="10503" max="10503" width="9" style="764" customWidth="1"/>
    <col min="10504" max="10504" width="11.53515625" style="764" customWidth="1"/>
    <col min="10505" max="10505" width="12.69140625" style="764" customWidth="1"/>
    <col min="10506" max="10506" width="13.69140625" style="764" customWidth="1"/>
    <col min="10507" max="10752" width="9.69140625" style="764"/>
    <col min="10753" max="10753" width="7.69140625" style="764" customWidth="1"/>
    <col min="10754" max="10754" width="32.84375" style="764" customWidth="1"/>
    <col min="10755" max="10755" width="9.07421875" style="764" customWidth="1"/>
    <col min="10756" max="10756" width="6.53515625" style="764" customWidth="1"/>
    <col min="10757" max="10757" width="7.84375" style="764" customWidth="1"/>
    <col min="10758" max="10758" width="8.07421875" style="764" customWidth="1"/>
    <col min="10759" max="10759" width="9" style="764" customWidth="1"/>
    <col min="10760" max="10760" width="11.53515625" style="764" customWidth="1"/>
    <col min="10761" max="10761" width="12.69140625" style="764" customWidth="1"/>
    <col min="10762" max="10762" width="13.69140625" style="764" customWidth="1"/>
    <col min="10763" max="11008" width="9.69140625" style="764"/>
    <col min="11009" max="11009" width="7.69140625" style="764" customWidth="1"/>
    <col min="11010" max="11010" width="32.84375" style="764" customWidth="1"/>
    <col min="11011" max="11011" width="9.07421875" style="764" customWidth="1"/>
    <col min="11012" max="11012" width="6.53515625" style="764" customWidth="1"/>
    <col min="11013" max="11013" width="7.84375" style="764" customWidth="1"/>
    <col min="11014" max="11014" width="8.07421875" style="764" customWidth="1"/>
    <col min="11015" max="11015" width="9" style="764" customWidth="1"/>
    <col min="11016" max="11016" width="11.53515625" style="764" customWidth="1"/>
    <col min="11017" max="11017" width="12.69140625" style="764" customWidth="1"/>
    <col min="11018" max="11018" width="13.69140625" style="764" customWidth="1"/>
    <col min="11019" max="11264" width="9.69140625" style="764"/>
    <col min="11265" max="11265" width="7.69140625" style="764" customWidth="1"/>
    <col min="11266" max="11266" width="32.84375" style="764" customWidth="1"/>
    <col min="11267" max="11267" width="9.07421875" style="764" customWidth="1"/>
    <col min="11268" max="11268" width="6.53515625" style="764" customWidth="1"/>
    <col min="11269" max="11269" width="7.84375" style="764" customWidth="1"/>
    <col min="11270" max="11270" width="8.07421875" style="764" customWidth="1"/>
    <col min="11271" max="11271" width="9" style="764" customWidth="1"/>
    <col min="11272" max="11272" width="11.53515625" style="764" customWidth="1"/>
    <col min="11273" max="11273" width="12.69140625" style="764" customWidth="1"/>
    <col min="11274" max="11274" width="13.69140625" style="764" customWidth="1"/>
    <col min="11275" max="11520" width="9.69140625" style="764"/>
    <col min="11521" max="11521" width="7.69140625" style="764" customWidth="1"/>
    <col min="11522" max="11522" width="32.84375" style="764" customWidth="1"/>
    <col min="11523" max="11523" width="9.07421875" style="764" customWidth="1"/>
    <col min="11524" max="11524" width="6.53515625" style="764" customWidth="1"/>
    <col min="11525" max="11525" width="7.84375" style="764" customWidth="1"/>
    <col min="11526" max="11526" width="8.07421875" style="764" customWidth="1"/>
    <col min="11527" max="11527" width="9" style="764" customWidth="1"/>
    <col min="11528" max="11528" width="11.53515625" style="764" customWidth="1"/>
    <col min="11529" max="11529" width="12.69140625" style="764" customWidth="1"/>
    <col min="11530" max="11530" width="13.69140625" style="764" customWidth="1"/>
    <col min="11531" max="11776" width="9.69140625" style="764"/>
    <col min="11777" max="11777" width="7.69140625" style="764" customWidth="1"/>
    <col min="11778" max="11778" width="32.84375" style="764" customWidth="1"/>
    <col min="11779" max="11779" width="9.07421875" style="764" customWidth="1"/>
    <col min="11780" max="11780" width="6.53515625" style="764" customWidth="1"/>
    <col min="11781" max="11781" width="7.84375" style="764" customWidth="1"/>
    <col min="11782" max="11782" width="8.07421875" style="764" customWidth="1"/>
    <col min="11783" max="11783" width="9" style="764" customWidth="1"/>
    <col min="11784" max="11784" width="11.53515625" style="764" customWidth="1"/>
    <col min="11785" max="11785" width="12.69140625" style="764" customWidth="1"/>
    <col min="11786" max="11786" width="13.69140625" style="764" customWidth="1"/>
    <col min="11787" max="12032" width="9.69140625" style="764"/>
    <col min="12033" max="12033" width="7.69140625" style="764" customWidth="1"/>
    <col min="12034" max="12034" width="32.84375" style="764" customWidth="1"/>
    <col min="12035" max="12035" width="9.07421875" style="764" customWidth="1"/>
    <col min="12036" max="12036" width="6.53515625" style="764" customWidth="1"/>
    <col min="12037" max="12037" width="7.84375" style="764" customWidth="1"/>
    <col min="12038" max="12038" width="8.07421875" style="764" customWidth="1"/>
    <col min="12039" max="12039" width="9" style="764" customWidth="1"/>
    <col min="12040" max="12040" width="11.53515625" style="764" customWidth="1"/>
    <col min="12041" max="12041" width="12.69140625" style="764" customWidth="1"/>
    <col min="12042" max="12042" width="13.69140625" style="764" customWidth="1"/>
    <col min="12043" max="12288" width="9.69140625" style="764"/>
    <col min="12289" max="12289" width="7.69140625" style="764" customWidth="1"/>
    <col min="12290" max="12290" width="32.84375" style="764" customWidth="1"/>
    <col min="12291" max="12291" width="9.07421875" style="764" customWidth="1"/>
    <col min="12292" max="12292" width="6.53515625" style="764" customWidth="1"/>
    <col min="12293" max="12293" width="7.84375" style="764" customWidth="1"/>
    <col min="12294" max="12294" width="8.07421875" style="764" customWidth="1"/>
    <col min="12295" max="12295" width="9" style="764" customWidth="1"/>
    <col min="12296" max="12296" width="11.53515625" style="764" customWidth="1"/>
    <col min="12297" max="12297" width="12.69140625" style="764" customWidth="1"/>
    <col min="12298" max="12298" width="13.69140625" style="764" customWidth="1"/>
    <col min="12299" max="12544" width="9.69140625" style="764"/>
    <col min="12545" max="12545" width="7.69140625" style="764" customWidth="1"/>
    <col min="12546" max="12546" width="32.84375" style="764" customWidth="1"/>
    <col min="12547" max="12547" width="9.07421875" style="764" customWidth="1"/>
    <col min="12548" max="12548" width="6.53515625" style="764" customWidth="1"/>
    <col min="12549" max="12549" width="7.84375" style="764" customWidth="1"/>
    <col min="12550" max="12550" width="8.07421875" style="764" customWidth="1"/>
    <col min="12551" max="12551" width="9" style="764" customWidth="1"/>
    <col min="12552" max="12552" width="11.53515625" style="764" customWidth="1"/>
    <col min="12553" max="12553" width="12.69140625" style="764" customWidth="1"/>
    <col min="12554" max="12554" width="13.69140625" style="764" customWidth="1"/>
    <col min="12555" max="12800" width="9.69140625" style="764"/>
    <col min="12801" max="12801" width="7.69140625" style="764" customWidth="1"/>
    <col min="12802" max="12802" width="32.84375" style="764" customWidth="1"/>
    <col min="12803" max="12803" width="9.07421875" style="764" customWidth="1"/>
    <col min="12804" max="12804" width="6.53515625" style="764" customWidth="1"/>
    <col min="12805" max="12805" width="7.84375" style="764" customWidth="1"/>
    <col min="12806" max="12806" width="8.07421875" style="764" customWidth="1"/>
    <col min="12807" max="12807" width="9" style="764" customWidth="1"/>
    <col min="12808" max="12808" width="11.53515625" style="764" customWidth="1"/>
    <col min="12809" max="12809" width="12.69140625" style="764" customWidth="1"/>
    <col min="12810" max="12810" width="13.69140625" style="764" customWidth="1"/>
    <col min="12811" max="13056" width="9.69140625" style="764"/>
    <col min="13057" max="13057" width="7.69140625" style="764" customWidth="1"/>
    <col min="13058" max="13058" width="32.84375" style="764" customWidth="1"/>
    <col min="13059" max="13059" width="9.07421875" style="764" customWidth="1"/>
    <col min="13060" max="13060" width="6.53515625" style="764" customWidth="1"/>
    <col min="13061" max="13061" width="7.84375" style="764" customWidth="1"/>
    <col min="13062" max="13062" width="8.07421875" style="764" customWidth="1"/>
    <col min="13063" max="13063" width="9" style="764" customWidth="1"/>
    <col min="13064" max="13064" width="11.53515625" style="764" customWidth="1"/>
    <col min="13065" max="13065" width="12.69140625" style="764" customWidth="1"/>
    <col min="13066" max="13066" width="13.69140625" style="764" customWidth="1"/>
    <col min="13067" max="13312" width="9.69140625" style="764"/>
    <col min="13313" max="13313" width="7.69140625" style="764" customWidth="1"/>
    <col min="13314" max="13314" width="32.84375" style="764" customWidth="1"/>
    <col min="13315" max="13315" width="9.07421875" style="764" customWidth="1"/>
    <col min="13316" max="13316" width="6.53515625" style="764" customWidth="1"/>
    <col min="13317" max="13317" width="7.84375" style="764" customWidth="1"/>
    <col min="13318" max="13318" width="8.07421875" style="764" customWidth="1"/>
    <col min="13319" max="13319" width="9" style="764" customWidth="1"/>
    <col min="13320" max="13320" width="11.53515625" style="764" customWidth="1"/>
    <col min="13321" max="13321" width="12.69140625" style="764" customWidth="1"/>
    <col min="13322" max="13322" width="13.69140625" style="764" customWidth="1"/>
    <col min="13323" max="13568" width="9.69140625" style="764"/>
    <col min="13569" max="13569" width="7.69140625" style="764" customWidth="1"/>
    <col min="13570" max="13570" width="32.84375" style="764" customWidth="1"/>
    <col min="13571" max="13571" width="9.07421875" style="764" customWidth="1"/>
    <col min="13572" max="13572" width="6.53515625" style="764" customWidth="1"/>
    <col min="13573" max="13573" width="7.84375" style="764" customWidth="1"/>
    <col min="13574" max="13574" width="8.07421875" style="764" customWidth="1"/>
    <col min="13575" max="13575" width="9" style="764" customWidth="1"/>
    <col min="13576" max="13576" width="11.53515625" style="764" customWidth="1"/>
    <col min="13577" max="13577" width="12.69140625" style="764" customWidth="1"/>
    <col min="13578" max="13578" width="13.69140625" style="764" customWidth="1"/>
    <col min="13579" max="13824" width="9.69140625" style="764"/>
    <col min="13825" max="13825" width="7.69140625" style="764" customWidth="1"/>
    <col min="13826" max="13826" width="32.84375" style="764" customWidth="1"/>
    <col min="13827" max="13827" width="9.07421875" style="764" customWidth="1"/>
    <col min="13828" max="13828" width="6.53515625" style="764" customWidth="1"/>
    <col min="13829" max="13829" width="7.84375" style="764" customWidth="1"/>
    <col min="13830" max="13830" width="8.07421875" style="764" customWidth="1"/>
    <col min="13831" max="13831" width="9" style="764" customWidth="1"/>
    <col min="13832" max="13832" width="11.53515625" style="764" customWidth="1"/>
    <col min="13833" max="13833" width="12.69140625" style="764" customWidth="1"/>
    <col min="13834" max="13834" width="13.69140625" style="764" customWidth="1"/>
    <col min="13835" max="14080" width="9.69140625" style="764"/>
    <col min="14081" max="14081" width="7.69140625" style="764" customWidth="1"/>
    <col min="14082" max="14082" width="32.84375" style="764" customWidth="1"/>
    <col min="14083" max="14083" width="9.07421875" style="764" customWidth="1"/>
    <col min="14084" max="14084" width="6.53515625" style="764" customWidth="1"/>
    <col min="14085" max="14085" width="7.84375" style="764" customWidth="1"/>
    <col min="14086" max="14086" width="8.07421875" style="764" customWidth="1"/>
    <col min="14087" max="14087" width="9" style="764" customWidth="1"/>
    <col min="14088" max="14088" width="11.53515625" style="764" customWidth="1"/>
    <col min="14089" max="14089" width="12.69140625" style="764" customWidth="1"/>
    <col min="14090" max="14090" width="13.69140625" style="764" customWidth="1"/>
    <col min="14091" max="14336" width="9.69140625" style="764"/>
    <col min="14337" max="14337" width="7.69140625" style="764" customWidth="1"/>
    <col min="14338" max="14338" width="32.84375" style="764" customWidth="1"/>
    <col min="14339" max="14339" width="9.07421875" style="764" customWidth="1"/>
    <col min="14340" max="14340" width="6.53515625" style="764" customWidth="1"/>
    <col min="14341" max="14341" width="7.84375" style="764" customWidth="1"/>
    <col min="14342" max="14342" width="8.07421875" style="764" customWidth="1"/>
    <col min="14343" max="14343" width="9" style="764" customWidth="1"/>
    <col min="14344" max="14344" width="11.53515625" style="764" customWidth="1"/>
    <col min="14345" max="14345" width="12.69140625" style="764" customWidth="1"/>
    <col min="14346" max="14346" width="13.69140625" style="764" customWidth="1"/>
    <col min="14347" max="14592" width="9.69140625" style="764"/>
    <col min="14593" max="14593" width="7.69140625" style="764" customWidth="1"/>
    <col min="14594" max="14594" width="32.84375" style="764" customWidth="1"/>
    <col min="14595" max="14595" width="9.07421875" style="764" customWidth="1"/>
    <col min="14596" max="14596" width="6.53515625" style="764" customWidth="1"/>
    <col min="14597" max="14597" width="7.84375" style="764" customWidth="1"/>
    <col min="14598" max="14598" width="8.07421875" style="764" customWidth="1"/>
    <col min="14599" max="14599" width="9" style="764" customWidth="1"/>
    <col min="14600" max="14600" width="11.53515625" style="764" customWidth="1"/>
    <col min="14601" max="14601" width="12.69140625" style="764" customWidth="1"/>
    <col min="14602" max="14602" width="13.69140625" style="764" customWidth="1"/>
    <col min="14603" max="14848" width="9.69140625" style="764"/>
    <col min="14849" max="14849" width="7.69140625" style="764" customWidth="1"/>
    <col min="14850" max="14850" width="32.84375" style="764" customWidth="1"/>
    <col min="14851" max="14851" width="9.07421875" style="764" customWidth="1"/>
    <col min="14852" max="14852" width="6.53515625" style="764" customWidth="1"/>
    <col min="14853" max="14853" width="7.84375" style="764" customWidth="1"/>
    <col min="14854" max="14854" width="8.07421875" style="764" customWidth="1"/>
    <col min="14855" max="14855" width="9" style="764" customWidth="1"/>
    <col min="14856" max="14856" width="11.53515625" style="764" customWidth="1"/>
    <col min="14857" max="14857" width="12.69140625" style="764" customWidth="1"/>
    <col min="14858" max="14858" width="13.69140625" style="764" customWidth="1"/>
    <col min="14859" max="15104" width="9.69140625" style="764"/>
    <col min="15105" max="15105" width="7.69140625" style="764" customWidth="1"/>
    <col min="15106" max="15106" width="32.84375" style="764" customWidth="1"/>
    <col min="15107" max="15107" width="9.07421875" style="764" customWidth="1"/>
    <col min="15108" max="15108" width="6.53515625" style="764" customWidth="1"/>
    <col min="15109" max="15109" width="7.84375" style="764" customWidth="1"/>
    <col min="15110" max="15110" width="8.07421875" style="764" customWidth="1"/>
    <col min="15111" max="15111" width="9" style="764" customWidth="1"/>
    <col min="15112" max="15112" width="11.53515625" style="764" customWidth="1"/>
    <col min="15113" max="15113" width="12.69140625" style="764" customWidth="1"/>
    <col min="15114" max="15114" width="13.69140625" style="764" customWidth="1"/>
    <col min="15115" max="15360" width="9.69140625" style="764"/>
    <col min="15361" max="15361" width="7.69140625" style="764" customWidth="1"/>
    <col min="15362" max="15362" width="32.84375" style="764" customWidth="1"/>
    <col min="15363" max="15363" width="9.07421875" style="764" customWidth="1"/>
    <col min="15364" max="15364" width="6.53515625" style="764" customWidth="1"/>
    <col min="15365" max="15365" width="7.84375" style="764" customWidth="1"/>
    <col min="15366" max="15366" width="8.07421875" style="764" customWidth="1"/>
    <col min="15367" max="15367" width="9" style="764" customWidth="1"/>
    <col min="15368" max="15368" width="11.53515625" style="764" customWidth="1"/>
    <col min="15369" max="15369" width="12.69140625" style="764" customWidth="1"/>
    <col min="15370" max="15370" width="13.69140625" style="764" customWidth="1"/>
    <col min="15371" max="15616" width="9.69140625" style="764"/>
    <col min="15617" max="15617" width="7.69140625" style="764" customWidth="1"/>
    <col min="15618" max="15618" width="32.84375" style="764" customWidth="1"/>
    <col min="15619" max="15619" width="9.07421875" style="764" customWidth="1"/>
    <col min="15620" max="15620" width="6.53515625" style="764" customWidth="1"/>
    <col min="15621" max="15621" width="7.84375" style="764" customWidth="1"/>
    <col min="15622" max="15622" width="8.07421875" style="764" customWidth="1"/>
    <col min="15623" max="15623" width="9" style="764" customWidth="1"/>
    <col min="15624" max="15624" width="11.53515625" style="764" customWidth="1"/>
    <col min="15625" max="15625" width="12.69140625" style="764" customWidth="1"/>
    <col min="15626" max="15626" width="13.69140625" style="764" customWidth="1"/>
    <col min="15627" max="15872" width="9.69140625" style="764"/>
    <col min="15873" max="15873" width="7.69140625" style="764" customWidth="1"/>
    <col min="15874" max="15874" width="32.84375" style="764" customWidth="1"/>
    <col min="15875" max="15875" width="9.07421875" style="764" customWidth="1"/>
    <col min="15876" max="15876" width="6.53515625" style="764" customWidth="1"/>
    <col min="15877" max="15877" width="7.84375" style="764" customWidth="1"/>
    <col min="15878" max="15878" width="8.07421875" style="764" customWidth="1"/>
    <col min="15879" max="15879" width="9" style="764" customWidth="1"/>
    <col min="15880" max="15880" width="11.53515625" style="764" customWidth="1"/>
    <col min="15881" max="15881" width="12.69140625" style="764" customWidth="1"/>
    <col min="15882" max="15882" width="13.69140625" style="764" customWidth="1"/>
    <col min="15883" max="16128" width="9.69140625" style="764"/>
    <col min="16129" max="16129" width="7.69140625" style="764" customWidth="1"/>
    <col min="16130" max="16130" width="32.84375" style="764" customWidth="1"/>
    <col min="16131" max="16131" width="9.07421875" style="764" customWidth="1"/>
    <col min="16132" max="16132" width="6.53515625" style="764" customWidth="1"/>
    <col min="16133" max="16133" width="7.84375" style="764" customWidth="1"/>
    <col min="16134" max="16134" width="8.07421875" style="764" customWidth="1"/>
    <col min="16135" max="16135" width="9" style="764" customWidth="1"/>
    <col min="16136" max="16136" width="11.53515625" style="764" customWidth="1"/>
    <col min="16137" max="16137" width="12.69140625" style="764" customWidth="1"/>
    <col min="16138" max="16138" width="13.69140625" style="764" customWidth="1"/>
    <col min="16139" max="16384" width="9.69140625" style="764"/>
  </cols>
  <sheetData>
    <row r="1" spans="1:10">
      <c r="A1" s="1235" t="s">
        <v>527</v>
      </c>
      <c r="B1" s="1235"/>
      <c r="C1" s="1235"/>
      <c r="D1" s="1235"/>
      <c r="E1" s="1235"/>
      <c r="F1" s="1235"/>
      <c r="G1" s="1235"/>
      <c r="H1" s="1235"/>
    </row>
    <row r="2" spans="1:10">
      <c r="A2" s="1273" t="s">
        <v>254</v>
      </c>
      <c r="B2" s="1273"/>
      <c r="C2" s="1273"/>
      <c r="D2" s="1273"/>
      <c r="E2" s="1273"/>
      <c r="F2" s="1273"/>
      <c r="G2" s="1273"/>
      <c r="H2" s="1273"/>
    </row>
    <row r="3" spans="1:10">
      <c r="A3" s="1274" t="str">
        <f>+'Attachment H-26'!D5</f>
        <v>Transource West Virginia, LLC</v>
      </c>
      <c r="B3" s="1274"/>
      <c r="C3" s="1274"/>
      <c r="D3" s="1274"/>
      <c r="E3" s="1274"/>
      <c r="F3" s="1274"/>
      <c r="G3" s="1274"/>
      <c r="H3" s="1274"/>
    </row>
    <row r="4" spans="1:10">
      <c r="H4" s="765"/>
    </row>
    <row r="5" spans="1:10">
      <c r="H5" s="765"/>
    </row>
    <row r="7" spans="1:10">
      <c r="A7" s="1272"/>
      <c r="B7" s="1272"/>
      <c r="C7" s="1272"/>
      <c r="D7" s="1272"/>
      <c r="E7" s="1272"/>
      <c r="F7" s="1272"/>
      <c r="G7" s="1272"/>
      <c r="H7" s="1272"/>
    </row>
    <row r="8" spans="1:10">
      <c r="A8" s="1272" t="s">
        <v>444</v>
      </c>
      <c r="B8" s="1272"/>
      <c r="C8" s="1272"/>
      <c r="D8" s="1272"/>
      <c r="E8" s="1272"/>
      <c r="F8" s="1272"/>
      <c r="G8" s="1272"/>
      <c r="H8" s="1272"/>
    </row>
    <row r="9" spans="1:10">
      <c r="A9" s="1272" t="s">
        <v>445</v>
      </c>
      <c r="B9" s="1272"/>
      <c r="C9" s="1272"/>
      <c r="D9" s="1272"/>
      <c r="E9" s="1272"/>
      <c r="F9" s="1272"/>
      <c r="G9" s="1272"/>
      <c r="H9" s="1272"/>
    </row>
    <row r="10" spans="1:10">
      <c r="A10" s="1272" t="s">
        <v>718</v>
      </c>
      <c r="B10" s="1272"/>
      <c r="C10" s="1272"/>
      <c r="D10" s="1272"/>
      <c r="E10" s="1272"/>
      <c r="F10" s="1272"/>
      <c r="G10" s="1272"/>
      <c r="H10" s="1272"/>
    </row>
    <row r="11" spans="1:10">
      <c r="A11" s="766"/>
    </row>
    <row r="12" spans="1:10" ht="73.5" customHeight="1">
      <c r="C12" s="767" t="s">
        <v>364</v>
      </c>
      <c r="D12" s="767" t="s">
        <v>365</v>
      </c>
      <c r="E12" s="767" t="s">
        <v>366</v>
      </c>
      <c r="F12" s="767" t="s">
        <v>367</v>
      </c>
      <c r="G12" s="767" t="s">
        <v>368</v>
      </c>
      <c r="H12" s="767" t="s">
        <v>720</v>
      </c>
    </row>
    <row r="13" spans="1:10">
      <c r="A13" s="768" t="s">
        <v>369</v>
      </c>
    </row>
    <row r="14" spans="1:10">
      <c r="A14" s="768"/>
    </row>
    <row r="15" spans="1:10">
      <c r="A15" s="769" t="s">
        <v>446</v>
      </c>
      <c r="B15" s="764" t="s">
        <v>447</v>
      </c>
      <c r="C15" s="770">
        <v>15</v>
      </c>
      <c r="D15" s="771" t="s">
        <v>388</v>
      </c>
      <c r="E15" s="772">
        <v>0.05</v>
      </c>
      <c r="F15" s="772">
        <v>0.05</v>
      </c>
      <c r="G15" s="772">
        <f>E15-F15</f>
        <v>0</v>
      </c>
      <c r="H15" s="773">
        <f>(1-G15)/C15</f>
        <v>6.6666666666666666E-2</v>
      </c>
    </row>
    <row r="16" spans="1:10">
      <c r="A16" s="764" t="s">
        <v>371</v>
      </c>
      <c r="B16" s="764" t="s">
        <v>372</v>
      </c>
      <c r="C16" s="770">
        <v>62</v>
      </c>
      <c r="D16" s="771" t="s">
        <v>370</v>
      </c>
      <c r="E16" s="772">
        <v>0.05</v>
      </c>
      <c r="F16" s="772">
        <v>0.15</v>
      </c>
      <c r="G16" s="772">
        <f t="shared" ref="G16:G22" si="0">E16-F16</f>
        <v>-9.9999999999999992E-2</v>
      </c>
      <c r="H16" s="773">
        <f t="shared" ref="H16:H22" si="1">(1-G16)/C16</f>
        <v>1.7741935483870968E-2</v>
      </c>
      <c r="I16" s="774"/>
      <c r="J16" s="775"/>
    </row>
    <row r="17" spans="1:10">
      <c r="A17" s="764" t="s">
        <v>373</v>
      </c>
      <c r="B17" s="764" t="s">
        <v>374</v>
      </c>
      <c r="C17" s="770">
        <v>45</v>
      </c>
      <c r="D17" s="776" t="s">
        <v>448</v>
      </c>
      <c r="E17" s="772">
        <v>0.28000000000000003</v>
      </c>
      <c r="F17" s="772">
        <v>0.13</v>
      </c>
      <c r="G17" s="772">
        <f t="shared" si="0"/>
        <v>0.15000000000000002</v>
      </c>
      <c r="H17" s="773">
        <f t="shared" si="1"/>
        <v>1.8888888888888889E-2</v>
      </c>
      <c r="I17" s="774"/>
      <c r="J17" s="775"/>
    </row>
    <row r="18" spans="1:10">
      <c r="A18" s="764" t="s">
        <v>376</v>
      </c>
      <c r="B18" s="764" t="s">
        <v>377</v>
      </c>
      <c r="C18" s="770">
        <v>68</v>
      </c>
      <c r="D18" s="771" t="s">
        <v>382</v>
      </c>
      <c r="E18" s="772">
        <v>0.25</v>
      </c>
      <c r="F18" s="772">
        <v>0.35</v>
      </c>
      <c r="G18" s="772">
        <f t="shared" si="0"/>
        <v>-9.9999999999999978E-2</v>
      </c>
      <c r="H18" s="773">
        <f t="shared" si="1"/>
        <v>1.6176470588235296E-2</v>
      </c>
      <c r="I18" s="774"/>
      <c r="J18" s="775"/>
    </row>
    <row r="19" spans="1:10">
      <c r="A19" s="764" t="s">
        <v>378</v>
      </c>
      <c r="B19" s="764" t="s">
        <v>379</v>
      </c>
      <c r="C19" s="770">
        <v>42</v>
      </c>
      <c r="D19" s="776" t="s">
        <v>449</v>
      </c>
      <c r="E19" s="772">
        <v>0.05</v>
      </c>
      <c r="F19" s="772">
        <v>0.2</v>
      </c>
      <c r="G19" s="772">
        <f t="shared" si="0"/>
        <v>-0.15000000000000002</v>
      </c>
      <c r="H19" s="773">
        <f t="shared" si="1"/>
        <v>2.7380952380952377E-2</v>
      </c>
      <c r="I19" s="774"/>
      <c r="J19" s="775"/>
    </row>
    <row r="20" spans="1:10">
      <c r="A20" s="764" t="s">
        <v>380</v>
      </c>
      <c r="B20" s="764" t="s">
        <v>381</v>
      </c>
      <c r="C20" s="770">
        <v>64</v>
      </c>
      <c r="D20" s="776" t="s">
        <v>382</v>
      </c>
      <c r="E20" s="772">
        <v>0.3</v>
      </c>
      <c r="F20" s="772">
        <v>0.18</v>
      </c>
      <c r="G20" s="772">
        <f t="shared" si="0"/>
        <v>0.12</v>
      </c>
      <c r="H20" s="773">
        <f t="shared" si="1"/>
        <v>1.375E-2</v>
      </c>
      <c r="I20" s="774"/>
      <c r="J20" s="775"/>
    </row>
    <row r="21" spans="1:10">
      <c r="A21" s="777" t="s">
        <v>450</v>
      </c>
      <c r="B21" s="764" t="s">
        <v>451</v>
      </c>
      <c r="C21" s="770">
        <v>50</v>
      </c>
      <c r="D21" s="776" t="s">
        <v>375</v>
      </c>
      <c r="E21" s="772">
        <v>0</v>
      </c>
      <c r="F21" s="772">
        <v>0</v>
      </c>
      <c r="G21" s="772">
        <f t="shared" si="0"/>
        <v>0</v>
      </c>
      <c r="H21" s="773">
        <f t="shared" si="1"/>
        <v>0.02</v>
      </c>
      <c r="I21" s="774"/>
      <c r="J21" s="775"/>
    </row>
    <row r="22" spans="1:10">
      <c r="A22" s="778">
        <v>358</v>
      </c>
      <c r="B22" s="764" t="s">
        <v>383</v>
      </c>
      <c r="C22" s="770">
        <v>20</v>
      </c>
      <c r="D22" s="776" t="s">
        <v>452</v>
      </c>
      <c r="E22" s="772">
        <v>0</v>
      </c>
      <c r="F22" s="772">
        <v>0</v>
      </c>
      <c r="G22" s="772">
        <f t="shared" si="0"/>
        <v>0</v>
      </c>
      <c r="H22" s="773">
        <f t="shared" si="1"/>
        <v>0.05</v>
      </c>
      <c r="I22" s="774"/>
      <c r="J22" s="775"/>
    </row>
    <row r="23" spans="1:10">
      <c r="C23" s="770"/>
      <c r="D23" s="773"/>
      <c r="E23" s="772"/>
      <c r="F23" s="772"/>
      <c r="G23" s="772"/>
      <c r="H23" s="776"/>
      <c r="I23" s="779"/>
      <c r="J23" s="765"/>
    </row>
    <row r="24" spans="1:10" s="780" customFormat="1">
      <c r="A24" s="768" t="s">
        <v>384</v>
      </c>
      <c r="C24" s="781"/>
      <c r="D24" s="782"/>
      <c r="E24" s="783"/>
      <c r="F24" s="783"/>
      <c r="G24" s="783"/>
      <c r="H24" s="784"/>
    </row>
    <row r="25" spans="1:10" s="780" customFormat="1">
      <c r="A25" s="768"/>
      <c r="C25" s="781"/>
      <c r="D25" s="782"/>
      <c r="E25" s="783"/>
      <c r="F25" s="783"/>
      <c r="G25" s="783"/>
      <c r="H25" s="784"/>
    </row>
    <row r="26" spans="1:10">
      <c r="A26" s="764" t="s">
        <v>385</v>
      </c>
      <c r="B26" s="764" t="s">
        <v>372</v>
      </c>
      <c r="C26" s="770">
        <v>42</v>
      </c>
      <c r="D26" s="776" t="s">
        <v>388</v>
      </c>
      <c r="E26" s="772">
        <v>0.36</v>
      </c>
      <c r="F26" s="772">
        <v>0.11</v>
      </c>
      <c r="G26" s="772">
        <f t="shared" ref="G26:G34" si="2">E26-F26</f>
        <v>0.25</v>
      </c>
      <c r="H26" s="773">
        <f t="shared" ref="H26:H34" si="3">(1-G26)/C26</f>
        <v>1.7857142857142856E-2</v>
      </c>
      <c r="I26" s="774"/>
      <c r="J26" s="775"/>
    </row>
    <row r="27" spans="1:10">
      <c r="A27" s="764" t="s">
        <v>386</v>
      </c>
      <c r="B27" s="764" t="s">
        <v>387</v>
      </c>
      <c r="C27" s="770">
        <v>30</v>
      </c>
      <c r="D27" s="776" t="s">
        <v>388</v>
      </c>
      <c r="E27" s="772">
        <v>0</v>
      </c>
      <c r="F27" s="772">
        <v>0</v>
      </c>
      <c r="G27" s="772">
        <f t="shared" si="2"/>
        <v>0</v>
      </c>
      <c r="H27" s="773">
        <f t="shared" si="3"/>
        <v>3.3333333333333333E-2</v>
      </c>
      <c r="I27" s="774"/>
      <c r="J27" s="775"/>
    </row>
    <row r="28" spans="1:10">
      <c r="A28" s="785" t="s">
        <v>389</v>
      </c>
      <c r="B28" s="764" t="s">
        <v>390</v>
      </c>
      <c r="C28" s="770">
        <v>27</v>
      </c>
      <c r="D28" s="771" t="s">
        <v>388</v>
      </c>
      <c r="E28" s="772">
        <v>0</v>
      </c>
      <c r="F28" s="772">
        <v>0</v>
      </c>
      <c r="G28" s="772">
        <f t="shared" si="2"/>
        <v>0</v>
      </c>
      <c r="H28" s="773">
        <f t="shared" si="3"/>
        <v>3.7037037037037035E-2</v>
      </c>
      <c r="I28" s="774"/>
      <c r="J28" s="775"/>
    </row>
    <row r="29" spans="1:10">
      <c r="A29" s="764" t="s">
        <v>391</v>
      </c>
      <c r="B29" s="764" t="s">
        <v>392</v>
      </c>
      <c r="C29" s="770">
        <v>55</v>
      </c>
      <c r="D29" s="771" t="s">
        <v>388</v>
      </c>
      <c r="E29" s="772">
        <v>0</v>
      </c>
      <c r="F29" s="772">
        <v>0</v>
      </c>
      <c r="G29" s="772">
        <f t="shared" si="2"/>
        <v>0</v>
      </c>
      <c r="H29" s="773">
        <f t="shared" si="3"/>
        <v>1.8181818181818181E-2</v>
      </c>
      <c r="I29" s="774"/>
      <c r="J29" s="775"/>
    </row>
    <row r="30" spans="1:10">
      <c r="A30" s="764" t="s">
        <v>393</v>
      </c>
      <c r="B30" s="764" t="s">
        <v>394</v>
      </c>
      <c r="C30" s="770">
        <v>43</v>
      </c>
      <c r="D30" s="771" t="s">
        <v>388</v>
      </c>
      <c r="E30" s="772">
        <v>0</v>
      </c>
      <c r="F30" s="772">
        <v>0.1</v>
      </c>
      <c r="G30" s="772">
        <f t="shared" si="2"/>
        <v>-0.1</v>
      </c>
      <c r="H30" s="773">
        <f t="shared" si="3"/>
        <v>2.5581395348837212E-2</v>
      </c>
      <c r="I30" s="774"/>
      <c r="J30" s="775"/>
    </row>
    <row r="31" spans="1:10">
      <c r="A31" s="764" t="s">
        <v>395</v>
      </c>
      <c r="B31" s="764" t="s">
        <v>396</v>
      </c>
      <c r="C31" s="770">
        <v>37</v>
      </c>
      <c r="D31" s="771" t="s">
        <v>388</v>
      </c>
      <c r="E31" s="772">
        <v>0</v>
      </c>
      <c r="F31" s="772">
        <v>0</v>
      </c>
      <c r="G31" s="772">
        <f t="shared" si="2"/>
        <v>0</v>
      </c>
      <c r="H31" s="773">
        <f t="shared" si="3"/>
        <v>2.7027027027027029E-2</v>
      </c>
      <c r="I31" s="774"/>
      <c r="J31" s="775"/>
    </row>
    <row r="32" spans="1:10">
      <c r="A32" s="785" t="s">
        <v>397</v>
      </c>
      <c r="B32" s="764" t="s">
        <v>398</v>
      </c>
      <c r="C32" s="770">
        <v>25</v>
      </c>
      <c r="D32" s="771" t="s">
        <v>388</v>
      </c>
      <c r="E32" s="772">
        <v>0</v>
      </c>
      <c r="F32" s="772">
        <v>0</v>
      </c>
      <c r="G32" s="772">
        <f t="shared" si="2"/>
        <v>0</v>
      </c>
      <c r="H32" s="773">
        <f t="shared" si="3"/>
        <v>0.04</v>
      </c>
      <c r="I32" s="774"/>
      <c r="J32" s="775"/>
    </row>
    <row r="33" spans="1:10">
      <c r="A33" s="764" t="s">
        <v>399</v>
      </c>
      <c r="B33" s="764" t="s">
        <v>400</v>
      </c>
      <c r="C33" s="770">
        <v>24</v>
      </c>
      <c r="D33" s="771" t="s">
        <v>388</v>
      </c>
      <c r="E33" s="772">
        <v>0</v>
      </c>
      <c r="F33" s="772">
        <v>0.01</v>
      </c>
      <c r="G33" s="772">
        <f t="shared" si="2"/>
        <v>-0.01</v>
      </c>
      <c r="H33" s="773">
        <f t="shared" si="3"/>
        <v>4.2083333333333334E-2</v>
      </c>
      <c r="I33" s="774"/>
      <c r="J33" s="775"/>
    </row>
    <row r="34" spans="1:10">
      <c r="A34" s="764" t="s">
        <v>401</v>
      </c>
      <c r="B34" s="764" t="s">
        <v>402</v>
      </c>
      <c r="C34" s="770">
        <v>35</v>
      </c>
      <c r="D34" s="771" t="s">
        <v>388</v>
      </c>
      <c r="E34" s="772">
        <v>0</v>
      </c>
      <c r="F34" s="772">
        <v>0</v>
      </c>
      <c r="G34" s="772">
        <f t="shared" si="2"/>
        <v>0</v>
      </c>
      <c r="H34" s="773">
        <f t="shared" si="3"/>
        <v>2.8571428571428571E-2</v>
      </c>
      <c r="I34" s="774"/>
      <c r="J34" s="775"/>
    </row>
    <row r="35" spans="1:10">
      <c r="C35" s="786"/>
      <c r="E35" s="787"/>
      <c r="F35" s="787"/>
      <c r="G35" s="787"/>
    </row>
    <row r="36" spans="1:10">
      <c r="A36" s="768" t="s">
        <v>741</v>
      </c>
      <c r="C36" s="786"/>
      <c r="E36" s="787"/>
      <c r="F36" s="787"/>
      <c r="G36" s="787"/>
    </row>
    <row r="37" spans="1:10">
      <c r="A37" s="826">
        <v>303</v>
      </c>
      <c r="B37" s="764" t="s">
        <v>742</v>
      </c>
      <c r="C37" s="770">
        <v>5</v>
      </c>
      <c r="D37" s="788"/>
      <c r="E37" s="787"/>
      <c r="F37" s="787"/>
      <c r="G37" s="787"/>
      <c r="H37" s="773">
        <v>0.2</v>
      </c>
    </row>
    <row r="38" spans="1:10">
      <c r="C38" s="786"/>
      <c r="E38" s="787"/>
      <c r="F38" s="787"/>
      <c r="G38" s="787"/>
    </row>
    <row r="39" spans="1:10">
      <c r="A39" s="789" t="s">
        <v>572</v>
      </c>
      <c r="C39" s="786"/>
      <c r="E39" s="787"/>
      <c r="F39" s="787"/>
      <c r="G39" s="787"/>
    </row>
    <row r="40" spans="1:10" ht="39" customHeight="1">
      <c r="A40" s="790" t="s">
        <v>62</v>
      </c>
      <c r="B40" s="1271" t="s">
        <v>799</v>
      </c>
      <c r="C40" s="1271"/>
      <c r="D40" s="1271"/>
      <c r="E40" s="1271"/>
      <c r="F40" s="1271"/>
      <c r="G40" s="1271"/>
      <c r="H40" s="1271"/>
    </row>
    <row r="41" spans="1:10">
      <c r="A41" s="791" t="s">
        <v>63</v>
      </c>
      <c r="B41" s="792" t="s">
        <v>719</v>
      </c>
      <c r="C41" s="741"/>
      <c r="D41" s="741"/>
      <c r="E41" s="741"/>
      <c r="F41" s="741"/>
      <c r="G41" s="741"/>
      <c r="H41" s="741"/>
    </row>
    <row r="42" spans="1:10">
      <c r="A42" s="741"/>
      <c r="B42" s="741"/>
      <c r="C42" s="741"/>
      <c r="D42" s="741"/>
      <c r="E42" s="741"/>
      <c r="F42" s="741"/>
      <c r="G42" s="741"/>
      <c r="H42" s="741"/>
    </row>
    <row r="43" spans="1:10">
      <c r="C43" s="793"/>
      <c r="E43" s="787"/>
      <c r="F43" s="787"/>
      <c r="G43" s="787"/>
    </row>
    <row r="44" spans="1:10">
      <c r="C44" s="793"/>
      <c r="E44" s="787"/>
      <c r="F44" s="787"/>
      <c r="G44" s="787"/>
    </row>
    <row r="45" spans="1:10">
      <c r="C45" s="793"/>
      <c r="E45" s="787"/>
      <c r="F45" s="787"/>
      <c r="G45" s="787"/>
    </row>
    <row r="46" spans="1:10">
      <c r="C46" s="793"/>
      <c r="E46" s="787"/>
      <c r="F46" s="787"/>
      <c r="G46" s="787"/>
    </row>
    <row r="47" spans="1:10">
      <c r="C47" s="793"/>
      <c r="E47" s="787"/>
      <c r="F47" s="787"/>
      <c r="G47" s="787"/>
    </row>
    <row r="48" spans="1:10">
      <c r="C48" s="793"/>
      <c r="E48" s="787"/>
      <c r="F48" s="787"/>
      <c r="G48" s="787"/>
    </row>
    <row r="49" spans="3:7">
      <c r="C49" s="793"/>
      <c r="E49" s="787"/>
      <c r="F49" s="787"/>
      <c r="G49" s="787"/>
    </row>
    <row r="50" spans="3:7">
      <c r="C50" s="793"/>
      <c r="E50" s="787"/>
      <c r="F50" s="787"/>
      <c r="G50" s="787"/>
    </row>
    <row r="51" spans="3:7">
      <c r="C51" s="793"/>
      <c r="E51" s="787"/>
      <c r="F51" s="787"/>
      <c r="G51" s="787"/>
    </row>
    <row r="52" spans="3:7">
      <c r="E52" s="787"/>
      <c r="F52" s="787"/>
      <c r="G52" s="787"/>
    </row>
    <row r="53" spans="3:7">
      <c r="E53" s="787"/>
      <c r="F53" s="787"/>
      <c r="G53" s="787"/>
    </row>
    <row r="54" spans="3:7">
      <c r="E54" s="787"/>
      <c r="F54" s="787"/>
      <c r="G54" s="787"/>
    </row>
    <row r="55" spans="3:7">
      <c r="E55" s="787"/>
      <c r="F55" s="787"/>
      <c r="G55" s="787"/>
    </row>
    <row r="56" spans="3:7">
      <c r="E56" s="787"/>
      <c r="F56" s="787"/>
      <c r="G56" s="787"/>
    </row>
    <row r="57" spans="3:7">
      <c r="E57" s="787"/>
      <c r="F57" s="787"/>
      <c r="G57" s="787"/>
    </row>
    <row r="58" spans="3:7">
      <c r="E58" s="787"/>
      <c r="F58" s="787"/>
      <c r="G58" s="787"/>
    </row>
    <row r="59" spans="3:7">
      <c r="E59" s="787"/>
      <c r="F59" s="787"/>
      <c r="G59" s="787"/>
    </row>
    <row r="60" spans="3:7">
      <c r="E60" s="787"/>
      <c r="F60" s="787"/>
      <c r="G60" s="787"/>
    </row>
    <row r="61" spans="3:7">
      <c r="E61" s="787"/>
      <c r="F61" s="787"/>
      <c r="G61" s="787"/>
    </row>
    <row r="62" spans="3:7">
      <c r="E62" s="787"/>
      <c r="F62" s="787"/>
      <c r="G62" s="787"/>
    </row>
    <row r="63" spans="3:7">
      <c r="E63" s="787"/>
      <c r="F63" s="787"/>
      <c r="G63" s="787"/>
    </row>
    <row r="64" spans="3:7">
      <c r="E64" s="787"/>
      <c r="F64" s="787"/>
      <c r="G64" s="787"/>
    </row>
    <row r="65" spans="5:7">
      <c r="E65" s="787"/>
      <c r="F65" s="787"/>
      <c r="G65" s="787"/>
    </row>
    <row r="66" spans="5:7">
      <c r="E66" s="787"/>
      <c r="F66" s="787"/>
      <c r="G66" s="787"/>
    </row>
    <row r="67" spans="5:7">
      <c r="E67" s="787"/>
      <c r="F67" s="787"/>
      <c r="G67" s="787"/>
    </row>
    <row r="68" spans="5:7">
      <c r="E68" s="787"/>
      <c r="F68" s="787"/>
      <c r="G68" s="787"/>
    </row>
    <row r="69" spans="5:7">
      <c r="E69" s="787"/>
      <c r="F69" s="787"/>
      <c r="G69" s="787"/>
    </row>
    <row r="70" spans="5:7">
      <c r="E70" s="787"/>
      <c r="F70" s="787"/>
      <c r="G70" s="787"/>
    </row>
    <row r="71" spans="5:7">
      <c r="E71" s="787"/>
      <c r="F71" s="787"/>
      <c r="G71" s="787"/>
    </row>
    <row r="72" spans="5:7">
      <c r="E72" s="787"/>
      <c r="F72" s="787"/>
      <c r="G72" s="787"/>
    </row>
    <row r="73" spans="5:7">
      <c r="E73" s="787"/>
      <c r="F73" s="787"/>
      <c r="G73" s="787"/>
    </row>
    <row r="74" spans="5:7">
      <c r="E74" s="787"/>
      <c r="F74" s="787"/>
      <c r="G74" s="787"/>
    </row>
    <row r="75" spans="5:7">
      <c r="E75" s="787"/>
      <c r="F75" s="787"/>
      <c r="G75" s="787"/>
    </row>
    <row r="76" spans="5:7">
      <c r="E76" s="787"/>
      <c r="F76" s="787"/>
      <c r="G76" s="787"/>
    </row>
    <row r="77" spans="5:7">
      <c r="E77" s="787"/>
      <c r="F77" s="787"/>
      <c r="G77" s="787"/>
    </row>
    <row r="78" spans="5:7">
      <c r="E78" s="787"/>
      <c r="F78" s="787"/>
      <c r="G78" s="787"/>
    </row>
    <row r="79" spans="5:7">
      <c r="E79" s="787"/>
      <c r="F79" s="787"/>
      <c r="G79" s="787"/>
    </row>
    <row r="80" spans="5:7">
      <c r="E80" s="787"/>
      <c r="F80" s="787"/>
      <c r="G80" s="787"/>
    </row>
    <row r="81" spans="5:7">
      <c r="E81" s="787"/>
      <c r="F81" s="787"/>
      <c r="G81" s="787"/>
    </row>
    <row r="82" spans="5:7">
      <c r="E82" s="787"/>
      <c r="F82" s="787"/>
      <c r="G82" s="787"/>
    </row>
    <row r="83" spans="5:7">
      <c r="E83" s="787"/>
      <c r="F83" s="787"/>
      <c r="G83" s="787"/>
    </row>
    <row r="84" spans="5:7">
      <c r="E84" s="787"/>
      <c r="F84" s="787"/>
      <c r="G84" s="787"/>
    </row>
    <row r="85" spans="5:7">
      <c r="E85" s="787"/>
      <c r="F85" s="787"/>
      <c r="G85" s="787"/>
    </row>
    <row r="86" spans="5:7">
      <c r="E86" s="787"/>
      <c r="F86" s="787"/>
      <c r="G86" s="787"/>
    </row>
    <row r="87" spans="5:7">
      <c r="E87" s="787"/>
      <c r="F87" s="787"/>
      <c r="G87" s="787"/>
    </row>
    <row r="88" spans="5:7">
      <c r="E88" s="787"/>
      <c r="F88" s="787"/>
      <c r="G88" s="787"/>
    </row>
    <row r="89" spans="5:7">
      <c r="E89" s="787"/>
      <c r="F89" s="787"/>
      <c r="G89" s="787"/>
    </row>
    <row r="90" spans="5:7">
      <c r="E90" s="787"/>
      <c r="F90" s="787"/>
      <c r="G90" s="787"/>
    </row>
    <row r="91" spans="5:7">
      <c r="E91" s="787"/>
      <c r="F91" s="787"/>
      <c r="G91" s="787"/>
    </row>
    <row r="92" spans="5:7">
      <c r="E92" s="787"/>
      <c r="F92" s="787"/>
      <c r="G92" s="787"/>
    </row>
    <row r="93" spans="5:7">
      <c r="E93" s="787"/>
      <c r="F93" s="787"/>
      <c r="G93" s="787"/>
    </row>
    <row r="94" spans="5:7">
      <c r="E94" s="787"/>
      <c r="F94" s="787"/>
      <c r="G94" s="787"/>
    </row>
    <row r="95" spans="5:7">
      <c r="E95" s="787"/>
      <c r="F95" s="787"/>
      <c r="G95" s="787"/>
    </row>
    <row r="96" spans="5:7">
      <c r="E96" s="787"/>
      <c r="F96" s="787"/>
      <c r="G96" s="787"/>
    </row>
    <row r="97" spans="5:7">
      <c r="E97" s="787"/>
      <c r="F97" s="787"/>
      <c r="G97" s="787"/>
    </row>
    <row r="98" spans="5:7">
      <c r="E98" s="787"/>
      <c r="F98" s="787"/>
      <c r="G98" s="787"/>
    </row>
    <row r="99" spans="5:7">
      <c r="E99" s="787"/>
      <c r="F99" s="787"/>
      <c r="G99" s="787"/>
    </row>
    <row r="100" spans="5:7">
      <c r="E100" s="787"/>
      <c r="F100" s="787"/>
      <c r="G100" s="787"/>
    </row>
    <row r="101" spans="5:7">
      <c r="E101" s="787"/>
      <c r="F101" s="787"/>
      <c r="G101" s="787"/>
    </row>
    <row r="102" spans="5:7">
      <c r="E102" s="787"/>
      <c r="F102" s="787"/>
      <c r="G102" s="787"/>
    </row>
    <row r="103" spans="5:7">
      <c r="E103" s="787"/>
      <c r="F103" s="787"/>
      <c r="G103" s="787"/>
    </row>
    <row r="104" spans="5:7">
      <c r="E104" s="787"/>
      <c r="F104" s="787"/>
      <c r="G104" s="787"/>
    </row>
    <row r="105" spans="5:7">
      <c r="E105" s="787"/>
      <c r="F105" s="787"/>
      <c r="G105" s="787"/>
    </row>
    <row r="106" spans="5:7">
      <c r="E106" s="787"/>
      <c r="F106" s="787"/>
      <c r="G106" s="787"/>
    </row>
    <row r="107" spans="5:7">
      <c r="E107" s="787"/>
      <c r="F107" s="787"/>
      <c r="G107" s="787"/>
    </row>
    <row r="108" spans="5:7">
      <c r="E108" s="787"/>
      <c r="F108" s="787"/>
      <c r="G108" s="787"/>
    </row>
    <row r="109" spans="5:7">
      <c r="E109" s="787"/>
      <c r="F109" s="787"/>
      <c r="G109" s="787"/>
    </row>
    <row r="110" spans="5:7">
      <c r="E110" s="787"/>
      <c r="F110" s="787"/>
      <c r="G110" s="787"/>
    </row>
    <row r="111" spans="5:7">
      <c r="E111" s="787"/>
      <c r="F111" s="787"/>
      <c r="G111" s="787"/>
    </row>
    <row r="112" spans="5:7">
      <c r="E112" s="787"/>
      <c r="F112" s="787"/>
      <c r="G112" s="787"/>
    </row>
    <row r="113" spans="5:7">
      <c r="E113" s="787"/>
      <c r="F113" s="787"/>
      <c r="G113" s="787"/>
    </row>
    <row r="114" spans="5:7">
      <c r="E114" s="787"/>
      <c r="F114" s="787"/>
      <c r="G114" s="787"/>
    </row>
    <row r="115" spans="5:7">
      <c r="E115" s="787"/>
      <c r="F115" s="787"/>
      <c r="G115" s="787"/>
    </row>
    <row r="116" spans="5:7">
      <c r="E116" s="787"/>
      <c r="F116" s="787"/>
      <c r="G116" s="787"/>
    </row>
    <row r="117" spans="5:7">
      <c r="E117" s="787"/>
      <c r="F117" s="787"/>
      <c r="G117" s="787"/>
    </row>
    <row r="118" spans="5:7">
      <c r="E118" s="787"/>
      <c r="F118" s="787"/>
      <c r="G118" s="787"/>
    </row>
    <row r="119" spans="5:7">
      <c r="E119" s="787"/>
      <c r="F119" s="787"/>
      <c r="G119" s="787"/>
    </row>
    <row r="120" spans="5:7">
      <c r="E120" s="787"/>
      <c r="F120" s="787"/>
      <c r="G120" s="787"/>
    </row>
    <row r="121" spans="5:7">
      <c r="E121" s="787"/>
      <c r="F121" s="787"/>
      <c r="G121" s="787"/>
    </row>
    <row r="122" spans="5:7">
      <c r="E122" s="787"/>
      <c r="F122" s="787"/>
      <c r="G122" s="787"/>
    </row>
    <row r="123" spans="5:7">
      <c r="E123" s="787"/>
      <c r="F123" s="787"/>
      <c r="G123" s="787"/>
    </row>
    <row r="124" spans="5:7">
      <c r="E124" s="787"/>
      <c r="F124" s="787"/>
      <c r="G124" s="787"/>
    </row>
    <row r="125" spans="5:7">
      <c r="E125" s="787"/>
      <c r="F125" s="787"/>
      <c r="G125" s="787"/>
    </row>
    <row r="126" spans="5:7">
      <c r="E126" s="787"/>
      <c r="F126" s="787"/>
      <c r="G126" s="787"/>
    </row>
    <row r="127" spans="5:7">
      <c r="E127" s="787"/>
      <c r="F127" s="787"/>
      <c r="G127" s="787"/>
    </row>
    <row r="128" spans="5:7">
      <c r="E128" s="787"/>
      <c r="F128" s="787"/>
      <c r="G128" s="787"/>
    </row>
    <row r="129" spans="5:7">
      <c r="E129" s="787"/>
      <c r="F129" s="787"/>
      <c r="G129" s="787"/>
    </row>
    <row r="130" spans="5:7">
      <c r="E130" s="787"/>
      <c r="F130" s="787"/>
      <c r="G130" s="787"/>
    </row>
    <row r="131" spans="5:7">
      <c r="E131" s="787"/>
      <c r="F131" s="787"/>
      <c r="G131" s="787"/>
    </row>
    <row r="132" spans="5:7">
      <c r="E132" s="787"/>
      <c r="F132" s="787"/>
      <c r="G132" s="787"/>
    </row>
    <row r="133" spans="5:7">
      <c r="E133" s="787"/>
      <c r="F133" s="787"/>
      <c r="G133" s="787"/>
    </row>
    <row r="134" spans="5:7">
      <c r="E134" s="787"/>
      <c r="F134" s="787"/>
      <c r="G134" s="787"/>
    </row>
    <row r="135" spans="5:7">
      <c r="E135" s="787"/>
      <c r="F135" s="787"/>
      <c r="G135" s="787"/>
    </row>
    <row r="136" spans="5:7">
      <c r="E136" s="787"/>
      <c r="F136" s="787"/>
      <c r="G136" s="787"/>
    </row>
    <row r="137" spans="5:7">
      <c r="E137" s="787"/>
      <c r="F137" s="787"/>
      <c r="G137" s="787"/>
    </row>
    <row r="138" spans="5:7">
      <c r="E138" s="787"/>
      <c r="F138" s="787"/>
      <c r="G138" s="787"/>
    </row>
    <row r="139" spans="5:7">
      <c r="E139" s="787"/>
      <c r="F139" s="787"/>
      <c r="G139" s="787"/>
    </row>
    <row r="140" spans="5:7">
      <c r="E140" s="787"/>
      <c r="F140" s="787"/>
      <c r="G140" s="787"/>
    </row>
    <row r="141" spans="5:7">
      <c r="E141" s="787"/>
      <c r="F141" s="787"/>
      <c r="G141" s="787"/>
    </row>
    <row r="142" spans="5:7">
      <c r="E142" s="787"/>
      <c r="F142" s="787"/>
      <c r="G142" s="787"/>
    </row>
    <row r="143" spans="5:7">
      <c r="E143" s="787"/>
      <c r="F143" s="787"/>
      <c r="G143" s="787"/>
    </row>
    <row r="144" spans="5:7">
      <c r="E144" s="787"/>
      <c r="F144" s="787"/>
      <c r="G144" s="787"/>
    </row>
    <row r="145" spans="5:7">
      <c r="E145" s="787"/>
      <c r="F145" s="787"/>
      <c r="G145" s="787"/>
    </row>
    <row r="146" spans="5:7">
      <c r="E146" s="787"/>
      <c r="F146" s="787"/>
      <c r="G146" s="787"/>
    </row>
    <row r="147" spans="5:7">
      <c r="E147" s="787"/>
      <c r="F147" s="787"/>
      <c r="G147" s="787"/>
    </row>
    <row r="148" spans="5:7">
      <c r="E148" s="787"/>
      <c r="F148" s="787"/>
      <c r="G148" s="787"/>
    </row>
    <row r="149" spans="5:7">
      <c r="E149" s="787"/>
      <c r="F149" s="787"/>
      <c r="G149" s="787"/>
    </row>
    <row r="150" spans="5:7">
      <c r="E150" s="787"/>
      <c r="F150" s="787"/>
      <c r="G150" s="787"/>
    </row>
    <row r="151" spans="5:7">
      <c r="E151" s="787"/>
      <c r="F151" s="787"/>
      <c r="G151" s="787"/>
    </row>
    <row r="152" spans="5:7">
      <c r="E152" s="787"/>
      <c r="F152" s="787"/>
      <c r="G152" s="787"/>
    </row>
    <row r="153" spans="5:7">
      <c r="E153" s="787"/>
      <c r="F153" s="787"/>
      <c r="G153" s="787"/>
    </row>
    <row r="154" spans="5:7">
      <c r="E154" s="787"/>
      <c r="F154" s="787"/>
      <c r="G154" s="787"/>
    </row>
    <row r="155" spans="5:7">
      <c r="E155" s="787"/>
      <c r="F155" s="787"/>
      <c r="G155" s="787"/>
    </row>
    <row r="156" spans="5:7">
      <c r="E156" s="787"/>
      <c r="F156" s="787"/>
      <c r="G156" s="787"/>
    </row>
    <row r="157" spans="5:7">
      <c r="E157" s="787"/>
      <c r="F157" s="787"/>
      <c r="G157" s="787"/>
    </row>
    <row r="158" spans="5:7">
      <c r="E158" s="787"/>
      <c r="F158" s="787"/>
      <c r="G158" s="787"/>
    </row>
    <row r="159" spans="5:7">
      <c r="E159" s="787"/>
      <c r="F159" s="787"/>
      <c r="G159" s="787"/>
    </row>
    <row r="160" spans="5:7">
      <c r="E160" s="787"/>
      <c r="F160" s="787"/>
      <c r="G160" s="787"/>
    </row>
    <row r="161" spans="5:7">
      <c r="E161" s="787"/>
      <c r="F161" s="787"/>
      <c r="G161" s="787"/>
    </row>
    <row r="162" spans="5:7">
      <c r="E162" s="787"/>
      <c r="F162" s="787"/>
      <c r="G162" s="787"/>
    </row>
    <row r="163" spans="5:7">
      <c r="E163" s="787"/>
      <c r="F163" s="787"/>
      <c r="G163" s="787"/>
    </row>
    <row r="164" spans="5:7">
      <c r="E164" s="787"/>
      <c r="F164" s="787"/>
      <c r="G164" s="787"/>
    </row>
    <row r="165" spans="5:7">
      <c r="E165" s="787"/>
      <c r="F165" s="787"/>
      <c r="G165" s="787"/>
    </row>
    <row r="166" spans="5:7">
      <c r="E166" s="787"/>
      <c r="F166" s="787"/>
      <c r="G166" s="787"/>
    </row>
    <row r="167" spans="5:7">
      <c r="E167" s="787"/>
      <c r="F167" s="787"/>
      <c r="G167" s="787"/>
    </row>
    <row r="168" spans="5:7">
      <c r="E168" s="787"/>
      <c r="F168" s="787"/>
      <c r="G168" s="787"/>
    </row>
    <row r="169" spans="5:7">
      <c r="E169" s="787"/>
      <c r="F169" s="787"/>
      <c r="G169" s="787"/>
    </row>
    <row r="170" spans="5:7">
      <c r="E170" s="787"/>
      <c r="F170" s="787"/>
      <c r="G170" s="787"/>
    </row>
    <row r="171" spans="5:7">
      <c r="E171" s="787"/>
      <c r="F171" s="787"/>
      <c r="G171" s="787"/>
    </row>
    <row r="172" spans="5:7">
      <c r="E172" s="787"/>
      <c r="F172" s="787"/>
      <c r="G172" s="787"/>
    </row>
    <row r="173" spans="5:7">
      <c r="E173" s="787"/>
      <c r="F173" s="787"/>
      <c r="G173" s="787"/>
    </row>
    <row r="174" spans="5:7">
      <c r="E174" s="787"/>
      <c r="F174" s="787"/>
      <c r="G174" s="787"/>
    </row>
    <row r="175" spans="5:7">
      <c r="E175" s="787"/>
      <c r="F175" s="787"/>
      <c r="G175" s="787"/>
    </row>
    <row r="176" spans="5:7">
      <c r="E176" s="787"/>
      <c r="F176" s="787"/>
      <c r="G176" s="787"/>
    </row>
    <row r="177" spans="5:7">
      <c r="E177" s="787"/>
      <c r="F177" s="787"/>
      <c r="G177" s="787"/>
    </row>
    <row r="178" spans="5:7">
      <c r="E178" s="787"/>
      <c r="F178" s="787"/>
      <c r="G178" s="787"/>
    </row>
    <row r="179" spans="5:7">
      <c r="E179" s="787"/>
      <c r="F179" s="787"/>
      <c r="G179" s="787"/>
    </row>
    <row r="180" spans="5:7">
      <c r="E180" s="787"/>
      <c r="F180" s="787"/>
      <c r="G180" s="787"/>
    </row>
    <row r="181" spans="5:7">
      <c r="E181" s="787"/>
      <c r="F181" s="787"/>
      <c r="G181" s="787"/>
    </row>
    <row r="182" spans="5:7">
      <c r="E182" s="787"/>
      <c r="F182" s="787"/>
      <c r="G182" s="787"/>
    </row>
    <row r="183" spans="5:7">
      <c r="E183" s="787"/>
      <c r="F183" s="787"/>
      <c r="G183" s="787"/>
    </row>
    <row r="184" spans="5:7">
      <c r="E184" s="787"/>
      <c r="F184" s="787"/>
      <c r="G184" s="787"/>
    </row>
    <row r="185" spans="5:7">
      <c r="E185" s="787"/>
      <c r="F185" s="787"/>
      <c r="G185" s="787"/>
    </row>
    <row r="186" spans="5:7">
      <c r="E186" s="787"/>
      <c r="F186" s="787"/>
      <c r="G186" s="787"/>
    </row>
    <row r="187" spans="5:7">
      <c r="E187" s="787"/>
      <c r="F187" s="787"/>
      <c r="G187" s="787"/>
    </row>
    <row r="188" spans="5:7">
      <c r="E188" s="787"/>
      <c r="F188" s="787"/>
      <c r="G188" s="787"/>
    </row>
    <row r="189" spans="5:7">
      <c r="E189" s="787"/>
      <c r="F189" s="787"/>
      <c r="G189" s="787"/>
    </row>
    <row r="190" spans="5:7">
      <c r="E190" s="787"/>
      <c r="F190" s="787"/>
      <c r="G190" s="787"/>
    </row>
    <row r="191" spans="5:7">
      <c r="E191" s="787"/>
      <c r="F191" s="787"/>
      <c r="G191" s="787"/>
    </row>
    <row r="192" spans="5:7">
      <c r="E192" s="787"/>
      <c r="F192" s="787"/>
      <c r="G192" s="787"/>
    </row>
    <row r="193" spans="5:7">
      <c r="E193" s="787"/>
      <c r="F193" s="787"/>
      <c r="G193" s="787"/>
    </row>
    <row r="194" spans="5:7">
      <c r="E194" s="787"/>
      <c r="F194" s="787"/>
      <c r="G194" s="787"/>
    </row>
    <row r="195" spans="5:7">
      <c r="E195" s="787"/>
      <c r="F195" s="787"/>
      <c r="G195" s="787"/>
    </row>
    <row r="196" spans="5:7">
      <c r="E196" s="787"/>
      <c r="F196" s="787"/>
      <c r="G196" s="787"/>
    </row>
    <row r="197" spans="5:7">
      <c r="E197" s="787"/>
      <c r="F197" s="787"/>
      <c r="G197" s="787"/>
    </row>
    <row r="198" spans="5:7">
      <c r="E198" s="787"/>
      <c r="F198" s="787"/>
      <c r="G198" s="787"/>
    </row>
    <row r="199" spans="5:7">
      <c r="E199" s="787"/>
      <c r="F199" s="787"/>
      <c r="G199" s="787"/>
    </row>
    <row r="200" spans="5:7">
      <c r="E200" s="787"/>
      <c r="F200" s="787"/>
      <c r="G200" s="787"/>
    </row>
    <row r="201" spans="5:7">
      <c r="E201" s="787"/>
      <c r="F201" s="787"/>
      <c r="G201" s="787"/>
    </row>
    <row r="202" spans="5:7">
      <c r="E202" s="787"/>
      <c r="F202" s="787"/>
      <c r="G202" s="787"/>
    </row>
    <row r="203" spans="5:7">
      <c r="E203" s="787"/>
      <c r="F203" s="787"/>
      <c r="G203" s="787"/>
    </row>
    <row r="204" spans="5:7">
      <c r="E204" s="787"/>
      <c r="F204" s="787"/>
      <c r="G204" s="787"/>
    </row>
    <row r="205" spans="5:7">
      <c r="E205" s="787"/>
      <c r="F205" s="787"/>
      <c r="G205" s="787"/>
    </row>
    <row r="206" spans="5:7">
      <c r="E206" s="787"/>
      <c r="F206" s="787"/>
      <c r="G206" s="787"/>
    </row>
    <row r="207" spans="5:7">
      <c r="E207" s="787"/>
      <c r="F207" s="787"/>
      <c r="G207" s="787"/>
    </row>
    <row r="208" spans="5:7">
      <c r="E208" s="787"/>
      <c r="F208" s="787"/>
      <c r="G208" s="787"/>
    </row>
    <row r="209" spans="5:7">
      <c r="E209" s="787"/>
      <c r="F209" s="787"/>
      <c r="G209" s="787"/>
    </row>
    <row r="210" spans="5:7">
      <c r="E210" s="787"/>
      <c r="F210" s="787"/>
      <c r="G210" s="787"/>
    </row>
    <row r="211" spans="5:7">
      <c r="E211" s="787"/>
      <c r="F211" s="787"/>
      <c r="G211" s="787"/>
    </row>
    <row r="212" spans="5:7">
      <c r="E212" s="787"/>
      <c r="F212" s="787"/>
      <c r="G212" s="787"/>
    </row>
    <row r="213" spans="5:7">
      <c r="E213" s="787"/>
      <c r="F213" s="787"/>
      <c r="G213" s="787"/>
    </row>
    <row r="214" spans="5:7">
      <c r="E214" s="787"/>
      <c r="F214" s="787"/>
      <c r="G214" s="787"/>
    </row>
    <row r="215" spans="5:7">
      <c r="E215" s="787"/>
      <c r="F215" s="787"/>
      <c r="G215" s="787"/>
    </row>
    <row r="216" spans="5:7">
      <c r="E216" s="787"/>
      <c r="F216" s="787"/>
      <c r="G216" s="787"/>
    </row>
    <row r="217" spans="5:7">
      <c r="E217" s="787"/>
      <c r="F217" s="787"/>
      <c r="G217" s="787"/>
    </row>
    <row r="218" spans="5:7">
      <c r="E218" s="787"/>
      <c r="F218" s="787"/>
      <c r="G218" s="787"/>
    </row>
    <row r="219" spans="5:7">
      <c r="E219" s="787"/>
      <c r="F219" s="787"/>
      <c r="G219" s="787"/>
    </row>
    <row r="220" spans="5:7">
      <c r="E220" s="787"/>
      <c r="F220" s="787"/>
      <c r="G220" s="787"/>
    </row>
    <row r="221" spans="5:7">
      <c r="E221" s="787"/>
      <c r="F221" s="787"/>
      <c r="G221" s="787"/>
    </row>
    <row r="222" spans="5:7">
      <c r="E222" s="787"/>
      <c r="F222" s="787"/>
      <c r="G222" s="787"/>
    </row>
    <row r="223" spans="5:7">
      <c r="E223" s="787"/>
      <c r="F223" s="787"/>
      <c r="G223" s="787"/>
    </row>
    <row r="224" spans="5:7">
      <c r="E224" s="787"/>
      <c r="F224" s="787"/>
      <c r="G224" s="787"/>
    </row>
    <row r="225" spans="5:7">
      <c r="E225" s="787"/>
      <c r="F225" s="787"/>
      <c r="G225" s="787"/>
    </row>
    <row r="226" spans="5:7">
      <c r="E226" s="787"/>
      <c r="F226" s="787"/>
      <c r="G226" s="787"/>
    </row>
    <row r="227" spans="5:7">
      <c r="E227" s="787"/>
      <c r="F227" s="787"/>
      <c r="G227" s="787"/>
    </row>
    <row r="228" spans="5:7">
      <c r="E228" s="787"/>
      <c r="F228" s="787"/>
      <c r="G228" s="787"/>
    </row>
    <row r="229" spans="5:7">
      <c r="E229" s="787"/>
      <c r="F229" s="787"/>
      <c r="G229" s="787"/>
    </row>
    <row r="230" spans="5:7">
      <c r="E230" s="787"/>
      <c r="F230" s="787"/>
      <c r="G230" s="787"/>
    </row>
    <row r="231" spans="5:7">
      <c r="E231" s="787"/>
      <c r="F231" s="787"/>
      <c r="G231" s="787"/>
    </row>
    <row r="232" spans="5:7">
      <c r="E232" s="787"/>
      <c r="F232" s="787"/>
      <c r="G232" s="787"/>
    </row>
    <row r="233" spans="5:7">
      <c r="E233" s="787"/>
      <c r="F233" s="787"/>
      <c r="G233" s="787"/>
    </row>
    <row r="234" spans="5:7">
      <c r="E234" s="787"/>
      <c r="F234" s="787"/>
      <c r="G234" s="787"/>
    </row>
    <row r="235" spans="5:7">
      <c r="E235" s="787"/>
      <c r="F235" s="787"/>
      <c r="G235" s="787"/>
    </row>
    <row r="236" spans="5:7">
      <c r="E236" s="787"/>
      <c r="F236" s="787"/>
      <c r="G236" s="787"/>
    </row>
    <row r="237" spans="5:7">
      <c r="E237" s="787"/>
      <c r="F237" s="787"/>
      <c r="G237" s="787"/>
    </row>
    <row r="238" spans="5:7">
      <c r="E238" s="787"/>
      <c r="F238" s="787"/>
      <c r="G238" s="787"/>
    </row>
    <row r="239" spans="5:7">
      <c r="E239" s="787"/>
      <c r="F239" s="787"/>
      <c r="G239" s="787"/>
    </row>
    <row r="240" spans="5:7">
      <c r="E240" s="787"/>
      <c r="F240" s="787"/>
      <c r="G240" s="787"/>
    </row>
    <row r="241" spans="5:7">
      <c r="E241" s="787"/>
      <c r="F241" s="787"/>
      <c r="G241" s="787"/>
    </row>
    <row r="242" spans="5:7">
      <c r="E242" s="787"/>
      <c r="F242" s="787"/>
      <c r="G242" s="787"/>
    </row>
    <row r="243" spans="5:7">
      <c r="E243" s="787"/>
      <c r="F243" s="787"/>
      <c r="G243" s="787"/>
    </row>
    <row r="244" spans="5:7">
      <c r="E244" s="787"/>
      <c r="F244" s="787"/>
      <c r="G244" s="787"/>
    </row>
    <row r="245" spans="5:7">
      <c r="E245" s="787"/>
      <c r="F245" s="787"/>
      <c r="G245" s="787"/>
    </row>
    <row r="246" spans="5:7">
      <c r="E246" s="787"/>
      <c r="F246" s="787"/>
      <c r="G246" s="787"/>
    </row>
    <row r="247" spans="5:7">
      <c r="E247" s="787"/>
      <c r="F247" s="787"/>
      <c r="G247" s="787"/>
    </row>
    <row r="248" spans="5:7">
      <c r="E248" s="787"/>
      <c r="F248" s="787"/>
      <c r="G248" s="787"/>
    </row>
    <row r="249" spans="5:7">
      <c r="E249" s="787"/>
      <c r="F249" s="787"/>
      <c r="G249" s="787"/>
    </row>
    <row r="250" spans="5:7">
      <c r="E250" s="787"/>
      <c r="F250" s="787"/>
      <c r="G250" s="787"/>
    </row>
    <row r="251" spans="5:7">
      <c r="E251" s="787"/>
      <c r="F251" s="787"/>
      <c r="G251" s="787"/>
    </row>
    <row r="252" spans="5:7">
      <c r="E252" s="787"/>
      <c r="F252" s="787"/>
      <c r="G252" s="787"/>
    </row>
    <row r="253" spans="5:7">
      <c r="E253" s="787"/>
      <c r="F253" s="787"/>
      <c r="G253" s="787"/>
    </row>
    <row r="254" spans="5:7">
      <c r="E254" s="787"/>
      <c r="F254" s="787"/>
      <c r="G254" s="787"/>
    </row>
    <row r="255" spans="5:7">
      <c r="E255" s="787"/>
      <c r="F255" s="787"/>
      <c r="G255" s="787"/>
    </row>
    <row r="256" spans="5:7">
      <c r="E256" s="787"/>
      <c r="F256" s="787"/>
      <c r="G256" s="787"/>
    </row>
    <row r="257" spans="5:7">
      <c r="E257" s="787"/>
      <c r="F257" s="787"/>
      <c r="G257" s="787"/>
    </row>
    <row r="258" spans="5:7">
      <c r="E258" s="787"/>
      <c r="F258" s="787"/>
      <c r="G258" s="787"/>
    </row>
    <row r="259" spans="5:7">
      <c r="E259" s="787"/>
      <c r="F259" s="787"/>
      <c r="G259" s="787"/>
    </row>
    <row r="260" spans="5:7">
      <c r="E260" s="787"/>
      <c r="F260" s="787"/>
      <c r="G260" s="787"/>
    </row>
    <row r="261" spans="5:7">
      <c r="E261" s="787"/>
      <c r="F261" s="787"/>
      <c r="G261" s="787"/>
    </row>
    <row r="262" spans="5:7">
      <c r="E262" s="787"/>
      <c r="F262" s="787"/>
      <c r="G262" s="787"/>
    </row>
    <row r="263" spans="5:7">
      <c r="E263" s="787"/>
      <c r="F263" s="787"/>
      <c r="G263" s="787"/>
    </row>
    <row r="264" spans="5:7">
      <c r="E264" s="787"/>
      <c r="F264" s="787"/>
      <c r="G264" s="787"/>
    </row>
    <row r="265" spans="5:7">
      <c r="E265" s="787"/>
      <c r="F265" s="787"/>
      <c r="G265" s="787"/>
    </row>
    <row r="266" spans="5:7">
      <c r="E266" s="787"/>
      <c r="F266" s="787"/>
      <c r="G266" s="787"/>
    </row>
    <row r="267" spans="5:7">
      <c r="E267" s="787"/>
      <c r="F267" s="787"/>
      <c r="G267" s="787"/>
    </row>
    <row r="268" spans="5:7">
      <c r="E268" s="787"/>
      <c r="F268" s="787"/>
      <c r="G268" s="787"/>
    </row>
    <row r="269" spans="5:7">
      <c r="E269" s="787"/>
      <c r="F269" s="787"/>
      <c r="G269" s="787"/>
    </row>
    <row r="270" spans="5:7">
      <c r="E270" s="787"/>
      <c r="F270" s="787"/>
      <c r="G270" s="787"/>
    </row>
    <row r="271" spans="5:7">
      <c r="E271" s="787"/>
      <c r="F271" s="787"/>
      <c r="G271" s="787"/>
    </row>
    <row r="272" spans="5:7">
      <c r="E272" s="787"/>
      <c r="F272" s="787"/>
      <c r="G272" s="787"/>
    </row>
    <row r="273" spans="5:7">
      <c r="E273" s="787"/>
      <c r="F273" s="787"/>
      <c r="G273" s="787"/>
    </row>
    <row r="274" spans="5:7">
      <c r="E274" s="787"/>
      <c r="F274" s="787"/>
      <c r="G274" s="787"/>
    </row>
    <row r="275" spans="5:7">
      <c r="E275" s="787"/>
      <c r="F275" s="787"/>
      <c r="G275" s="787"/>
    </row>
    <row r="276" spans="5:7">
      <c r="E276" s="787"/>
      <c r="F276" s="787"/>
      <c r="G276" s="787"/>
    </row>
    <row r="277" spans="5:7">
      <c r="E277" s="787"/>
      <c r="F277" s="787"/>
      <c r="G277" s="787"/>
    </row>
    <row r="278" spans="5:7">
      <c r="E278" s="787"/>
      <c r="F278" s="787"/>
      <c r="G278" s="787"/>
    </row>
    <row r="279" spans="5:7">
      <c r="E279" s="787"/>
      <c r="F279" s="787"/>
      <c r="G279" s="787"/>
    </row>
    <row r="280" spans="5:7">
      <c r="E280" s="787"/>
      <c r="F280" s="787"/>
      <c r="G280" s="787"/>
    </row>
    <row r="281" spans="5:7">
      <c r="E281" s="787"/>
      <c r="F281" s="787"/>
      <c r="G281" s="787"/>
    </row>
    <row r="282" spans="5:7">
      <c r="E282" s="787"/>
      <c r="F282" s="787"/>
      <c r="G282" s="787"/>
    </row>
    <row r="283" spans="5:7">
      <c r="E283" s="787"/>
      <c r="F283" s="787"/>
      <c r="G283" s="787"/>
    </row>
    <row r="284" spans="5:7">
      <c r="E284" s="787"/>
      <c r="F284" s="787"/>
      <c r="G284" s="787"/>
    </row>
    <row r="285" spans="5:7">
      <c r="E285" s="787"/>
      <c r="F285" s="787"/>
      <c r="G285" s="787"/>
    </row>
    <row r="286" spans="5:7">
      <c r="E286" s="787"/>
      <c r="F286" s="787"/>
      <c r="G286" s="787"/>
    </row>
    <row r="287" spans="5:7">
      <c r="E287" s="787"/>
      <c r="F287" s="787"/>
      <c r="G287" s="787"/>
    </row>
    <row r="288" spans="5:7">
      <c r="E288" s="787"/>
      <c r="F288" s="787"/>
      <c r="G288" s="787"/>
    </row>
    <row r="289" spans="5:7">
      <c r="E289" s="787"/>
      <c r="F289" s="787"/>
      <c r="G289" s="787"/>
    </row>
    <row r="290" spans="5:7">
      <c r="E290" s="787"/>
      <c r="F290" s="787"/>
      <c r="G290" s="787"/>
    </row>
    <row r="291" spans="5:7">
      <c r="E291" s="787"/>
      <c r="F291" s="787"/>
      <c r="G291" s="787"/>
    </row>
    <row r="292" spans="5:7">
      <c r="E292" s="787"/>
      <c r="F292" s="787"/>
      <c r="G292" s="787"/>
    </row>
    <row r="293" spans="5:7">
      <c r="E293" s="787"/>
      <c r="F293" s="787"/>
      <c r="G293" s="787"/>
    </row>
    <row r="294" spans="5:7">
      <c r="E294" s="787"/>
      <c r="F294" s="787"/>
      <c r="G294" s="787"/>
    </row>
    <row r="295" spans="5:7">
      <c r="E295" s="787"/>
      <c r="F295" s="787"/>
      <c r="G295" s="787"/>
    </row>
    <row r="296" spans="5:7">
      <c r="E296" s="787"/>
      <c r="F296" s="787"/>
      <c r="G296" s="787"/>
    </row>
    <row r="297" spans="5:7">
      <c r="E297" s="787"/>
      <c r="F297" s="787"/>
      <c r="G297" s="787"/>
    </row>
    <row r="298" spans="5:7">
      <c r="E298" s="787"/>
      <c r="F298" s="787"/>
      <c r="G298" s="787"/>
    </row>
    <row r="299" spans="5:7">
      <c r="E299" s="787"/>
      <c r="F299" s="787"/>
      <c r="G299" s="787"/>
    </row>
    <row r="300" spans="5:7">
      <c r="E300" s="787"/>
      <c r="F300" s="787"/>
      <c r="G300" s="787"/>
    </row>
    <row r="301" spans="5:7">
      <c r="E301" s="787"/>
      <c r="F301" s="787"/>
      <c r="G301" s="787"/>
    </row>
    <row r="302" spans="5:7">
      <c r="E302" s="787"/>
      <c r="F302" s="787"/>
      <c r="G302" s="787"/>
    </row>
    <row r="303" spans="5:7">
      <c r="E303" s="787"/>
      <c r="F303" s="787"/>
      <c r="G303" s="787"/>
    </row>
    <row r="304" spans="5:7">
      <c r="E304" s="787"/>
      <c r="F304" s="787"/>
      <c r="G304" s="787"/>
    </row>
    <row r="305" spans="5:7">
      <c r="E305" s="787"/>
      <c r="F305" s="787"/>
      <c r="G305" s="787"/>
    </row>
    <row r="306" spans="5:7">
      <c r="E306" s="787"/>
      <c r="F306" s="787"/>
      <c r="G306" s="787"/>
    </row>
    <row r="307" spans="5:7">
      <c r="E307" s="787"/>
      <c r="F307" s="787"/>
      <c r="G307" s="787"/>
    </row>
    <row r="308" spans="5:7">
      <c r="E308" s="787"/>
      <c r="F308" s="787"/>
      <c r="G308" s="787"/>
    </row>
    <row r="309" spans="5:7">
      <c r="E309" s="787"/>
      <c r="F309" s="787"/>
      <c r="G309" s="787"/>
    </row>
    <row r="310" spans="5:7">
      <c r="E310" s="787"/>
      <c r="F310" s="787"/>
      <c r="G310" s="787"/>
    </row>
    <row r="311" spans="5:7">
      <c r="E311" s="787"/>
      <c r="F311" s="787"/>
      <c r="G311" s="787"/>
    </row>
    <row r="312" spans="5:7">
      <c r="E312" s="787"/>
      <c r="F312" s="787"/>
      <c r="G312" s="787"/>
    </row>
    <row r="313" spans="5:7">
      <c r="E313" s="787"/>
      <c r="F313" s="787"/>
      <c r="G313" s="787"/>
    </row>
    <row r="314" spans="5:7">
      <c r="E314" s="787"/>
      <c r="F314" s="787"/>
      <c r="G314" s="787"/>
    </row>
    <row r="315" spans="5:7">
      <c r="E315" s="787"/>
      <c r="F315" s="787"/>
      <c r="G315" s="787"/>
    </row>
    <row r="316" spans="5:7">
      <c r="E316" s="787"/>
      <c r="F316" s="787"/>
      <c r="G316" s="787"/>
    </row>
    <row r="317" spans="5:7">
      <c r="E317" s="787"/>
      <c r="F317" s="787"/>
      <c r="G317" s="787"/>
    </row>
    <row r="318" spans="5:7">
      <c r="E318" s="787"/>
      <c r="F318" s="787"/>
      <c r="G318" s="787"/>
    </row>
    <row r="319" spans="5:7">
      <c r="E319" s="787"/>
      <c r="F319" s="787"/>
      <c r="G319" s="787"/>
    </row>
    <row r="320" spans="5:7">
      <c r="E320" s="787"/>
      <c r="F320" s="787"/>
      <c r="G320" s="787"/>
    </row>
    <row r="321" spans="5:7">
      <c r="E321" s="787"/>
      <c r="F321" s="787"/>
      <c r="G321" s="787"/>
    </row>
    <row r="322" spans="5:7">
      <c r="E322" s="787"/>
      <c r="F322" s="787"/>
      <c r="G322" s="787"/>
    </row>
    <row r="323" spans="5:7">
      <c r="E323" s="787"/>
      <c r="F323" s="787"/>
      <c r="G323" s="787"/>
    </row>
    <row r="324" spans="5:7">
      <c r="E324" s="787"/>
      <c r="F324" s="787"/>
      <c r="G324" s="787"/>
    </row>
    <row r="325" spans="5:7">
      <c r="E325" s="787"/>
      <c r="F325" s="787"/>
      <c r="G325" s="787"/>
    </row>
    <row r="326" spans="5:7">
      <c r="E326" s="787"/>
      <c r="F326" s="787"/>
      <c r="G326" s="787"/>
    </row>
    <row r="327" spans="5:7">
      <c r="E327" s="787"/>
      <c r="F327" s="787"/>
      <c r="G327" s="787"/>
    </row>
    <row r="328" spans="5:7">
      <c r="E328" s="787"/>
      <c r="F328" s="787"/>
      <c r="G328" s="787"/>
    </row>
    <row r="329" spans="5:7">
      <c r="E329" s="787"/>
      <c r="F329" s="787"/>
      <c r="G329" s="787"/>
    </row>
    <row r="330" spans="5:7">
      <c r="E330" s="787"/>
      <c r="F330" s="787"/>
      <c r="G330" s="787"/>
    </row>
    <row r="331" spans="5:7">
      <c r="E331" s="787"/>
      <c r="F331" s="787"/>
      <c r="G331" s="787"/>
    </row>
    <row r="332" spans="5:7">
      <c r="E332" s="787"/>
      <c r="F332" s="787"/>
      <c r="G332" s="787"/>
    </row>
    <row r="333" spans="5:7">
      <c r="E333" s="787"/>
      <c r="F333" s="787"/>
      <c r="G333" s="787"/>
    </row>
    <row r="334" spans="5:7">
      <c r="E334" s="787"/>
      <c r="F334" s="787"/>
      <c r="G334" s="787"/>
    </row>
    <row r="335" spans="5:7">
      <c r="E335" s="787"/>
      <c r="F335" s="787"/>
      <c r="G335" s="787"/>
    </row>
    <row r="336" spans="5:7">
      <c r="E336" s="787"/>
      <c r="F336" s="787"/>
      <c r="G336" s="787"/>
    </row>
    <row r="337" spans="5:7">
      <c r="E337" s="787"/>
      <c r="F337" s="787"/>
      <c r="G337" s="787"/>
    </row>
    <row r="338" spans="5:7">
      <c r="E338" s="787"/>
      <c r="F338" s="787"/>
      <c r="G338" s="787"/>
    </row>
    <row r="339" spans="5:7">
      <c r="E339" s="787"/>
      <c r="F339" s="787"/>
      <c r="G339" s="787"/>
    </row>
    <row r="340" spans="5:7">
      <c r="E340" s="787"/>
      <c r="F340" s="787"/>
      <c r="G340" s="787"/>
    </row>
    <row r="341" spans="5:7">
      <c r="E341" s="787"/>
      <c r="F341" s="787"/>
      <c r="G341" s="787"/>
    </row>
    <row r="342" spans="5:7">
      <c r="E342" s="787"/>
      <c r="F342" s="787"/>
      <c r="G342" s="787"/>
    </row>
    <row r="343" spans="5:7">
      <c r="E343" s="787"/>
      <c r="F343" s="787"/>
      <c r="G343" s="787"/>
    </row>
    <row r="344" spans="5:7">
      <c r="E344" s="787"/>
      <c r="F344" s="787"/>
      <c r="G344" s="787"/>
    </row>
    <row r="345" spans="5:7">
      <c r="E345" s="787"/>
      <c r="F345" s="787"/>
      <c r="G345" s="787"/>
    </row>
    <row r="346" spans="5:7">
      <c r="E346" s="787"/>
      <c r="F346" s="787"/>
      <c r="G346" s="787"/>
    </row>
    <row r="347" spans="5:7">
      <c r="E347" s="787"/>
      <c r="F347" s="787"/>
      <c r="G347" s="787"/>
    </row>
    <row r="348" spans="5:7">
      <c r="E348" s="787"/>
      <c r="F348" s="787"/>
      <c r="G348" s="787"/>
    </row>
    <row r="349" spans="5:7">
      <c r="E349" s="787"/>
      <c r="F349" s="787"/>
      <c r="G349" s="787"/>
    </row>
    <row r="350" spans="5:7">
      <c r="E350" s="787"/>
      <c r="F350" s="787"/>
      <c r="G350" s="787"/>
    </row>
    <row r="351" spans="5:7">
      <c r="E351" s="787"/>
      <c r="F351" s="787"/>
      <c r="G351" s="787"/>
    </row>
    <row r="352" spans="5:7">
      <c r="E352" s="787"/>
      <c r="F352" s="787"/>
      <c r="G352" s="787"/>
    </row>
    <row r="353" spans="5:7">
      <c r="E353" s="787"/>
      <c r="F353" s="787"/>
      <c r="G353" s="787"/>
    </row>
    <row r="354" spans="5:7">
      <c r="E354" s="787"/>
      <c r="F354" s="787"/>
      <c r="G354" s="787"/>
    </row>
    <row r="355" spans="5:7">
      <c r="E355" s="787"/>
      <c r="F355" s="787"/>
      <c r="G355" s="787"/>
    </row>
    <row r="356" spans="5:7">
      <c r="E356" s="787"/>
      <c r="F356" s="787"/>
      <c r="G356" s="787"/>
    </row>
    <row r="357" spans="5:7">
      <c r="E357" s="787"/>
      <c r="F357" s="787"/>
      <c r="G357" s="787"/>
    </row>
    <row r="358" spans="5:7">
      <c r="E358" s="787"/>
      <c r="F358" s="787"/>
      <c r="G358" s="787"/>
    </row>
    <row r="359" spans="5:7">
      <c r="E359" s="787"/>
      <c r="F359" s="787"/>
      <c r="G359" s="787"/>
    </row>
    <row r="360" spans="5:7">
      <c r="E360" s="787"/>
      <c r="F360" s="787"/>
      <c r="G360" s="787"/>
    </row>
    <row r="361" spans="5:7">
      <c r="E361" s="787"/>
      <c r="F361" s="787"/>
      <c r="G361" s="787"/>
    </row>
    <row r="362" spans="5:7">
      <c r="E362" s="787"/>
      <c r="F362" s="787"/>
      <c r="G362" s="787"/>
    </row>
    <row r="363" spans="5:7">
      <c r="E363" s="787"/>
      <c r="F363" s="787"/>
      <c r="G363" s="787"/>
    </row>
    <row r="364" spans="5:7">
      <c r="E364" s="787"/>
      <c r="F364" s="787"/>
      <c r="G364" s="787"/>
    </row>
    <row r="365" spans="5:7">
      <c r="E365" s="787"/>
      <c r="F365" s="787"/>
      <c r="G365" s="787"/>
    </row>
    <row r="366" spans="5:7">
      <c r="E366" s="787"/>
      <c r="F366" s="787"/>
      <c r="G366" s="787"/>
    </row>
    <row r="367" spans="5:7">
      <c r="E367" s="787"/>
      <c r="F367" s="787"/>
      <c r="G367" s="787"/>
    </row>
    <row r="368" spans="5:7">
      <c r="E368" s="787"/>
      <c r="F368" s="787"/>
      <c r="G368" s="787"/>
    </row>
    <row r="369" spans="5:7">
      <c r="E369" s="787"/>
      <c r="F369" s="787"/>
      <c r="G369" s="787"/>
    </row>
    <row r="370" spans="5:7">
      <c r="E370" s="787"/>
      <c r="F370" s="787"/>
      <c r="G370" s="787"/>
    </row>
    <row r="371" spans="5:7">
      <c r="E371" s="787"/>
      <c r="F371" s="787"/>
      <c r="G371" s="787"/>
    </row>
    <row r="372" spans="5:7">
      <c r="E372" s="787"/>
      <c r="F372" s="787"/>
      <c r="G372" s="787"/>
    </row>
    <row r="373" spans="5:7">
      <c r="E373" s="787"/>
      <c r="F373" s="787"/>
      <c r="G373" s="787"/>
    </row>
    <row r="374" spans="5:7">
      <c r="E374" s="787"/>
      <c r="F374" s="787"/>
      <c r="G374" s="787"/>
    </row>
    <row r="375" spans="5:7">
      <c r="E375" s="787"/>
      <c r="F375" s="787"/>
      <c r="G375" s="787"/>
    </row>
    <row r="376" spans="5:7">
      <c r="E376" s="787"/>
      <c r="F376" s="787"/>
      <c r="G376" s="787"/>
    </row>
    <row r="377" spans="5:7">
      <c r="E377" s="787"/>
      <c r="F377" s="787"/>
      <c r="G377" s="787"/>
    </row>
    <row r="378" spans="5:7">
      <c r="E378" s="787"/>
      <c r="F378" s="787"/>
      <c r="G378" s="787"/>
    </row>
    <row r="379" spans="5:7">
      <c r="E379" s="787"/>
      <c r="F379" s="787"/>
      <c r="G379" s="787"/>
    </row>
    <row r="380" spans="5:7">
      <c r="E380" s="787"/>
      <c r="F380" s="787"/>
      <c r="G380" s="787"/>
    </row>
    <row r="381" spans="5:7">
      <c r="E381" s="787"/>
      <c r="F381" s="787"/>
      <c r="G381" s="787"/>
    </row>
    <row r="382" spans="5:7">
      <c r="E382" s="787"/>
      <c r="F382" s="787"/>
      <c r="G382" s="787"/>
    </row>
    <row r="383" spans="5:7">
      <c r="E383" s="787"/>
      <c r="F383" s="787"/>
      <c r="G383" s="787"/>
    </row>
    <row r="384" spans="5:7">
      <c r="E384" s="787"/>
      <c r="F384" s="787"/>
      <c r="G384" s="787"/>
    </row>
    <row r="385" spans="5:7">
      <c r="E385" s="787"/>
      <c r="F385" s="787"/>
      <c r="G385" s="787"/>
    </row>
    <row r="386" spans="5:7">
      <c r="E386" s="787"/>
      <c r="F386" s="787"/>
      <c r="G386" s="787"/>
    </row>
    <row r="387" spans="5:7">
      <c r="E387" s="787"/>
      <c r="F387" s="787"/>
      <c r="G387" s="787"/>
    </row>
    <row r="388" spans="5:7">
      <c r="E388" s="787"/>
      <c r="F388" s="787"/>
      <c r="G388" s="787"/>
    </row>
    <row r="389" spans="5:7">
      <c r="E389" s="787"/>
      <c r="F389" s="787"/>
      <c r="G389" s="787"/>
    </row>
    <row r="390" spans="5:7">
      <c r="E390" s="787"/>
      <c r="F390" s="787"/>
      <c r="G390" s="787"/>
    </row>
    <row r="391" spans="5:7">
      <c r="E391" s="787"/>
      <c r="F391" s="787"/>
      <c r="G391" s="787"/>
    </row>
    <row r="392" spans="5:7">
      <c r="E392" s="787"/>
      <c r="F392" s="787"/>
      <c r="G392" s="787"/>
    </row>
    <row r="393" spans="5:7">
      <c r="E393" s="787"/>
      <c r="F393" s="787"/>
      <c r="G393" s="787"/>
    </row>
    <row r="394" spans="5:7">
      <c r="E394" s="787"/>
      <c r="F394" s="787"/>
      <c r="G394" s="787"/>
    </row>
    <row r="395" spans="5:7">
      <c r="E395" s="787"/>
      <c r="F395" s="787"/>
      <c r="G395" s="787"/>
    </row>
    <row r="396" spans="5:7">
      <c r="E396" s="787"/>
      <c r="F396" s="787"/>
      <c r="G396" s="787"/>
    </row>
    <row r="397" spans="5:7">
      <c r="E397" s="787"/>
      <c r="F397" s="787"/>
      <c r="G397" s="787"/>
    </row>
    <row r="398" spans="5:7">
      <c r="E398" s="787"/>
      <c r="F398" s="787"/>
      <c r="G398" s="787"/>
    </row>
    <row r="399" spans="5:7">
      <c r="E399" s="787"/>
      <c r="F399" s="787"/>
      <c r="G399" s="787"/>
    </row>
    <row r="400" spans="5:7">
      <c r="E400" s="787"/>
      <c r="F400" s="787"/>
      <c r="G400" s="787"/>
    </row>
    <row r="401" spans="5:7">
      <c r="E401" s="787"/>
      <c r="F401" s="787"/>
      <c r="G401" s="787"/>
    </row>
    <row r="402" spans="5:7">
      <c r="E402" s="787"/>
      <c r="F402" s="787"/>
      <c r="G402" s="787"/>
    </row>
    <row r="403" spans="5:7">
      <c r="E403" s="787"/>
      <c r="F403" s="787"/>
      <c r="G403" s="787"/>
    </row>
    <row r="404" spans="5:7">
      <c r="E404" s="787"/>
      <c r="F404" s="787"/>
      <c r="G404" s="787"/>
    </row>
    <row r="405" spans="5:7">
      <c r="E405" s="787"/>
      <c r="F405" s="787"/>
      <c r="G405" s="787"/>
    </row>
    <row r="406" spans="5:7">
      <c r="E406" s="787"/>
      <c r="F406" s="787"/>
      <c r="G406" s="787"/>
    </row>
    <row r="407" spans="5:7">
      <c r="E407" s="787"/>
      <c r="F407" s="787"/>
      <c r="G407" s="787"/>
    </row>
    <row r="408" spans="5:7">
      <c r="E408" s="787"/>
      <c r="F408" s="787"/>
      <c r="G408" s="787"/>
    </row>
    <row r="409" spans="5:7">
      <c r="E409" s="787"/>
      <c r="F409" s="787"/>
      <c r="G409" s="787"/>
    </row>
    <row r="410" spans="5:7">
      <c r="E410" s="787"/>
      <c r="F410" s="787"/>
      <c r="G410" s="787"/>
    </row>
    <row r="411" spans="5:7">
      <c r="E411" s="787"/>
      <c r="F411" s="787"/>
      <c r="G411" s="787"/>
    </row>
    <row r="412" spans="5:7">
      <c r="E412" s="787"/>
      <c r="F412" s="787"/>
      <c r="G412" s="787"/>
    </row>
    <row r="413" spans="5:7">
      <c r="E413" s="787"/>
      <c r="F413" s="787"/>
      <c r="G413" s="787"/>
    </row>
    <row r="414" spans="5:7">
      <c r="E414" s="787"/>
      <c r="F414" s="787"/>
      <c r="G414" s="787"/>
    </row>
    <row r="415" spans="5:7">
      <c r="E415" s="787"/>
      <c r="F415" s="787"/>
      <c r="G415" s="787"/>
    </row>
    <row r="416" spans="5:7">
      <c r="E416" s="787"/>
      <c r="F416" s="787"/>
      <c r="G416" s="787"/>
    </row>
    <row r="417" spans="5:7">
      <c r="E417" s="787"/>
      <c r="F417" s="787"/>
      <c r="G417" s="787"/>
    </row>
    <row r="418" spans="5:7">
      <c r="E418" s="787"/>
      <c r="F418" s="787"/>
      <c r="G418" s="787"/>
    </row>
    <row r="419" spans="5:7">
      <c r="E419" s="787"/>
      <c r="F419" s="787"/>
      <c r="G419" s="787"/>
    </row>
    <row r="420" spans="5:7">
      <c r="E420" s="787"/>
      <c r="F420" s="787"/>
      <c r="G420" s="787"/>
    </row>
    <row r="421" spans="5:7">
      <c r="E421" s="787"/>
      <c r="F421" s="787"/>
      <c r="G421" s="787"/>
    </row>
    <row r="422" spans="5:7">
      <c r="E422" s="787"/>
      <c r="F422" s="787"/>
      <c r="G422" s="787"/>
    </row>
    <row r="423" spans="5:7">
      <c r="E423" s="787"/>
      <c r="F423" s="787"/>
      <c r="G423" s="787"/>
    </row>
    <row r="424" spans="5:7">
      <c r="E424" s="787"/>
      <c r="F424" s="787"/>
      <c r="G424" s="787"/>
    </row>
    <row r="425" spans="5:7">
      <c r="E425" s="787"/>
      <c r="F425" s="787"/>
      <c r="G425" s="787"/>
    </row>
    <row r="426" spans="5:7">
      <c r="E426" s="787"/>
      <c r="F426" s="787"/>
      <c r="G426" s="787"/>
    </row>
    <row r="427" spans="5:7">
      <c r="E427" s="787"/>
      <c r="F427" s="787"/>
      <c r="G427" s="787"/>
    </row>
    <row r="428" spans="5:7">
      <c r="E428" s="787"/>
      <c r="F428" s="787"/>
      <c r="G428" s="787"/>
    </row>
    <row r="429" spans="5:7">
      <c r="E429" s="787"/>
      <c r="F429" s="787"/>
      <c r="G429" s="787"/>
    </row>
    <row r="430" spans="5:7">
      <c r="E430" s="787"/>
      <c r="F430" s="787"/>
      <c r="G430" s="787"/>
    </row>
    <row r="431" spans="5:7">
      <c r="E431" s="787"/>
      <c r="F431" s="787"/>
      <c r="G431" s="787"/>
    </row>
    <row r="432" spans="5:7">
      <c r="E432" s="787"/>
      <c r="F432" s="787"/>
      <c r="G432" s="787"/>
    </row>
    <row r="433" spans="5:7">
      <c r="E433" s="787"/>
      <c r="F433" s="787"/>
      <c r="G433" s="787"/>
    </row>
    <row r="434" spans="5:7">
      <c r="E434" s="787"/>
      <c r="F434" s="787"/>
      <c r="G434" s="787"/>
    </row>
    <row r="435" spans="5:7">
      <c r="E435" s="787"/>
      <c r="F435" s="787"/>
      <c r="G435" s="787"/>
    </row>
    <row r="436" spans="5:7">
      <c r="E436" s="787"/>
      <c r="F436" s="787"/>
      <c r="G436" s="787"/>
    </row>
    <row r="437" spans="5:7">
      <c r="E437" s="787"/>
      <c r="F437" s="787"/>
      <c r="G437" s="787"/>
    </row>
    <row r="438" spans="5:7">
      <c r="E438" s="787"/>
      <c r="F438" s="787"/>
      <c r="G438" s="787"/>
    </row>
    <row r="439" spans="5:7">
      <c r="E439" s="787"/>
      <c r="F439" s="787"/>
      <c r="G439" s="787"/>
    </row>
    <row r="440" spans="5:7">
      <c r="E440" s="787"/>
      <c r="F440" s="787"/>
      <c r="G440" s="787"/>
    </row>
    <row r="441" spans="5:7">
      <c r="E441" s="787"/>
      <c r="F441" s="787"/>
      <c r="G441" s="787"/>
    </row>
    <row r="442" spans="5:7">
      <c r="E442" s="787"/>
      <c r="F442" s="787"/>
      <c r="G442" s="787"/>
    </row>
    <row r="443" spans="5:7">
      <c r="E443" s="787"/>
      <c r="F443" s="787"/>
      <c r="G443" s="787"/>
    </row>
    <row r="444" spans="5:7">
      <c r="E444" s="787"/>
      <c r="F444" s="787"/>
      <c r="G444" s="787"/>
    </row>
    <row r="445" spans="5:7">
      <c r="E445" s="787"/>
      <c r="F445" s="787"/>
      <c r="G445" s="787"/>
    </row>
    <row r="446" spans="5:7">
      <c r="E446" s="787"/>
      <c r="F446" s="787"/>
      <c r="G446" s="787"/>
    </row>
    <row r="447" spans="5:7">
      <c r="E447" s="787"/>
      <c r="F447" s="787"/>
      <c r="G447" s="787"/>
    </row>
    <row r="448" spans="5:7">
      <c r="E448" s="787"/>
      <c r="F448" s="787"/>
      <c r="G448" s="787"/>
    </row>
    <row r="449" spans="5:7">
      <c r="E449" s="787"/>
      <c r="F449" s="787"/>
      <c r="G449" s="787"/>
    </row>
    <row r="450" spans="5:7">
      <c r="E450" s="787"/>
      <c r="F450" s="787"/>
      <c r="G450" s="787"/>
    </row>
  </sheetData>
  <customSheetViews>
    <customSheetView guid="{63AFAF34-E340-4B5E-A289-FFB7051CA9B6}" scale="80" outlineSymbols="0" fitToPage="1" view="pageBreakPreview">
      <pane ySplit="12" topLeftCell="A25" activePane="bottomLeft" state="frozen"/>
      <selection pane="bottomLeft" activeCell="B40" sqref="B40:H40"/>
      <rowBreaks count="1" manualBreakCount="1">
        <brk id="11" max="16383" man="1"/>
      </rowBreaks>
      <pageMargins left="0.75" right="0.5" top="0.5" bottom="1" header="0.5" footer="0.5"/>
      <printOptions horizontalCentered="1"/>
      <pageSetup scale="27" firstPageNumber="28" orientation="portrait" useFirstPageNumber="1" horizontalDpi="4294967292" verticalDpi="4294967292" r:id="rId1"/>
      <headerFooter alignWithMargins="0"/>
    </customSheetView>
  </customSheetViews>
  <mergeCells count="8">
    <mergeCell ref="B40:H40"/>
    <mergeCell ref="A9:H9"/>
    <mergeCell ref="A10:H10"/>
    <mergeCell ref="A1:H1"/>
    <mergeCell ref="A2:H2"/>
    <mergeCell ref="A3:H3"/>
    <mergeCell ref="A7:H7"/>
    <mergeCell ref="A8:H8"/>
  </mergeCells>
  <printOptions horizontalCentered="1"/>
  <pageMargins left="0.75" right="0.5" top="0.5" bottom="1" header="0.5" footer="0.5"/>
  <pageSetup scale="85" firstPageNumber="28" orientation="landscape" useFirstPageNumber="1" horizontalDpi="4294967292" verticalDpi="4294967292" r:id="rId2"/>
  <headerFooter alignWithMargins="0"/>
  <rowBreaks count="1" manualBreakCount="1">
    <brk id="11"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pageSetUpPr fitToPage="1"/>
  </sheetPr>
  <dimension ref="A1:N36"/>
  <sheetViews>
    <sheetView view="pageBreakPreview" zoomScale="70" zoomScaleNormal="80" zoomScaleSheetLayoutView="70" workbookViewId="0">
      <selection activeCell="B24" sqref="B24"/>
    </sheetView>
  </sheetViews>
  <sheetFormatPr defaultColWidth="8.84375" defaultRowHeight="15.5"/>
  <cols>
    <col min="1" max="1" width="8.84375" style="226"/>
    <col min="2" max="2" width="51.84375" style="226" customWidth="1"/>
    <col min="3" max="3" width="15.69140625" style="226" customWidth="1"/>
    <col min="4" max="4" width="14.84375" style="226" bestFit="1" customWidth="1"/>
    <col min="5" max="5" width="1.69140625" style="226" customWidth="1"/>
    <col min="6" max="6" width="15.84375" style="226" customWidth="1"/>
    <col min="7" max="7" width="1.4609375" style="226" customWidth="1"/>
    <col min="8" max="8" width="8.84375" style="226"/>
    <col min="9" max="9" width="35.3046875" style="226" customWidth="1"/>
    <col min="10" max="10" width="16.07421875" style="226" customWidth="1"/>
    <col min="11" max="11" width="9.07421875" style="226" bestFit="1" customWidth="1"/>
    <col min="12" max="12" width="10.07421875" style="226" bestFit="1" customWidth="1"/>
    <col min="13" max="13" width="10.84375" style="226" customWidth="1"/>
    <col min="14" max="257" width="8.84375" style="226"/>
    <col min="258" max="258" width="35.07421875" style="226" customWidth="1"/>
    <col min="259" max="259" width="15.69140625" style="226" customWidth="1"/>
    <col min="260" max="260" width="14.84375" style="226" bestFit="1" customWidth="1"/>
    <col min="261" max="261" width="1.69140625" style="226" customWidth="1"/>
    <col min="262" max="262" width="15.84375" style="226" customWidth="1"/>
    <col min="263" max="263" width="1.4609375" style="226" customWidth="1"/>
    <col min="264" max="264" width="8.84375" style="226"/>
    <col min="265" max="265" width="35.3046875" style="226" customWidth="1"/>
    <col min="266" max="266" width="16.07421875" style="226" customWidth="1"/>
    <col min="267" max="267" width="9.07421875" style="226" bestFit="1" customWidth="1"/>
    <col min="268" max="268" width="10.07421875" style="226" bestFit="1" customWidth="1"/>
    <col min="269" max="269" width="10.84375" style="226" customWidth="1"/>
    <col min="270" max="513" width="8.84375" style="226"/>
    <col min="514" max="514" width="35.07421875" style="226" customWidth="1"/>
    <col min="515" max="515" width="15.69140625" style="226" customWidth="1"/>
    <col min="516" max="516" width="14.84375" style="226" bestFit="1" customWidth="1"/>
    <col min="517" max="517" width="1.69140625" style="226" customWidth="1"/>
    <col min="518" max="518" width="15.84375" style="226" customWidth="1"/>
    <col min="519" max="519" width="1.4609375" style="226" customWidth="1"/>
    <col min="520" max="520" width="8.84375" style="226"/>
    <col min="521" max="521" width="35.3046875" style="226" customWidth="1"/>
    <col min="522" max="522" width="16.07421875" style="226" customWidth="1"/>
    <col min="523" max="523" width="9.07421875" style="226" bestFit="1" customWidth="1"/>
    <col min="524" max="524" width="10.07421875" style="226" bestFit="1" customWidth="1"/>
    <col min="525" max="525" width="10.84375" style="226" customWidth="1"/>
    <col min="526" max="769" width="8.84375" style="226"/>
    <col min="770" max="770" width="35.07421875" style="226" customWidth="1"/>
    <col min="771" max="771" width="15.69140625" style="226" customWidth="1"/>
    <col min="772" max="772" width="14.84375" style="226" bestFit="1" customWidth="1"/>
    <col min="773" max="773" width="1.69140625" style="226" customWidth="1"/>
    <col min="774" max="774" width="15.84375" style="226" customWidth="1"/>
    <col min="775" max="775" width="1.4609375" style="226" customWidth="1"/>
    <col min="776" max="776" width="8.84375" style="226"/>
    <col min="777" max="777" width="35.3046875" style="226" customWidth="1"/>
    <col min="778" max="778" width="16.07421875" style="226" customWidth="1"/>
    <col min="779" max="779" width="9.07421875" style="226" bestFit="1" customWidth="1"/>
    <col min="780" max="780" width="10.07421875" style="226" bestFit="1" customWidth="1"/>
    <col min="781" max="781" width="10.84375" style="226" customWidth="1"/>
    <col min="782" max="1025" width="8.84375" style="226"/>
    <col min="1026" max="1026" width="35.07421875" style="226" customWidth="1"/>
    <col min="1027" max="1027" width="15.69140625" style="226" customWidth="1"/>
    <col min="1028" max="1028" width="14.84375" style="226" bestFit="1" customWidth="1"/>
    <col min="1029" max="1029" width="1.69140625" style="226" customWidth="1"/>
    <col min="1030" max="1030" width="15.84375" style="226" customWidth="1"/>
    <col min="1031" max="1031" width="1.4609375" style="226" customWidth="1"/>
    <col min="1032" max="1032" width="8.84375" style="226"/>
    <col min="1033" max="1033" width="35.3046875" style="226" customWidth="1"/>
    <col min="1034" max="1034" width="16.07421875" style="226" customWidth="1"/>
    <col min="1035" max="1035" width="9.07421875" style="226" bestFit="1" customWidth="1"/>
    <col min="1036" max="1036" width="10.07421875" style="226" bestFit="1" customWidth="1"/>
    <col min="1037" max="1037" width="10.84375" style="226" customWidth="1"/>
    <col min="1038" max="1281" width="8.84375" style="226"/>
    <col min="1282" max="1282" width="35.07421875" style="226" customWidth="1"/>
    <col min="1283" max="1283" width="15.69140625" style="226" customWidth="1"/>
    <col min="1284" max="1284" width="14.84375" style="226" bestFit="1" customWidth="1"/>
    <col min="1285" max="1285" width="1.69140625" style="226" customWidth="1"/>
    <col min="1286" max="1286" width="15.84375" style="226" customWidth="1"/>
    <col min="1287" max="1287" width="1.4609375" style="226" customWidth="1"/>
    <col min="1288" max="1288" width="8.84375" style="226"/>
    <col min="1289" max="1289" width="35.3046875" style="226" customWidth="1"/>
    <col min="1290" max="1290" width="16.07421875" style="226" customWidth="1"/>
    <col min="1291" max="1291" width="9.07421875" style="226" bestFit="1" customWidth="1"/>
    <col min="1292" max="1292" width="10.07421875" style="226" bestFit="1" customWidth="1"/>
    <col min="1293" max="1293" width="10.84375" style="226" customWidth="1"/>
    <col min="1294" max="1537" width="8.84375" style="226"/>
    <col min="1538" max="1538" width="35.07421875" style="226" customWidth="1"/>
    <col min="1539" max="1539" width="15.69140625" style="226" customWidth="1"/>
    <col min="1540" max="1540" width="14.84375" style="226" bestFit="1" customWidth="1"/>
    <col min="1541" max="1541" width="1.69140625" style="226" customWidth="1"/>
    <col min="1542" max="1542" width="15.84375" style="226" customWidth="1"/>
    <col min="1543" max="1543" width="1.4609375" style="226" customWidth="1"/>
    <col min="1544" max="1544" width="8.84375" style="226"/>
    <col min="1545" max="1545" width="35.3046875" style="226" customWidth="1"/>
    <col min="1546" max="1546" width="16.07421875" style="226" customWidth="1"/>
    <col min="1547" max="1547" width="9.07421875" style="226" bestFit="1" customWidth="1"/>
    <col min="1548" max="1548" width="10.07421875" style="226" bestFit="1" customWidth="1"/>
    <col min="1549" max="1549" width="10.84375" style="226" customWidth="1"/>
    <col min="1550" max="1793" width="8.84375" style="226"/>
    <col min="1794" max="1794" width="35.07421875" style="226" customWidth="1"/>
    <col min="1795" max="1795" width="15.69140625" style="226" customWidth="1"/>
    <col min="1796" max="1796" width="14.84375" style="226" bestFit="1" customWidth="1"/>
    <col min="1797" max="1797" width="1.69140625" style="226" customWidth="1"/>
    <col min="1798" max="1798" width="15.84375" style="226" customWidth="1"/>
    <col min="1799" max="1799" width="1.4609375" style="226" customWidth="1"/>
    <col min="1800" max="1800" width="8.84375" style="226"/>
    <col min="1801" max="1801" width="35.3046875" style="226" customWidth="1"/>
    <col min="1802" max="1802" width="16.07421875" style="226" customWidth="1"/>
    <col min="1803" max="1803" width="9.07421875" style="226" bestFit="1" customWidth="1"/>
    <col min="1804" max="1804" width="10.07421875" style="226" bestFit="1" customWidth="1"/>
    <col min="1805" max="1805" width="10.84375" style="226" customWidth="1"/>
    <col min="1806" max="2049" width="8.84375" style="226"/>
    <col min="2050" max="2050" width="35.07421875" style="226" customWidth="1"/>
    <col min="2051" max="2051" width="15.69140625" style="226" customWidth="1"/>
    <col min="2052" max="2052" width="14.84375" style="226" bestFit="1" customWidth="1"/>
    <col min="2053" max="2053" width="1.69140625" style="226" customWidth="1"/>
    <col min="2054" max="2054" width="15.84375" style="226" customWidth="1"/>
    <col min="2055" max="2055" width="1.4609375" style="226" customWidth="1"/>
    <col min="2056" max="2056" width="8.84375" style="226"/>
    <col min="2057" max="2057" width="35.3046875" style="226" customWidth="1"/>
    <col min="2058" max="2058" width="16.07421875" style="226" customWidth="1"/>
    <col min="2059" max="2059" width="9.07421875" style="226" bestFit="1" customWidth="1"/>
    <col min="2060" max="2060" width="10.07421875" style="226" bestFit="1" customWidth="1"/>
    <col min="2061" max="2061" width="10.84375" style="226" customWidth="1"/>
    <col min="2062" max="2305" width="8.84375" style="226"/>
    <col min="2306" max="2306" width="35.07421875" style="226" customWidth="1"/>
    <col min="2307" max="2307" width="15.69140625" style="226" customWidth="1"/>
    <col min="2308" max="2308" width="14.84375" style="226" bestFit="1" customWidth="1"/>
    <col min="2309" max="2309" width="1.69140625" style="226" customWidth="1"/>
    <col min="2310" max="2310" width="15.84375" style="226" customWidth="1"/>
    <col min="2311" max="2311" width="1.4609375" style="226" customWidth="1"/>
    <col min="2312" max="2312" width="8.84375" style="226"/>
    <col min="2313" max="2313" width="35.3046875" style="226" customWidth="1"/>
    <col min="2314" max="2314" width="16.07421875" style="226" customWidth="1"/>
    <col min="2315" max="2315" width="9.07421875" style="226" bestFit="1" customWidth="1"/>
    <col min="2316" max="2316" width="10.07421875" style="226" bestFit="1" customWidth="1"/>
    <col min="2317" max="2317" width="10.84375" style="226" customWidth="1"/>
    <col min="2318" max="2561" width="8.84375" style="226"/>
    <col min="2562" max="2562" width="35.07421875" style="226" customWidth="1"/>
    <col min="2563" max="2563" width="15.69140625" style="226" customWidth="1"/>
    <col min="2564" max="2564" width="14.84375" style="226" bestFit="1" customWidth="1"/>
    <col min="2565" max="2565" width="1.69140625" style="226" customWidth="1"/>
    <col min="2566" max="2566" width="15.84375" style="226" customWidth="1"/>
    <col min="2567" max="2567" width="1.4609375" style="226" customWidth="1"/>
    <col min="2568" max="2568" width="8.84375" style="226"/>
    <col min="2569" max="2569" width="35.3046875" style="226" customWidth="1"/>
    <col min="2570" max="2570" width="16.07421875" style="226" customWidth="1"/>
    <col min="2571" max="2571" width="9.07421875" style="226" bestFit="1" customWidth="1"/>
    <col min="2572" max="2572" width="10.07421875" style="226" bestFit="1" customWidth="1"/>
    <col min="2573" max="2573" width="10.84375" style="226" customWidth="1"/>
    <col min="2574" max="2817" width="8.84375" style="226"/>
    <col min="2818" max="2818" width="35.07421875" style="226" customWidth="1"/>
    <col min="2819" max="2819" width="15.69140625" style="226" customWidth="1"/>
    <col min="2820" max="2820" width="14.84375" style="226" bestFit="1" customWidth="1"/>
    <col min="2821" max="2821" width="1.69140625" style="226" customWidth="1"/>
    <col min="2822" max="2822" width="15.84375" style="226" customWidth="1"/>
    <col min="2823" max="2823" width="1.4609375" style="226" customWidth="1"/>
    <col min="2824" max="2824" width="8.84375" style="226"/>
    <col min="2825" max="2825" width="35.3046875" style="226" customWidth="1"/>
    <col min="2826" max="2826" width="16.07421875" style="226" customWidth="1"/>
    <col min="2827" max="2827" width="9.07421875" style="226" bestFit="1" customWidth="1"/>
    <col min="2828" max="2828" width="10.07421875" style="226" bestFit="1" customWidth="1"/>
    <col min="2829" max="2829" width="10.84375" style="226" customWidth="1"/>
    <col min="2830" max="3073" width="8.84375" style="226"/>
    <col min="3074" max="3074" width="35.07421875" style="226" customWidth="1"/>
    <col min="3075" max="3075" width="15.69140625" style="226" customWidth="1"/>
    <col min="3076" max="3076" width="14.84375" style="226" bestFit="1" customWidth="1"/>
    <col min="3077" max="3077" width="1.69140625" style="226" customWidth="1"/>
    <col min="3078" max="3078" width="15.84375" style="226" customWidth="1"/>
    <col min="3079" max="3079" width="1.4609375" style="226" customWidth="1"/>
    <col min="3080" max="3080" width="8.84375" style="226"/>
    <col min="3081" max="3081" width="35.3046875" style="226" customWidth="1"/>
    <col min="3082" max="3082" width="16.07421875" style="226" customWidth="1"/>
    <col min="3083" max="3083" width="9.07421875" style="226" bestFit="1" customWidth="1"/>
    <col min="3084" max="3084" width="10.07421875" style="226" bestFit="1" customWidth="1"/>
    <col min="3085" max="3085" width="10.84375" style="226" customWidth="1"/>
    <col min="3086" max="3329" width="8.84375" style="226"/>
    <col min="3330" max="3330" width="35.07421875" style="226" customWidth="1"/>
    <col min="3331" max="3331" width="15.69140625" style="226" customWidth="1"/>
    <col min="3332" max="3332" width="14.84375" style="226" bestFit="1" customWidth="1"/>
    <col min="3333" max="3333" width="1.69140625" style="226" customWidth="1"/>
    <col min="3334" max="3334" width="15.84375" style="226" customWidth="1"/>
    <col min="3335" max="3335" width="1.4609375" style="226" customWidth="1"/>
    <col min="3336" max="3336" width="8.84375" style="226"/>
    <col min="3337" max="3337" width="35.3046875" style="226" customWidth="1"/>
    <col min="3338" max="3338" width="16.07421875" style="226" customWidth="1"/>
    <col min="3339" max="3339" width="9.07421875" style="226" bestFit="1" customWidth="1"/>
    <col min="3340" max="3340" width="10.07421875" style="226" bestFit="1" customWidth="1"/>
    <col min="3341" max="3341" width="10.84375" style="226" customWidth="1"/>
    <col min="3342" max="3585" width="8.84375" style="226"/>
    <col min="3586" max="3586" width="35.07421875" style="226" customWidth="1"/>
    <col min="3587" max="3587" width="15.69140625" style="226" customWidth="1"/>
    <col min="3588" max="3588" width="14.84375" style="226" bestFit="1" customWidth="1"/>
    <col min="3589" max="3589" width="1.69140625" style="226" customWidth="1"/>
    <col min="3590" max="3590" width="15.84375" style="226" customWidth="1"/>
    <col min="3591" max="3591" width="1.4609375" style="226" customWidth="1"/>
    <col min="3592" max="3592" width="8.84375" style="226"/>
    <col min="3593" max="3593" width="35.3046875" style="226" customWidth="1"/>
    <col min="3594" max="3594" width="16.07421875" style="226" customWidth="1"/>
    <col min="3595" max="3595" width="9.07421875" style="226" bestFit="1" customWidth="1"/>
    <col min="3596" max="3596" width="10.07421875" style="226" bestFit="1" customWidth="1"/>
    <col min="3597" max="3597" width="10.84375" style="226" customWidth="1"/>
    <col min="3598" max="3841" width="8.84375" style="226"/>
    <col min="3842" max="3842" width="35.07421875" style="226" customWidth="1"/>
    <col min="3843" max="3843" width="15.69140625" style="226" customWidth="1"/>
    <col min="3844" max="3844" width="14.84375" style="226" bestFit="1" customWidth="1"/>
    <col min="3845" max="3845" width="1.69140625" style="226" customWidth="1"/>
    <col min="3846" max="3846" width="15.84375" style="226" customWidth="1"/>
    <col min="3847" max="3847" width="1.4609375" style="226" customWidth="1"/>
    <col min="3848" max="3848" width="8.84375" style="226"/>
    <col min="3849" max="3849" width="35.3046875" style="226" customWidth="1"/>
    <col min="3850" max="3850" width="16.07421875" style="226" customWidth="1"/>
    <col min="3851" max="3851" width="9.07421875" style="226" bestFit="1" customWidth="1"/>
    <col min="3852" max="3852" width="10.07421875" style="226" bestFit="1" customWidth="1"/>
    <col min="3853" max="3853" width="10.84375" style="226" customWidth="1"/>
    <col min="3854" max="4097" width="8.84375" style="226"/>
    <col min="4098" max="4098" width="35.07421875" style="226" customWidth="1"/>
    <col min="4099" max="4099" width="15.69140625" style="226" customWidth="1"/>
    <col min="4100" max="4100" width="14.84375" style="226" bestFit="1" customWidth="1"/>
    <col min="4101" max="4101" width="1.69140625" style="226" customWidth="1"/>
    <col min="4102" max="4102" width="15.84375" style="226" customWidth="1"/>
    <col min="4103" max="4103" width="1.4609375" style="226" customWidth="1"/>
    <col min="4104" max="4104" width="8.84375" style="226"/>
    <col min="4105" max="4105" width="35.3046875" style="226" customWidth="1"/>
    <col min="4106" max="4106" width="16.07421875" style="226" customWidth="1"/>
    <col min="4107" max="4107" width="9.07421875" style="226" bestFit="1" customWidth="1"/>
    <col min="4108" max="4108" width="10.07421875" style="226" bestFit="1" customWidth="1"/>
    <col min="4109" max="4109" width="10.84375" style="226" customWidth="1"/>
    <col min="4110" max="4353" width="8.84375" style="226"/>
    <col min="4354" max="4354" width="35.07421875" style="226" customWidth="1"/>
    <col min="4355" max="4355" width="15.69140625" style="226" customWidth="1"/>
    <col min="4356" max="4356" width="14.84375" style="226" bestFit="1" customWidth="1"/>
    <col min="4357" max="4357" width="1.69140625" style="226" customWidth="1"/>
    <col min="4358" max="4358" width="15.84375" style="226" customWidth="1"/>
    <col min="4359" max="4359" width="1.4609375" style="226" customWidth="1"/>
    <col min="4360" max="4360" width="8.84375" style="226"/>
    <col min="4361" max="4361" width="35.3046875" style="226" customWidth="1"/>
    <col min="4362" max="4362" width="16.07421875" style="226" customWidth="1"/>
    <col min="4363" max="4363" width="9.07421875" style="226" bestFit="1" customWidth="1"/>
    <col min="4364" max="4364" width="10.07421875" style="226" bestFit="1" customWidth="1"/>
    <col min="4365" max="4365" width="10.84375" style="226" customWidth="1"/>
    <col min="4366" max="4609" width="8.84375" style="226"/>
    <col min="4610" max="4610" width="35.07421875" style="226" customWidth="1"/>
    <col min="4611" max="4611" width="15.69140625" style="226" customWidth="1"/>
    <col min="4612" max="4612" width="14.84375" style="226" bestFit="1" customWidth="1"/>
    <col min="4613" max="4613" width="1.69140625" style="226" customWidth="1"/>
    <col min="4614" max="4614" width="15.84375" style="226" customWidth="1"/>
    <col min="4615" max="4615" width="1.4609375" style="226" customWidth="1"/>
    <col min="4616" max="4616" width="8.84375" style="226"/>
    <col min="4617" max="4617" width="35.3046875" style="226" customWidth="1"/>
    <col min="4618" max="4618" width="16.07421875" style="226" customWidth="1"/>
    <col min="4619" max="4619" width="9.07421875" style="226" bestFit="1" customWidth="1"/>
    <col min="4620" max="4620" width="10.07421875" style="226" bestFit="1" customWidth="1"/>
    <col min="4621" max="4621" width="10.84375" style="226" customWidth="1"/>
    <col min="4622" max="4865" width="8.84375" style="226"/>
    <col min="4866" max="4866" width="35.07421875" style="226" customWidth="1"/>
    <col min="4867" max="4867" width="15.69140625" style="226" customWidth="1"/>
    <col min="4868" max="4868" width="14.84375" style="226" bestFit="1" customWidth="1"/>
    <col min="4869" max="4869" width="1.69140625" style="226" customWidth="1"/>
    <col min="4870" max="4870" width="15.84375" style="226" customWidth="1"/>
    <col min="4871" max="4871" width="1.4609375" style="226" customWidth="1"/>
    <col min="4872" max="4872" width="8.84375" style="226"/>
    <col min="4873" max="4873" width="35.3046875" style="226" customWidth="1"/>
    <col min="4874" max="4874" width="16.07421875" style="226" customWidth="1"/>
    <col min="4875" max="4875" width="9.07421875" style="226" bestFit="1" customWidth="1"/>
    <col min="4876" max="4876" width="10.07421875" style="226" bestFit="1" customWidth="1"/>
    <col min="4877" max="4877" width="10.84375" style="226" customWidth="1"/>
    <col min="4878" max="5121" width="8.84375" style="226"/>
    <col min="5122" max="5122" width="35.07421875" style="226" customWidth="1"/>
    <col min="5123" max="5123" width="15.69140625" style="226" customWidth="1"/>
    <col min="5124" max="5124" width="14.84375" style="226" bestFit="1" customWidth="1"/>
    <col min="5125" max="5125" width="1.69140625" style="226" customWidth="1"/>
    <col min="5126" max="5126" width="15.84375" style="226" customWidth="1"/>
    <col min="5127" max="5127" width="1.4609375" style="226" customWidth="1"/>
    <col min="5128" max="5128" width="8.84375" style="226"/>
    <col min="5129" max="5129" width="35.3046875" style="226" customWidth="1"/>
    <col min="5130" max="5130" width="16.07421875" style="226" customWidth="1"/>
    <col min="5131" max="5131" width="9.07421875" style="226" bestFit="1" customWidth="1"/>
    <col min="5132" max="5132" width="10.07421875" style="226" bestFit="1" customWidth="1"/>
    <col min="5133" max="5133" width="10.84375" style="226" customWidth="1"/>
    <col min="5134" max="5377" width="8.84375" style="226"/>
    <col min="5378" max="5378" width="35.07421875" style="226" customWidth="1"/>
    <col min="5379" max="5379" width="15.69140625" style="226" customWidth="1"/>
    <col min="5380" max="5380" width="14.84375" style="226" bestFit="1" customWidth="1"/>
    <col min="5381" max="5381" width="1.69140625" style="226" customWidth="1"/>
    <col min="5382" max="5382" width="15.84375" style="226" customWidth="1"/>
    <col min="5383" max="5383" width="1.4609375" style="226" customWidth="1"/>
    <col min="5384" max="5384" width="8.84375" style="226"/>
    <col min="5385" max="5385" width="35.3046875" style="226" customWidth="1"/>
    <col min="5386" max="5386" width="16.07421875" style="226" customWidth="1"/>
    <col min="5387" max="5387" width="9.07421875" style="226" bestFit="1" customWidth="1"/>
    <col min="5388" max="5388" width="10.07421875" style="226" bestFit="1" customWidth="1"/>
    <col min="5389" max="5389" width="10.84375" style="226" customWidth="1"/>
    <col min="5390" max="5633" width="8.84375" style="226"/>
    <col min="5634" max="5634" width="35.07421875" style="226" customWidth="1"/>
    <col min="5635" max="5635" width="15.69140625" style="226" customWidth="1"/>
    <col min="5636" max="5636" width="14.84375" style="226" bestFit="1" customWidth="1"/>
    <col min="5637" max="5637" width="1.69140625" style="226" customWidth="1"/>
    <col min="5638" max="5638" width="15.84375" style="226" customWidth="1"/>
    <col min="5639" max="5639" width="1.4609375" style="226" customWidth="1"/>
    <col min="5640" max="5640" width="8.84375" style="226"/>
    <col min="5641" max="5641" width="35.3046875" style="226" customWidth="1"/>
    <col min="5642" max="5642" width="16.07421875" style="226" customWidth="1"/>
    <col min="5643" max="5643" width="9.07421875" style="226" bestFit="1" customWidth="1"/>
    <col min="5644" max="5644" width="10.07421875" style="226" bestFit="1" customWidth="1"/>
    <col min="5645" max="5645" width="10.84375" style="226" customWidth="1"/>
    <col min="5646" max="5889" width="8.84375" style="226"/>
    <col min="5890" max="5890" width="35.07421875" style="226" customWidth="1"/>
    <col min="5891" max="5891" width="15.69140625" style="226" customWidth="1"/>
    <col min="5892" max="5892" width="14.84375" style="226" bestFit="1" customWidth="1"/>
    <col min="5893" max="5893" width="1.69140625" style="226" customWidth="1"/>
    <col min="5894" max="5894" width="15.84375" style="226" customWidth="1"/>
    <col min="5895" max="5895" width="1.4609375" style="226" customWidth="1"/>
    <col min="5896" max="5896" width="8.84375" style="226"/>
    <col min="5897" max="5897" width="35.3046875" style="226" customWidth="1"/>
    <col min="5898" max="5898" width="16.07421875" style="226" customWidth="1"/>
    <col min="5899" max="5899" width="9.07421875" style="226" bestFit="1" customWidth="1"/>
    <col min="5900" max="5900" width="10.07421875" style="226" bestFit="1" customWidth="1"/>
    <col min="5901" max="5901" width="10.84375" style="226" customWidth="1"/>
    <col min="5902" max="6145" width="8.84375" style="226"/>
    <col min="6146" max="6146" width="35.07421875" style="226" customWidth="1"/>
    <col min="6147" max="6147" width="15.69140625" style="226" customWidth="1"/>
    <col min="6148" max="6148" width="14.84375" style="226" bestFit="1" customWidth="1"/>
    <col min="6149" max="6149" width="1.69140625" style="226" customWidth="1"/>
    <col min="6150" max="6150" width="15.84375" style="226" customWidth="1"/>
    <col min="6151" max="6151" width="1.4609375" style="226" customWidth="1"/>
    <col min="6152" max="6152" width="8.84375" style="226"/>
    <col min="6153" max="6153" width="35.3046875" style="226" customWidth="1"/>
    <col min="6154" max="6154" width="16.07421875" style="226" customWidth="1"/>
    <col min="6155" max="6155" width="9.07421875" style="226" bestFit="1" customWidth="1"/>
    <col min="6156" max="6156" width="10.07421875" style="226" bestFit="1" customWidth="1"/>
    <col min="6157" max="6157" width="10.84375" style="226" customWidth="1"/>
    <col min="6158" max="6401" width="8.84375" style="226"/>
    <col min="6402" max="6402" width="35.07421875" style="226" customWidth="1"/>
    <col min="6403" max="6403" width="15.69140625" style="226" customWidth="1"/>
    <col min="6404" max="6404" width="14.84375" style="226" bestFit="1" customWidth="1"/>
    <col min="6405" max="6405" width="1.69140625" style="226" customWidth="1"/>
    <col min="6406" max="6406" width="15.84375" style="226" customWidth="1"/>
    <col min="6407" max="6407" width="1.4609375" style="226" customWidth="1"/>
    <col min="6408" max="6408" width="8.84375" style="226"/>
    <col min="6409" max="6409" width="35.3046875" style="226" customWidth="1"/>
    <col min="6410" max="6410" width="16.07421875" style="226" customWidth="1"/>
    <col min="6411" max="6411" width="9.07421875" style="226" bestFit="1" customWidth="1"/>
    <col min="6412" max="6412" width="10.07421875" style="226" bestFit="1" customWidth="1"/>
    <col min="6413" max="6413" width="10.84375" style="226" customWidth="1"/>
    <col min="6414" max="6657" width="8.84375" style="226"/>
    <col min="6658" max="6658" width="35.07421875" style="226" customWidth="1"/>
    <col min="6659" max="6659" width="15.69140625" style="226" customWidth="1"/>
    <col min="6660" max="6660" width="14.84375" style="226" bestFit="1" customWidth="1"/>
    <col min="6661" max="6661" width="1.69140625" style="226" customWidth="1"/>
    <col min="6662" max="6662" width="15.84375" style="226" customWidth="1"/>
    <col min="6663" max="6663" width="1.4609375" style="226" customWidth="1"/>
    <col min="6664" max="6664" width="8.84375" style="226"/>
    <col min="6665" max="6665" width="35.3046875" style="226" customWidth="1"/>
    <col min="6666" max="6666" width="16.07421875" style="226" customWidth="1"/>
    <col min="6667" max="6667" width="9.07421875" style="226" bestFit="1" customWidth="1"/>
    <col min="6668" max="6668" width="10.07421875" style="226" bestFit="1" customWidth="1"/>
    <col min="6669" max="6669" width="10.84375" style="226" customWidth="1"/>
    <col min="6670" max="6913" width="8.84375" style="226"/>
    <col min="6914" max="6914" width="35.07421875" style="226" customWidth="1"/>
    <col min="6915" max="6915" width="15.69140625" style="226" customWidth="1"/>
    <col min="6916" max="6916" width="14.84375" style="226" bestFit="1" customWidth="1"/>
    <col min="6917" max="6917" width="1.69140625" style="226" customWidth="1"/>
    <col min="6918" max="6918" width="15.84375" style="226" customWidth="1"/>
    <col min="6919" max="6919" width="1.4609375" style="226" customWidth="1"/>
    <col min="6920" max="6920" width="8.84375" style="226"/>
    <col min="6921" max="6921" width="35.3046875" style="226" customWidth="1"/>
    <col min="6922" max="6922" width="16.07421875" style="226" customWidth="1"/>
    <col min="6923" max="6923" width="9.07421875" style="226" bestFit="1" customWidth="1"/>
    <col min="6924" max="6924" width="10.07421875" style="226" bestFit="1" customWidth="1"/>
    <col min="6925" max="6925" width="10.84375" style="226" customWidth="1"/>
    <col min="6926" max="7169" width="8.84375" style="226"/>
    <col min="7170" max="7170" width="35.07421875" style="226" customWidth="1"/>
    <col min="7171" max="7171" width="15.69140625" style="226" customWidth="1"/>
    <col min="7172" max="7172" width="14.84375" style="226" bestFit="1" customWidth="1"/>
    <col min="7173" max="7173" width="1.69140625" style="226" customWidth="1"/>
    <col min="7174" max="7174" width="15.84375" style="226" customWidth="1"/>
    <col min="7175" max="7175" width="1.4609375" style="226" customWidth="1"/>
    <col min="7176" max="7176" width="8.84375" style="226"/>
    <col min="7177" max="7177" width="35.3046875" style="226" customWidth="1"/>
    <col min="7178" max="7178" width="16.07421875" style="226" customWidth="1"/>
    <col min="7179" max="7179" width="9.07421875" style="226" bestFit="1" customWidth="1"/>
    <col min="7180" max="7180" width="10.07421875" style="226" bestFit="1" customWidth="1"/>
    <col min="7181" max="7181" width="10.84375" style="226" customWidth="1"/>
    <col min="7182" max="7425" width="8.84375" style="226"/>
    <col min="7426" max="7426" width="35.07421875" style="226" customWidth="1"/>
    <col min="7427" max="7427" width="15.69140625" style="226" customWidth="1"/>
    <col min="7428" max="7428" width="14.84375" style="226" bestFit="1" customWidth="1"/>
    <col min="7429" max="7429" width="1.69140625" style="226" customWidth="1"/>
    <col min="7430" max="7430" width="15.84375" style="226" customWidth="1"/>
    <col min="7431" max="7431" width="1.4609375" style="226" customWidth="1"/>
    <col min="7432" max="7432" width="8.84375" style="226"/>
    <col min="7433" max="7433" width="35.3046875" style="226" customWidth="1"/>
    <col min="7434" max="7434" width="16.07421875" style="226" customWidth="1"/>
    <col min="7435" max="7435" width="9.07421875" style="226" bestFit="1" customWidth="1"/>
    <col min="7436" max="7436" width="10.07421875" style="226" bestFit="1" customWidth="1"/>
    <col min="7437" max="7437" width="10.84375" style="226" customWidth="1"/>
    <col min="7438" max="7681" width="8.84375" style="226"/>
    <col min="7682" max="7682" width="35.07421875" style="226" customWidth="1"/>
    <col min="7683" max="7683" width="15.69140625" style="226" customWidth="1"/>
    <col min="7684" max="7684" width="14.84375" style="226" bestFit="1" customWidth="1"/>
    <col min="7685" max="7685" width="1.69140625" style="226" customWidth="1"/>
    <col min="7686" max="7686" width="15.84375" style="226" customWidth="1"/>
    <col min="7687" max="7687" width="1.4609375" style="226" customWidth="1"/>
    <col min="7688" max="7688" width="8.84375" style="226"/>
    <col min="7689" max="7689" width="35.3046875" style="226" customWidth="1"/>
    <col min="7690" max="7690" width="16.07421875" style="226" customWidth="1"/>
    <col min="7691" max="7691" width="9.07421875" style="226" bestFit="1" customWidth="1"/>
    <col min="7692" max="7692" width="10.07421875" style="226" bestFit="1" customWidth="1"/>
    <col min="7693" max="7693" width="10.84375" style="226" customWidth="1"/>
    <col min="7694" max="7937" width="8.84375" style="226"/>
    <col min="7938" max="7938" width="35.07421875" style="226" customWidth="1"/>
    <col min="7939" max="7939" width="15.69140625" style="226" customWidth="1"/>
    <col min="7940" max="7940" width="14.84375" style="226" bestFit="1" customWidth="1"/>
    <col min="7941" max="7941" width="1.69140625" style="226" customWidth="1"/>
    <col min="7942" max="7942" width="15.84375" style="226" customWidth="1"/>
    <col min="7943" max="7943" width="1.4609375" style="226" customWidth="1"/>
    <col min="7944" max="7944" width="8.84375" style="226"/>
    <col min="7945" max="7945" width="35.3046875" style="226" customWidth="1"/>
    <col min="7946" max="7946" width="16.07421875" style="226" customWidth="1"/>
    <col min="7947" max="7947" width="9.07421875" style="226" bestFit="1" customWidth="1"/>
    <col min="7948" max="7948" width="10.07421875" style="226" bestFit="1" customWidth="1"/>
    <col min="7949" max="7949" width="10.84375" style="226" customWidth="1"/>
    <col min="7950" max="8193" width="8.84375" style="226"/>
    <col min="8194" max="8194" width="35.07421875" style="226" customWidth="1"/>
    <col min="8195" max="8195" width="15.69140625" style="226" customWidth="1"/>
    <col min="8196" max="8196" width="14.84375" style="226" bestFit="1" customWidth="1"/>
    <col min="8197" max="8197" width="1.69140625" style="226" customWidth="1"/>
    <col min="8198" max="8198" width="15.84375" style="226" customWidth="1"/>
    <col min="8199" max="8199" width="1.4609375" style="226" customWidth="1"/>
    <col min="8200" max="8200" width="8.84375" style="226"/>
    <col min="8201" max="8201" width="35.3046875" style="226" customWidth="1"/>
    <col min="8202" max="8202" width="16.07421875" style="226" customWidth="1"/>
    <col min="8203" max="8203" width="9.07421875" style="226" bestFit="1" customWidth="1"/>
    <col min="8204" max="8204" width="10.07421875" style="226" bestFit="1" customWidth="1"/>
    <col min="8205" max="8205" width="10.84375" style="226" customWidth="1"/>
    <col min="8206" max="8449" width="8.84375" style="226"/>
    <col min="8450" max="8450" width="35.07421875" style="226" customWidth="1"/>
    <col min="8451" max="8451" width="15.69140625" style="226" customWidth="1"/>
    <col min="8452" max="8452" width="14.84375" style="226" bestFit="1" customWidth="1"/>
    <col min="8453" max="8453" width="1.69140625" style="226" customWidth="1"/>
    <col min="8454" max="8454" width="15.84375" style="226" customWidth="1"/>
    <col min="8455" max="8455" width="1.4609375" style="226" customWidth="1"/>
    <col min="8456" max="8456" width="8.84375" style="226"/>
    <col min="8457" max="8457" width="35.3046875" style="226" customWidth="1"/>
    <col min="8458" max="8458" width="16.07421875" style="226" customWidth="1"/>
    <col min="8459" max="8459" width="9.07421875" style="226" bestFit="1" customWidth="1"/>
    <col min="8460" max="8460" width="10.07421875" style="226" bestFit="1" customWidth="1"/>
    <col min="8461" max="8461" width="10.84375" style="226" customWidth="1"/>
    <col min="8462" max="8705" width="8.84375" style="226"/>
    <col min="8706" max="8706" width="35.07421875" style="226" customWidth="1"/>
    <col min="8707" max="8707" width="15.69140625" style="226" customWidth="1"/>
    <col min="8708" max="8708" width="14.84375" style="226" bestFit="1" customWidth="1"/>
    <col min="8709" max="8709" width="1.69140625" style="226" customWidth="1"/>
    <col min="8710" max="8710" width="15.84375" style="226" customWidth="1"/>
    <col min="8711" max="8711" width="1.4609375" style="226" customWidth="1"/>
    <col min="8712" max="8712" width="8.84375" style="226"/>
    <col min="8713" max="8713" width="35.3046875" style="226" customWidth="1"/>
    <col min="8714" max="8714" width="16.07421875" style="226" customWidth="1"/>
    <col min="8715" max="8715" width="9.07421875" style="226" bestFit="1" customWidth="1"/>
    <col min="8716" max="8716" width="10.07421875" style="226" bestFit="1" customWidth="1"/>
    <col min="8717" max="8717" width="10.84375" style="226" customWidth="1"/>
    <col min="8718" max="8961" width="8.84375" style="226"/>
    <col min="8962" max="8962" width="35.07421875" style="226" customWidth="1"/>
    <col min="8963" max="8963" width="15.69140625" style="226" customWidth="1"/>
    <col min="8964" max="8964" width="14.84375" style="226" bestFit="1" customWidth="1"/>
    <col min="8965" max="8965" width="1.69140625" style="226" customWidth="1"/>
    <col min="8966" max="8966" width="15.84375" style="226" customWidth="1"/>
    <col min="8967" max="8967" width="1.4609375" style="226" customWidth="1"/>
    <col min="8968" max="8968" width="8.84375" style="226"/>
    <col min="8969" max="8969" width="35.3046875" style="226" customWidth="1"/>
    <col min="8970" max="8970" width="16.07421875" style="226" customWidth="1"/>
    <col min="8971" max="8971" width="9.07421875" style="226" bestFit="1" customWidth="1"/>
    <col min="8972" max="8972" width="10.07421875" style="226" bestFit="1" customWidth="1"/>
    <col min="8973" max="8973" width="10.84375" style="226" customWidth="1"/>
    <col min="8974" max="9217" width="8.84375" style="226"/>
    <col min="9218" max="9218" width="35.07421875" style="226" customWidth="1"/>
    <col min="9219" max="9219" width="15.69140625" style="226" customWidth="1"/>
    <col min="9220" max="9220" width="14.84375" style="226" bestFit="1" customWidth="1"/>
    <col min="9221" max="9221" width="1.69140625" style="226" customWidth="1"/>
    <col min="9222" max="9222" width="15.84375" style="226" customWidth="1"/>
    <col min="9223" max="9223" width="1.4609375" style="226" customWidth="1"/>
    <col min="9224" max="9224" width="8.84375" style="226"/>
    <col min="9225" max="9225" width="35.3046875" style="226" customWidth="1"/>
    <col min="9226" max="9226" width="16.07421875" style="226" customWidth="1"/>
    <col min="9227" max="9227" width="9.07421875" style="226" bestFit="1" customWidth="1"/>
    <col min="9228" max="9228" width="10.07421875" style="226" bestFit="1" customWidth="1"/>
    <col min="9229" max="9229" width="10.84375" style="226" customWidth="1"/>
    <col min="9230" max="9473" width="8.84375" style="226"/>
    <col min="9474" max="9474" width="35.07421875" style="226" customWidth="1"/>
    <col min="9475" max="9475" width="15.69140625" style="226" customWidth="1"/>
    <col min="9476" max="9476" width="14.84375" style="226" bestFit="1" customWidth="1"/>
    <col min="9477" max="9477" width="1.69140625" style="226" customWidth="1"/>
    <col min="9478" max="9478" width="15.84375" style="226" customWidth="1"/>
    <col min="9479" max="9479" width="1.4609375" style="226" customWidth="1"/>
    <col min="9480" max="9480" width="8.84375" style="226"/>
    <col min="9481" max="9481" width="35.3046875" style="226" customWidth="1"/>
    <col min="9482" max="9482" width="16.07421875" style="226" customWidth="1"/>
    <col min="9483" max="9483" width="9.07421875" style="226" bestFit="1" customWidth="1"/>
    <col min="9484" max="9484" width="10.07421875" style="226" bestFit="1" customWidth="1"/>
    <col min="9485" max="9485" width="10.84375" style="226" customWidth="1"/>
    <col min="9486" max="9729" width="8.84375" style="226"/>
    <col min="9730" max="9730" width="35.07421875" style="226" customWidth="1"/>
    <col min="9731" max="9731" width="15.69140625" style="226" customWidth="1"/>
    <col min="9732" max="9732" width="14.84375" style="226" bestFit="1" customWidth="1"/>
    <col min="9733" max="9733" width="1.69140625" style="226" customWidth="1"/>
    <col min="9734" max="9734" width="15.84375" style="226" customWidth="1"/>
    <col min="9735" max="9735" width="1.4609375" style="226" customWidth="1"/>
    <col min="9736" max="9736" width="8.84375" style="226"/>
    <col min="9737" max="9737" width="35.3046875" style="226" customWidth="1"/>
    <col min="9738" max="9738" width="16.07421875" style="226" customWidth="1"/>
    <col min="9739" max="9739" width="9.07421875" style="226" bestFit="1" customWidth="1"/>
    <col min="9740" max="9740" width="10.07421875" style="226" bestFit="1" customWidth="1"/>
    <col min="9741" max="9741" width="10.84375" style="226" customWidth="1"/>
    <col min="9742" max="9985" width="8.84375" style="226"/>
    <col min="9986" max="9986" width="35.07421875" style="226" customWidth="1"/>
    <col min="9987" max="9987" width="15.69140625" style="226" customWidth="1"/>
    <col min="9988" max="9988" width="14.84375" style="226" bestFit="1" customWidth="1"/>
    <col min="9989" max="9989" width="1.69140625" style="226" customWidth="1"/>
    <col min="9990" max="9990" width="15.84375" style="226" customWidth="1"/>
    <col min="9991" max="9991" width="1.4609375" style="226" customWidth="1"/>
    <col min="9992" max="9992" width="8.84375" style="226"/>
    <col min="9993" max="9993" width="35.3046875" style="226" customWidth="1"/>
    <col min="9994" max="9994" width="16.07421875" style="226" customWidth="1"/>
    <col min="9995" max="9995" width="9.07421875" style="226" bestFit="1" customWidth="1"/>
    <col min="9996" max="9996" width="10.07421875" style="226" bestFit="1" customWidth="1"/>
    <col min="9997" max="9997" width="10.84375" style="226" customWidth="1"/>
    <col min="9998" max="10241" width="8.84375" style="226"/>
    <col min="10242" max="10242" width="35.07421875" style="226" customWidth="1"/>
    <col min="10243" max="10243" width="15.69140625" style="226" customWidth="1"/>
    <col min="10244" max="10244" width="14.84375" style="226" bestFit="1" customWidth="1"/>
    <col min="10245" max="10245" width="1.69140625" style="226" customWidth="1"/>
    <col min="10246" max="10246" width="15.84375" style="226" customWidth="1"/>
    <col min="10247" max="10247" width="1.4609375" style="226" customWidth="1"/>
    <col min="10248" max="10248" width="8.84375" style="226"/>
    <col min="10249" max="10249" width="35.3046875" style="226" customWidth="1"/>
    <col min="10250" max="10250" width="16.07421875" style="226" customWidth="1"/>
    <col min="10251" max="10251" width="9.07421875" style="226" bestFit="1" customWidth="1"/>
    <col min="10252" max="10252" width="10.07421875" style="226" bestFit="1" customWidth="1"/>
    <col min="10253" max="10253" width="10.84375" style="226" customWidth="1"/>
    <col min="10254" max="10497" width="8.84375" style="226"/>
    <col min="10498" max="10498" width="35.07421875" style="226" customWidth="1"/>
    <col min="10499" max="10499" width="15.69140625" style="226" customWidth="1"/>
    <col min="10500" max="10500" width="14.84375" style="226" bestFit="1" customWidth="1"/>
    <col min="10501" max="10501" width="1.69140625" style="226" customWidth="1"/>
    <col min="10502" max="10502" width="15.84375" style="226" customWidth="1"/>
    <col min="10503" max="10503" width="1.4609375" style="226" customWidth="1"/>
    <col min="10504" max="10504" width="8.84375" style="226"/>
    <col min="10505" max="10505" width="35.3046875" style="226" customWidth="1"/>
    <col min="10506" max="10506" width="16.07421875" style="226" customWidth="1"/>
    <col min="10507" max="10507" width="9.07421875" style="226" bestFit="1" customWidth="1"/>
    <col min="10508" max="10508" width="10.07421875" style="226" bestFit="1" customWidth="1"/>
    <col min="10509" max="10509" width="10.84375" style="226" customWidth="1"/>
    <col min="10510" max="10753" width="8.84375" style="226"/>
    <col min="10754" max="10754" width="35.07421875" style="226" customWidth="1"/>
    <col min="10755" max="10755" width="15.69140625" style="226" customWidth="1"/>
    <col min="10756" max="10756" width="14.84375" style="226" bestFit="1" customWidth="1"/>
    <col min="10757" max="10757" width="1.69140625" style="226" customWidth="1"/>
    <col min="10758" max="10758" width="15.84375" style="226" customWidth="1"/>
    <col min="10759" max="10759" width="1.4609375" style="226" customWidth="1"/>
    <col min="10760" max="10760" width="8.84375" style="226"/>
    <col min="10761" max="10761" width="35.3046875" style="226" customWidth="1"/>
    <col min="10762" max="10762" width="16.07421875" style="226" customWidth="1"/>
    <col min="10763" max="10763" width="9.07421875" style="226" bestFit="1" customWidth="1"/>
    <col min="10764" max="10764" width="10.07421875" style="226" bestFit="1" customWidth="1"/>
    <col min="10765" max="10765" width="10.84375" style="226" customWidth="1"/>
    <col min="10766" max="11009" width="8.84375" style="226"/>
    <col min="11010" max="11010" width="35.07421875" style="226" customWidth="1"/>
    <col min="11011" max="11011" width="15.69140625" style="226" customWidth="1"/>
    <col min="11012" max="11012" width="14.84375" style="226" bestFit="1" customWidth="1"/>
    <col min="11013" max="11013" width="1.69140625" style="226" customWidth="1"/>
    <col min="11014" max="11014" width="15.84375" style="226" customWidth="1"/>
    <col min="11015" max="11015" width="1.4609375" style="226" customWidth="1"/>
    <col min="11016" max="11016" width="8.84375" style="226"/>
    <col min="11017" max="11017" width="35.3046875" style="226" customWidth="1"/>
    <col min="11018" max="11018" width="16.07421875" style="226" customWidth="1"/>
    <col min="11019" max="11019" width="9.07421875" style="226" bestFit="1" customWidth="1"/>
    <col min="11020" max="11020" width="10.07421875" style="226" bestFit="1" customWidth="1"/>
    <col min="11021" max="11021" width="10.84375" style="226" customWidth="1"/>
    <col min="11022" max="11265" width="8.84375" style="226"/>
    <col min="11266" max="11266" width="35.07421875" style="226" customWidth="1"/>
    <col min="11267" max="11267" width="15.69140625" style="226" customWidth="1"/>
    <col min="11268" max="11268" width="14.84375" style="226" bestFit="1" customWidth="1"/>
    <col min="11269" max="11269" width="1.69140625" style="226" customWidth="1"/>
    <col min="11270" max="11270" width="15.84375" style="226" customWidth="1"/>
    <col min="11271" max="11271" width="1.4609375" style="226" customWidth="1"/>
    <col min="11272" max="11272" width="8.84375" style="226"/>
    <col min="11273" max="11273" width="35.3046875" style="226" customWidth="1"/>
    <col min="11274" max="11274" width="16.07421875" style="226" customWidth="1"/>
    <col min="11275" max="11275" width="9.07421875" style="226" bestFit="1" customWidth="1"/>
    <col min="11276" max="11276" width="10.07421875" style="226" bestFit="1" customWidth="1"/>
    <col min="11277" max="11277" width="10.84375" style="226" customWidth="1"/>
    <col min="11278" max="11521" width="8.84375" style="226"/>
    <col min="11522" max="11522" width="35.07421875" style="226" customWidth="1"/>
    <col min="11523" max="11523" width="15.69140625" style="226" customWidth="1"/>
    <col min="11524" max="11524" width="14.84375" style="226" bestFit="1" customWidth="1"/>
    <col min="11525" max="11525" width="1.69140625" style="226" customWidth="1"/>
    <col min="11526" max="11526" width="15.84375" style="226" customWidth="1"/>
    <col min="11527" max="11527" width="1.4609375" style="226" customWidth="1"/>
    <col min="11528" max="11528" width="8.84375" style="226"/>
    <col min="11529" max="11529" width="35.3046875" style="226" customWidth="1"/>
    <col min="11530" max="11530" width="16.07421875" style="226" customWidth="1"/>
    <col min="11531" max="11531" width="9.07421875" style="226" bestFit="1" customWidth="1"/>
    <col min="11532" max="11532" width="10.07421875" style="226" bestFit="1" customWidth="1"/>
    <col min="11533" max="11533" width="10.84375" style="226" customWidth="1"/>
    <col min="11534" max="11777" width="8.84375" style="226"/>
    <col min="11778" max="11778" width="35.07421875" style="226" customWidth="1"/>
    <col min="11779" max="11779" width="15.69140625" style="226" customWidth="1"/>
    <col min="11780" max="11780" width="14.84375" style="226" bestFit="1" customWidth="1"/>
    <col min="11781" max="11781" width="1.69140625" style="226" customWidth="1"/>
    <col min="11782" max="11782" width="15.84375" style="226" customWidth="1"/>
    <col min="11783" max="11783" width="1.4609375" style="226" customWidth="1"/>
    <col min="11784" max="11784" width="8.84375" style="226"/>
    <col min="11785" max="11785" width="35.3046875" style="226" customWidth="1"/>
    <col min="11786" max="11786" width="16.07421875" style="226" customWidth="1"/>
    <col min="11787" max="11787" width="9.07421875" style="226" bestFit="1" customWidth="1"/>
    <col min="11788" max="11788" width="10.07421875" style="226" bestFit="1" customWidth="1"/>
    <col min="11789" max="11789" width="10.84375" style="226" customWidth="1"/>
    <col min="11790" max="12033" width="8.84375" style="226"/>
    <col min="12034" max="12034" width="35.07421875" style="226" customWidth="1"/>
    <col min="12035" max="12035" width="15.69140625" style="226" customWidth="1"/>
    <col min="12036" max="12036" width="14.84375" style="226" bestFit="1" customWidth="1"/>
    <col min="12037" max="12037" width="1.69140625" style="226" customWidth="1"/>
    <col min="12038" max="12038" width="15.84375" style="226" customWidth="1"/>
    <col min="12039" max="12039" width="1.4609375" style="226" customWidth="1"/>
    <col min="12040" max="12040" width="8.84375" style="226"/>
    <col min="12041" max="12041" width="35.3046875" style="226" customWidth="1"/>
    <col min="12042" max="12042" width="16.07421875" style="226" customWidth="1"/>
    <col min="12043" max="12043" width="9.07421875" style="226" bestFit="1" customWidth="1"/>
    <col min="12044" max="12044" width="10.07421875" style="226" bestFit="1" customWidth="1"/>
    <col min="12045" max="12045" width="10.84375" style="226" customWidth="1"/>
    <col min="12046" max="12289" width="8.84375" style="226"/>
    <col min="12290" max="12290" width="35.07421875" style="226" customWidth="1"/>
    <col min="12291" max="12291" width="15.69140625" style="226" customWidth="1"/>
    <col min="12292" max="12292" width="14.84375" style="226" bestFit="1" customWidth="1"/>
    <col min="12293" max="12293" width="1.69140625" style="226" customWidth="1"/>
    <col min="12294" max="12294" width="15.84375" style="226" customWidth="1"/>
    <col min="12295" max="12295" width="1.4609375" style="226" customWidth="1"/>
    <col min="12296" max="12296" width="8.84375" style="226"/>
    <col min="12297" max="12297" width="35.3046875" style="226" customWidth="1"/>
    <col min="12298" max="12298" width="16.07421875" style="226" customWidth="1"/>
    <col min="12299" max="12299" width="9.07421875" style="226" bestFit="1" customWidth="1"/>
    <col min="12300" max="12300" width="10.07421875" style="226" bestFit="1" customWidth="1"/>
    <col min="12301" max="12301" width="10.84375" style="226" customWidth="1"/>
    <col min="12302" max="12545" width="8.84375" style="226"/>
    <col min="12546" max="12546" width="35.07421875" style="226" customWidth="1"/>
    <col min="12547" max="12547" width="15.69140625" style="226" customWidth="1"/>
    <col min="12548" max="12548" width="14.84375" style="226" bestFit="1" customWidth="1"/>
    <col min="12549" max="12549" width="1.69140625" style="226" customWidth="1"/>
    <col min="12550" max="12550" width="15.84375" style="226" customWidth="1"/>
    <col min="12551" max="12551" width="1.4609375" style="226" customWidth="1"/>
    <col min="12552" max="12552" width="8.84375" style="226"/>
    <col min="12553" max="12553" width="35.3046875" style="226" customWidth="1"/>
    <col min="12554" max="12554" width="16.07421875" style="226" customWidth="1"/>
    <col min="12555" max="12555" width="9.07421875" style="226" bestFit="1" customWidth="1"/>
    <col min="12556" max="12556" width="10.07421875" style="226" bestFit="1" customWidth="1"/>
    <col min="12557" max="12557" width="10.84375" style="226" customWidth="1"/>
    <col min="12558" max="12801" width="8.84375" style="226"/>
    <col min="12802" max="12802" width="35.07421875" style="226" customWidth="1"/>
    <col min="12803" max="12803" width="15.69140625" style="226" customWidth="1"/>
    <col min="12804" max="12804" width="14.84375" style="226" bestFit="1" customWidth="1"/>
    <col min="12805" max="12805" width="1.69140625" style="226" customWidth="1"/>
    <col min="12806" max="12806" width="15.84375" style="226" customWidth="1"/>
    <col min="12807" max="12807" width="1.4609375" style="226" customWidth="1"/>
    <col min="12808" max="12808" width="8.84375" style="226"/>
    <col min="12809" max="12809" width="35.3046875" style="226" customWidth="1"/>
    <col min="12810" max="12810" width="16.07421875" style="226" customWidth="1"/>
    <col min="12811" max="12811" width="9.07421875" style="226" bestFit="1" customWidth="1"/>
    <col min="12812" max="12812" width="10.07421875" style="226" bestFit="1" customWidth="1"/>
    <col min="12813" max="12813" width="10.84375" style="226" customWidth="1"/>
    <col min="12814" max="13057" width="8.84375" style="226"/>
    <col min="13058" max="13058" width="35.07421875" style="226" customWidth="1"/>
    <col min="13059" max="13059" width="15.69140625" style="226" customWidth="1"/>
    <col min="13060" max="13060" width="14.84375" style="226" bestFit="1" customWidth="1"/>
    <col min="13061" max="13061" width="1.69140625" style="226" customWidth="1"/>
    <col min="13062" max="13062" width="15.84375" style="226" customWidth="1"/>
    <col min="13063" max="13063" width="1.4609375" style="226" customWidth="1"/>
    <col min="13064" max="13064" width="8.84375" style="226"/>
    <col min="13065" max="13065" width="35.3046875" style="226" customWidth="1"/>
    <col min="13066" max="13066" width="16.07421875" style="226" customWidth="1"/>
    <col min="13067" max="13067" width="9.07421875" style="226" bestFit="1" customWidth="1"/>
    <col min="13068" max="13068" width="10.07421875" style="226" bestFit="1" customWidth="1"/>
    <col min="13069" max="13069" width="10.84375" style="226" customWidth="1"/>
    <col min="13070" max="13313" width="8.84375" style="226"/>
    <col min="13314" max="13314" width="35.07421875" style="226" customWidth="1"/>
    <col min="13315" max="13315" width="15.69140625" style="226" customWidth="1"/>
    <col min="13316" max="13316" width="14.84375" style="226" bestFit="1" customWidth="1"/>
    <col min="13317" max="13317" width="1.69140625" style="226" customWidth="1"/>
    <col min="13318" max="13318" width="15.84375" style="226" customWidth="1"/>
    <col min="13319" max="13319" width="1.4609375" style="226" customWidth="1"/>
    <col min="13320" max="13320" width="8.84375" style="226"/>
    <col min="13321" max="13321" width="35.3046875" style="226" customWidth="1"/>
    <col min="13322" max="13322" width="16.07421875" style="226" customWidth="1"/>
    <col min="13323" max="13323" width="9.07421875" style="226" bestFit="1" customWidth="1"/>
    <col min="13324" max="13324" width="10.07421875" style="226" bestFit="1" customWidth="1"/>
    <col min="13325" max="13325" width="10.84375" style="226" customWidth="1"/>
    <col min="13326" max="13569" width="8.84375" style="226"/>
    <col min="13570" max="13570" width="35.07421875" style="226" customWidth="1"/>
    <col min="13571" max="13571" width="15.69140625" style="226" customWidth="1"/>
    <col min="13572" max="13572" width="14.84375" style="226" bestFit="1" customWidth="1"/>
    <col min="13573" max="13573" width="1.69140625" style="226" customWidth="1"/>
    <col min="13574" max="13574" width="15.84375" style="226" customWidth="1"/>
    <col min="13575" max="13575" width="1.4609375" style="226" customWidth="1"/>
    <col min="13576" max="13576" width="8.84375" style="226"/>
    <col min="13577" max="13577" width="35.3046875" style="226" customWidth="1"/>
    <col min="13578" max="13578" width="16.07421875" style="226" customWidth="1"/>
    <col min="13579" max="13579" width="9.07421875" style="226" bestFit="1" customWidth="1"/>
    <col min="13580" max="13580" width="10.07421875" style="226" bestFit="1" customWidth="1"/>
    <col min="13581" max="13581" width="10.84375" style="226" customWidth="1"/>
    <col min="13582" max="13825" width="8.84375" style="226"/>
    <col min="13826" max="13826" width="35.07421875" style="226" customWidth="1"/>
    <col min="13827" max="13827" width="15.69140625" style="226" customWidth="1"/>
    <col min="13828" max="13828" width="14.84375" style="226" bestFit="1" customWidth="1"/>
    <col min="13829" max="13829" width="1.69140625" style="226" customWidth="1"/>
    <col min="13830" max="13830" width="15.84375" style="226" customWidth="1"/>
    <col min="13831" max="13831" width="1.4609375" style="226" customWidth="1"/>
    <col min="13832" max="13832" width="8.84375" style="226"/>
    <col min="13833" max="13833" width="35.3046875" style="226" customWidth="1"/>
    <col min="13834" max="13834" width="16.07421875" style="226" customWidth="1"/>
    <col min="13835" max="13835" width="9.07421875" style="226" bestFit="1" customWidth="1"/>
    <col min="13836" max="13836" width="10.07421875" style="226" bestFit="1" customWidth="1"/>
    <col min="13837" max="13837" width="10.84375" style="226" customWidth="1"/>
    <col min="13838" max="14081" width="8.84375" style="226"/>
    <col min="14082" max="14082" width="35.07421875" style="226" customWidth="1"/>
    <col min="14083" max="14083" width="15.69140625" style="226" customWidth="1"/>
    <col min="14084" max="14084" width="14.84375" style="226" bestFit="1" customWidth="1"/>
    <col min="14085" max="14085" width="1.69140625" style="226" customWidth="1"/>
    <col min="14086" max="14086" width="15.84375" style="226" customWidth="1"/>
    <col min="14087" max="14087" width="1.4609375" style="226" customWidth="1"/>
    <col min="14088" max="14088" width="8.84375" style="226"/>
    <col min="14089" max="14089" width="35.3046875" style="226" customWidth="1"/>
    <col min="14090" max="14090" width="16.07421875" style="226" customWidth="1"/>
    <col min="14091" max="14091" width="9.07421875" style="226" bestFit="1" customWidth="1"/>
    <col min="14092" max="14092" width="10.07421875" style="226" bestFit="1" customWidth="1"/>
    <col min="14093" max="14093" width="10.84375" style="226" customWidth="1"/>
    <col min="14094" max="14337" width="8.84375" style="226"/>
    <col min="14338" max="14338" width="35.07421875" style="226" customWidth="1"/>
    <col min="14339" max="14339" width="15.69140625" style="226" customWidth="1"/>
    <col min="14340" max="14340" width="14.84375" style="226" bestFit="1" customWidth="1"/>
    <col min="14341" max="14341" width="1.69140625" style="226" customWidth="1"/>
    <col min="14342" max="14342" width="15.84375" style="226" customWidth="1"/>
    <col min="14343" max="14343" width="1.4609375" style="226" customWidth="1"/>
    <col min="14344" max="14344" width="8.84375" style="226"/>
    <col min="14345" max="14345" width="35.3046875" style="226" customWidth="1"/>
    <col min="14346" max="14346" width="16.07421875" style="226" customWidth="1"/>
    <col min="14347" max="14347" width="9.07421875" style="226" bestFit="1" customWidth="1"/>
    <col min="14348" max="14348" width="10.07421875" style="226" bestFit="1" customWidth="1"/>
    <col min="14349" max="14349" width="10.84375" style="226" customWidth="1"/>
    <col min="14350" max="14593" width="8.84375" style="226"/>
    <col min="14594" max="14594" width="35.07421875" style="226" customWidth="1"/>
    <col min="14595" max="14595" width="15.69140625" style="226" customWidth="1"/>
    <col min="14596" max="14596" width="14.84375" style="226" bestFit="1" customWidth="1"/>
    <col min="14597" max="14597" width="1.69140625" style="226" customWidth="1"/>
    <col min="14598" max="14598" width="15.84375" style="226" customWidth="1"/>
    <col min="14599" max="14599" width="1.4609375" style="226" customWidth="1"/>
    <col min="14600" max="14600" width="8.84375" style="226"/>
    <col min="14601" max="14601" width="35.3046875" style="226" customWidth="1"/>
    <col min="14602" max="14602" width="16.07421875" style="226" customWidth="1"/>
    <col min="14603" max="14603" width="9.07421875" style="226" bestFit="1" customWidth="1"/>
    <col min="14604" max="14604" width="10.07421875" style="226" bestFit="1" customWidth="1"/>
    <col min="14605" max="14605" width="10.84375" style="226" customWidth="1"/>
    <col min="14606" max="14849" width="8.84375" style="226"/>
    <col min="14850" max="14850" width="35.07421875" style="226" customWidth="1"/>
    <col min="14851" max="14851" width="15.69140625" style="226" customWidth="1"/>
    <col min="14852" max="14852" width="14.84375" style="226" bestFit="1" customWidth="1"/>
    <col min="14853" max="14853" width="1.69140625" style="226" customWidth="1"/>
    <col min="14854" max="14854" width="15.84375" style="226" customWidth="1"/>
    <col min="14855" max="14855" width="1.4609375" style="226" customWidth="1"/>
    <col min="14856" max="14856" width="8.84375" style="226"/>
    <col min="14857" max="14857" width="35.3046875" style="226" customWidth="1"/>
    <col min="14858" max="14858" width="16.07421875" style="226" customWidth="1"/>
    <col min="14859" max="14859" width="9.07421875" style="226" bestFit="1" customWidth="1"/>
    <col min="14860" max="14860" width="10.07421875" style="226" bestFit="1" customWidth="1"/>
    <col min="14861" max="14861" width="10.84375" style="226" customWidth="1"/>
    <col min="14862" max="15105" width="8.84375" style="226"/>
    <col min="15106" max="15106" width="35.07421875" style="226" customWidth="1"/>
    <col min="15107" max="15107" width="15.69140625" style="226" customWidth="1"/>
    <col min="15108" max="15108" width="14.84375" style="226" bestFit="1" customWidth="1"/>
    <col min="15109" max="15109" width="1.69140625" style="226" customWidth="1"/>
    <col min="15110" max="15110" width="15.84375" style="226" customWidth="1"/>
    <col min="15111" max="15111" width="1.4609375" style="226" customWidth="1"/>
    <col min="15112" max="15112" width="8.84375" style="226"/>
    <col min="15113" max="15113" width="35.3046875" style="226" customWidth="1"/>
    <col min="15114" max="15114" width="16.07421875" style="226" customWidth="1"/>
    <col min="15115" max="15115" width="9.07421875" style="226" bestFit="1" customWidth="1"/>
    <col min="15116" max="15116" width="10.07421875" style="226" bestFit="1" customWidth="1"/>
    <col min="15117" max="15117" width="10.84375" style="226" customWidth="1"/>
    <col min="15118" max="15361" width="8.84375" style="226"/>
    <col min="15362" max="15362" width="35.07421875" style="226" customWidth="1"/>
    <col min="15363" max="15363" width="15.69140625" style="226" customWidth="1"/>
    <col min="15364" max="15364" width="14.84375" style="226" bestFit="1" customWidth="1"/>
    <col min="15365" max="15365" width="1.69140625" style="226" customWidth="1"/>
    <col min="15366" max="15366" width="15.84375" style="226" customWidth="1"/>
    <col min="15367" max="15367" width="1.4609375" style="226" customWidth="1"/>
    <col min="15368" max="15368" width="8.84375" style="226"/>
    <col min="15369" max="15369" width="35.3046875" style="226" customWidth="1"/>
    <col min="15370" max="15370" width="16.07421875" style="226" customWidth="1"/>
    <col min="15371" max="15371" width="9.07421875" style="226" bestFit="1" customWidth="1"/>
    <col min="15372" max="15372" width="10.07421875" style="226" bestFit="1" customWidth="1"/>
    <col min="15373" max="15373" width="10.84375" style="226" customWidth="1"/>
    <col min="15374" max="15617" width="8.84375" style="226"/>
    <col min="15618" max="15618" width="35.07421875" style="226" customWidth="1"/>
    <col min="15619" max="15619" width="15.69140625" style="226" customWidth="1"/>
    <col min="15620" max="15620" width="14.84375" style="226" bestFit="1" customWidth="1"/>
    <col min="15621" max="15621" width="1.69140625" style="226" customWidth="1"/>
    <col min="15622" max="15622" width="15.84375" style="226" customWidth="1"/>
    <col min="15623" max="15623" width="1.4609375" style="226" customWidth="1"/>
    <col min="15624" max="15624" width="8.84375" style="226"/>
    <col min="15625" max="15625" width="35.3046875" style="226" customWidth="1"/>
    <col min="15626" max="15626" width="16.07421875" style="226" customWidth="1"/>
    <col min="15627" max="15627" width="9.07421875" style="226" bestFit="1" customWidth="1"/>
    <col min="15628" max="15628" width="10.07421875" style="226" bestFit="1" customWidth="1"/>
    <col min="15629" max="15629" width="10.84375" style="226" customWidth="1"/>
    <col min="15630" max="15873" width="8.84375" style="226"/>
    <col min="15874" max="15874" width="35.07421875" style="226" customWidth="1"/>
    <col min="15875" max="15875" width="15.69140625" style="226" customWidth="1"/>
    <col min="15876" max="15876" width="14.84375" style="226" bestFit="1" customWidth="1"/>
    <col min="15877" max="15877" width="1.69140625" style="226" customWidth="1"/>
    <col min="15878" max="15878" width="15.84375" style="226" customWidth="1"/>
    <col min="15879" max="15879" width="1.4609375" style="226" customWidth="1"/>
    <col min="15880" max="15880" width="8.84375" style="226"/>
    <col min="15881" max="15881" width="35.3046875" style="226" customWidth="1"/>
    <col min="15882" max="15882" width="16.07421875" style="226" customWidth="1"/>
    <col min="15883" max="15883" width="9.07421875" style="226" bestFit="1" customWidth="1"/>
    <col min="15884" max="15884" width="10.07421875" style="226" bestFit="1" customWidth="1"/>
    <col min="15885" max="15885" width="10.84375" style="226" customWidth="1"/>
    <col min="15886" max="16129" width="8.84375" style="226"/>
    <col min="16130" max="16130" width="35.07421875" style="226" customWidth="1"/>
    <col min="16131" max="16131" width="15.69140625" style="226" customWidth="1"/>
    <col min="16132" max="16132" width="14.84375" style="226" bestFit="1" customWidth="1"/>
    <col min="16133" max="16133" width="1.69140625" style="226" customWidth="1"/>
    <col min="16134" max="16134" width="15.84375" style="226" customWidth="1"/>
    <col min="16135" max="16135" width="1.4609375" style="226" customWidth="1"/>
    <col min="16136" max="16136" width="8.84375" style="226"/>
    <col min="16137" max="16137" width="35.3046875" style="226" customWidth="1"/>
    <col min="16138" max="16138" width="16.07421875" style="226" customWidth="1"/>
    <col min="16139" max="16139" width="9.07421875" style="226" bestFit="1" customWidth="1"/>
    <col min="16140" max="16140" width="10.07421875" style="226" bestFit="1" customWidth="1"/>
    <col min="16141" max="16141" width="10.84375" style="226" customWidth="1"/>
    <col min="16142" max="16384" width="8.84375" style="226"/>
  </cols>
  <sheetData>
    <row r="1" spans="1:8">
      <c r="A1" s="1235" t="s">
        <v>528</v>
      </c>
      <c r="B1" s="1235"/>
      <c r="C1" s="1235"/>
      <c r="D1" s="1235"/>
      <c r="E1" s="1235"/>
      <c r="F1" s="1235"/>
      <c r="G1" s="1235"/>
      <c r="H1" s="1235"/>
    </row>
    <row r="2" spans="1:8">
      <c r="A2" s="1273" t="s">
        <v>786</v>
      </c>
      <c r="B2" s="1273"/>
      <c r="C2" s="1273"/>
      <c r="D2" s="1273"/>
      <c r="E2" s="1273"/>
      <c r="F2" s="1273"/>
      <c r="G2" s="1273"/>
      <c r="H2" s="1273"/>
    </row>
    <row r="3" spans="1:8">
      <c r="A3" s="1274" t="str">
        <f>+'Attachment H-26'!D5</f>
        <v>Transource West Virginia, LLC</v>
      </c>
      <c r="B3" s="1274"/>
      <c r="C3" s="1274"/>
      <c r="D3" s="1274"/>
      <c r="E3" s="1274"/>
      <c r="F3" s="1274"/>
      <c r="G3" s="1274"/>
      <c r="H3" s="1274"/>
    </row>
    <row r="4" spans="1:8">
      <c r="A4" s="711"/>
      <c r="F4" s="712"/>
    </row>
    <row r="5" spans="1:8">
      <c r="A5" s="711"/>
    </row>
    <row r="6" spans="1:8">
      <c r="A6" s="711"/>
    </row>
    <row r="7" spans="1:8">
      <c r="A7" s="713"/>
      <c r="B7" s="714"/>
      <c r="C7" s="713"/>
      <c r="D7" s="742" t="s">
        <v>196</v>
      </c>
      <c r="E7" s="713"/>
      <c r="F7" s="742" t="s">
        <v>197</v>
      </c>
      <c r="G7" s="713"/>
    </row>
    <row r="8" spans="1:8">
      <c r="F8" s="715" t="s">
        <v>524</v>
      </c>
      <c r="G8" s="716"/>
    </row>
    <row r="9" spans="1:8">
      <c r="D9" s="717" t="s">
        <v>300</v>
      </c>
      <c r="F9" s="794"/>
    </row>
    <row r="10" spans="1:8">
      <c r="A10" s="717" t="s">
        <v>8</v>
      </c>
      <c r="D10" s="717" t="s">
        <v>525</v>
      </c>
      <c r="F10" s="717" t="s">
        <v>300</v>
      </c>
    </row>
    <row r="11" spans="1:8">
      <c r="A11" s="718" t="s">
        <v>10</v>
      </c>
      <c r="B11" s="719" t="s">
        <v>511</v>
      </c>
      <c r="C11" s="718" t="s">
        <v>205</v>
      </c>
      <c r="D11" s="718" t="s">
        <v>515</v>
      </c>
      <c r="F11" s="718" t="s">
        <v>329</v>
      </c>
    </row>
    <row r="12" spans="1:8">
      <c r="F12" s="718"/>
    </row>
    <row r="13" spans="1:8">
      <c r="A13" s="720">
        <v>1</v>
      </c>
      <c r="B13" s="721" t="s">
        <v>529</v>
      </c>
      <c r="D13" s="262"/>
      <c r="E13" s="262"/>
      <c r="F13" s="722">
        <v>0</v>
      </c>
    </row>
    <row r="14" spans="1:8">
      <c r="A14" s="720">
        <f>+A13+1</f>
        <v>2</v>
      </c>
      <c r="B14" s="226" t="s">
        <v>722</v>
      </c>
      <c r="D14" s="262"/>
      <c r="E14" s="262"/>
      <c r="F14" s="722">
        <v>0</v>
      </c>
    </row>
    <row r="15" spans="1:8">
      <c r="A15" s="720">
        <f t="shared" ref="A15:A30" si="0">+A14+1</f>
        <v>3</v>
      </c>
      <c r="D15" s="723"/>
      <c r="E15" s="723"/>
      <c r="F15" s="723"/>
    </row>
    <row r="16" spans="1:8" ht="21.65" customHeight="1">
      <c r="A16" s="720">
        <f t="shared" si="0"/>
        <v>4</v>
      </c>
      <c r="B16" s="724" t="s">
        <v>530</v>
      </c>
      <c r="D16"/>
      <c r="E16" s="262"/>
      <c r="F16" s="725"/>
    </row>
    <row r="17" spans="1:14">
      <c r="A17" s="720">
        <f t="shared" si="0"/>
        <v>5</v>
      </c>
      <c r="B17" s="724" t="s">
        <v>531</v>
      </c>
      <c r="D17"/>
      <c r="E17" s="262"/>
      <c r="F17" s="722">
        <v>0</v>
      </c>
    </row>
    <row r="18" spans="1:14">
      <c r="A18" s="720">
        <f t="shared" si="0"/>
        <v>6</v>
      </c>
      <c r="D18"/>
      <c r="E18" s="262"/>
      <c r="F18" s="262"/>
    </row>
    <row r="19" spans="1:14">
      <c r="A19" s="720">
        <f t="shared" si="0"/>
        <v>7</v>
      </c>
      <c r="B19" s="226" t="s">
        <v>532</v>
      </c>
      <c r="C19" s="226" t="s">
        <v>724</v>
      </c>
      <c r="D19"/>
      <c r="E19" s="262"/>
      <c r="F19" s="726">
        <f>+F16+F17</f>
        <v>0</v>
      </c>
    </row>
    <row r="20" spans="1:14">
      <c r="A20" s="720">
        <f t="shared" si="0"/>
        <v>8</v>
      </c>
      <c r="D20" s="262"/>
      <c r="E20" s="262"/>
      <c r="F20" s="262"/>
      <c r="I20" s="727"/>
      <c r="J20" s="728"/>
      <c r="K20" s="728"/>
      <c r="L20" s="728"/>
      <c r="M20" s="728"/>
      <c r="N20" s="728"/>
    </row>
    <row r="21" spans="1:14">
      <c r="A21" s="720">
        <f t="shared" si="0"/>
        <v>9</v>
      </c>
      <c r="B21" s="226" t="s">
        <v>526</v>
      </c>
      <c r="C21" s="226" t="s">
        <v>725</v>
      </c>
      <c r="D21" s="262"/>
      <c r="E21" s="262"/>
      <c r="F21" s="262">
        <f>+F14+F19</f>
        <v>0</v>
      </c>
    </row>
    <row r="22" spans="1:14">
      <c r="A22" s="720">
        <f t="shared" si="0"/>
        <v>10</v>
      </c>
      <c r="D22" s="262"/>
      <c r="E22" s="262"/>
      <c r="F22" s="262"/>
    </row>
    <row r="23" spans="1:14">
      <c r="A23" s="720">
        <f t="shared" si="0"/>
        <v>11</v>
      </c>
      <c r="D23" s="262"/>
      <c r="E23" s="262"/>
      <c r="F23" s="262"/>
    </row>
    <row r="24" spans="1:14">
      <c r="A24" s="720">
        <f t="shared" si="0"/>
        <v>12</v>
      </c>
      <c r="B24" s="226" t="s">
        <v>532</v>
      </c>
      <c r="C24" s="226" t="s">
        <v>723</v>
      </c>
      <c r="D24" s="262"/>
      <c r="E24" s="262"/>
      <c r="F24" s="262">
        <f>+F19</f>
        <v>0</v>
      </c>
    </row>
    <row r="25" spans="1:14">
      <c r="A25" s="720">
        <f t="shared" si="0"/>
        <v>13</v>
      </c>
    </row>
    <row r="26" spans="1:14">
      <c r="A26" s="720">
        <f t="shared" si="0"/>
        <v>14</v>
      </c>
      <c r="B26" s="226" t="s">
        <v>731</v>
      </c>
      <c r="C26" s="226" t="s">
        <v>314</v>
      </c>
      <c r="F26" s="743"/>
    </row>
    <row r="27" spans="1:14">
      <c r="A27" s="720">
        <f t="shared" si="0"/>
        <v>15</v>
      </c>
      <c r="B27" s="226" t="s">
        <v>729</v>
      </c>
      <c r="C27" s="226" t="s">
        <v>315</v>
      </c>
      <c r="F27" s="725">
        <v>30</v>
      </c>
    </row>
    <row r="28" spans="1:14">
      <c r="A28" s="720">
        <f t="shared" si="0"/>
        <v>16</v>
      </c>
      <c r="B28" s="226" t="s">
        <v>533</v>
      </c>
      <c r="C28" s="226" t="s">
        <v>730</v>
      </c>
      <c r="F28" s="726">
        <f>+F24*F26*F27</f>
        <v>0</v>
      </c>
    </row>
    <row r="29" spans="1:14">
      <c r="A29" s="720">
        <f t="shared" si="0"/>
        <v>17</v>
      </c>
    </row>
    <row r="30" spans="1:14">
      <c r="A30" s="720">
        <f t="shared" si="0"/>
        <v>18</v>
      </c>
      <c r="B30" s="728" t="s">
        <v>726</v>
      </c>
      <c r="C30" s="728" t="s">
        <v>727</v>
      </c>
      <c r="D30" s="728"/>
      <c r="E30" s="728"/>
      <c r="F30" s="262">
        <f>+F24+F28</f>
        <v>0</v>
      </c>
      <c r="G30" s="728"/>
    </row>
    <row r="31" spans="1:14">
      <c r="A31" s="720"/>
      <c r="B31" s="728"/>
      <c r="C31" s="728"/>
      <c r="D31" s="728"/>
      <c r="E31" s="728"/>
      <c r="F31" s="728"/>
      <c r="G31" s="728"/>
    </row>
    <row r="33" spans="1:8">
      <c r="A33" s="745" t="s">
        <v>182</v>
      </c>
    </row>
    <row r="34" spans="1:8" ht="56.25" customHeight="1">
      <c r="A34" s="746" t="s">
        <v>62</v>
      </c>
      <c r="B34" s="1275" t="s">
        <v>721</v>
      </c>
      <c r="C34" s="1275"/>
      <c r="D34" s="1275"/>
      <c r="E34" s="1275"/>
      <c r="F34" s="1275"/>
      <c r="G34" s="833"/>
      <c r="H34" s="833"/>
    </row>
    <row r="35" spans="1:8" ht="86.25" customHeight="1">
      <c r="A35" s="746" t="s">
        <v>63</v>
      </c>
      <c r="B35" s="1275" t="s">
        <v>728</v>
      </c>
      <c r="C35" s="1275"/>
      <c r="D35" s="1275"/>
      <c r="E35" s="1275"/>
      <c r="F35" s="1275"/>
      <c r="G35" s="833"/>
      <c r="H35" s="833"/>
    </row>
    <row r="36" spans="1:8">
      <c r="A36" s="744"/>
    </row>
  </sheetData>
  <customSheetViews>
    <customSheetView guid="{63AFAF34-E340-4B5E-A289-FFB7051CA9B6}" scale="80" showPageBreaks="1" fitToPage="1" printArea="1" topLeftCell="A10">
      <selection activeCell="B35" sqref="B35:H35"/>
      <pageMargins left="1" right="0.7" top="1" bottom="0.75" header="0.3" footer="0.3"/>
      <pageSetup scale="78" orientation="portrait" r:id="rId1"/>
    </customSheetView>
  </customSheetViews>
  <mergeCells count="5">
    <mergeCell ref="A1:H1"/>
    <mergeCell ref="A2:H2"/>
    <mergeCell ref="A3:H3"/>
    <mergeCell ref="B34:F34"/>
    <mergeCell ref="B35:F35"/>
  </mergeCells>
  <pageMargins left="1" right="0.7" top="1" bottom="0.75" header="0.3" footer="0.3"/>
  <pageSetup scale="76"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I248"/>
  <sheetViews>
    <sheetView view="pageBreakPreview" zoomScaleNormal="100" zoomScaleSheetLayoutView="100" workbookViewId="0">
      <selection activeCell="B24" sqref="B24"/>
    </sheetView>
  </sheetViews>
  <sheetFormatPr defaultColWidth="8.84375" defaultRowHeight="15.5"/>
  <cols>
    <col min="1" max="1" width="7.3046875" style="346" customWidth="1"/>
    <col min="2" max="2" width="49.69140625" style="346" customWidth="1"/>
    <col min="3" max="3" width="14.84375" style="346" customWidth="1"/>
    <col min="4" max="4" width="11.69140625" style="346" customWidth="1"/>
    <col min="5" max="5" width="10.84375" style="810" bestFit="1" customWidth="1"/>
    <col min="6" max="6" width="10.4609375" style="346" customWidth="1"/>
    <col min="7" max="16384" width="8.84375" style="346"/>
  </cols>
  <sheetData>
    <row r="1" spans="1:9" ht="13">
      <c r="A1" s="1235" t="s">
        <v>757</v>
      </c>
      <c r="B1" s="1235"/>
      <c r="C1" s="1235"/>
      <c r="D1" s="1235"/>
      <c r="E1" s="1235"/>
      <c r="F1" s="1235"/>
      <c r="G1" s="1235"/>
      <c r="H1" s="404"/>
      <c r="I1" s="404"/>
    </row>
    <row r="2" spans="1:9" ht="13">
      <c r="A2" s="1273" t="s">
        <v>758</v>
      </c>
      <c r="B2" s="1273"/>
      <c r="C2" s="1273"/>
      <c r="D2" s="1273"/>
      <c r="E2" s="1273"/>
      <c r="F2" s="1273"/>
      <c r="G2" s="1273"/>
      <c r="H2" s="752"/>
      <c r="I2" s="752"/>
    </row>
    <row r="3" spans="1:9" ht="13">
      <c r="A3" s="1274" t="str">
        <f>+'Attachment H-26'!D5</f>
        <v>Transource West Virginia, LLC</v>
      </c>
      <c r="B3" s="1274"/>
      <c r="C3" s="1274"/>
      <c r="D3" s="1274"/>
      <c r="E3" s="1274"/>
      <c r="F3" s="1274"/>
      <c r="G3" s="1274"/>
      <c r="H3" s="367"/>
      <c r="I3" s="367"/>
    </row>
    <row r="4" spans="1:9" ht="13">
      <c r="A4" s="751"/>
      <c r="B4" s="751"/>
      <c r="C4" s="751"/>
      <c r="D4" s="751"/>
      <c r="E4" s="751"/>
      <c r="F4" s="751"/>
      <c r="G4" s="751"/>
      <c r="H4" s="367"/>
      <c r="I4" s="367"/>
    </row>
    <row r="5" spans="1:9">
      <c r="A5" s="796"/>
      <c r="D5" s="797"/>
      <c r="E5" s="798"/>
      <c r="F5" s="796"/>
      <c r="H5" s="799"/>
    </row>
    <row r="6" spans="1:9" ht="13">
      <c r="A6" s="749" t="s">
        <v>154</v>
      </c>
      <c r="B6" s="570" t="s">
        <v>771</v>
      </c>
      <c r="C6" s="570"/>
      <c r="D6" s="217" t="s">
        <v>196</v>
      </c>
      <c r="E6" s="217" t="s">
        <v>197</v>
      </c>
      <c r="F6" s="376" t="s">
        <v>769</v>
      </c>
      <c r="G6" s="800"/>
      <c r="H6" s="800"/>
      <c r="I6" s="800"/>
    </row>
    <row r="7" spans="1:9" ht="26">
      <c r="A7" s="345">
        <v>1</v>
      </c>
      <c r="B7" s="801" t="s">
        <v>749</v>
      </c>
      <c r="C7" s="395" t="s">
        <v>205</v>
      </c>
      <c r="D7" s="813" t="s">
        <v>18</v>
      </c>
      <c r="E7" s="375" t="s">
        <v>768</v>
      </c>
      <c r="F7" s="375" t="s">
        <v>767</v>
      </c>
    </row>
    <row r="8" spans="1:9" ht="13">
      <c r="A8" s="345">
        <f>+A7+1</f>
        <v>2</v>
      </c>
      <c r="B8" s="331" t="s">
        <v>752</v>
      </c>
      <c r="C8" s="331" t="s">
        <v>760</v>
      </c>
      <c r="D8" s="1176">
        <v>0</v>
      </c>
      <c r="E8" s="1176">
        <v>0</v>
      </c>
      <c r="F8" s="1181">
        <f>+D8-E8</f>
        <v>0</v>
      </c>
    </row>
    <row r="9" spans="1:9" ht="13">
      <c r="A9" s="345">
        <f>+A8+1</f>
        <v>3</v>
      </c>
      <c r="B9" s="331" t="s">
        <v>753</v>
      </c>
      <c r="C9" s="331" t="s">
        <v>760</v>
      </c>
      <c r="D9" s="1176">
        <v>0</v>
      </c>
      <c r="E9" s="1176">
        <v>0</v>
      </c>
      <c r="F9" s="1181">
        <f t="shared" ref="F9:F14" si="0">+D9-E9</f>
        <v>0</v>
      </c>
    </row>
    <row r="10" spans="1:9" ht="13">
      <c r="A10" s="345">
        <f t="shared" ref="A10:A14" si="1">+A9+1</f>
        <v>4</v>
      </c>
      <c r="B10" s="331" t="s">
        <v>754</v>
      </c>
      <c r="C10" s="331" t="s">
        <v>760</v>
      </c>
      <c r="D10" s="1176">
        <v>0</v>
      </c>
      <c r="E10" s="1176">
        <v>0</v>
      </c>
      <c r="F10" s="1181">
        <f t="shared" si="0"/>
        <v>0</v>
      </c>
    </row>
    <row r="11" spans="1:9" ht="13">
      <c r="A11" s="345">
        <f t="shared" si="1"/>
        <v>5</v>
      </c>
      <c r="B11" s="331" t="s">
        <v>755</v>
      </c>
      <c r="C11" s="331" t="s">
        <v>760</v>
      </c>
      <c r="D11" s="1176">
        <v>0</v>
      </c>
      <c r="E11" s="1176">
        <v>0</v>
      </c>
      <c r="F11" s="1181">
        <f t="shared" si="0"/>
        <v>0</v>
      </c>
    </row>
    <row r="12" spans="1:9" ht="13">
      <c r="A12" s="345">
        <f t="shared" si="1"/>
        <v>6</v>
      </c>
      <c r="B12" s="331" t="s">
        <v>756</v>
      </c>
      <c r="C12" s="331" t="s">
        <v>760</v>
      </c>
      <c r="D12" s="1177">
        <v>360</v>
      </c>
      <c r="E12" s="1177">
        <v>0</v>
      </c>
      <c r="F12" s="1181">
        <f t="shared" si="0"/>
        <v>360</v>
      </c>
    </row>
    <row r="13" spans="1:9" ht="13">
      <c r="A13" s="345">
        <f t="shared" si="1"/>
        <v>7</v>
      </c>
      <c r="B13" s="331" t="s">
        <v>756</v>
      </c>
      <c r="C13" s="331" t="s">
        <v>760</v>
      </c>
      <c r="D13" s="1177">
        <v>0</v>
      </c>
      <c r="E13" s="1177">
        <v>0</v>
      </c>
      <c r="F13" s="1181">
        <f t="shared" si="0"/>
        <v>0</v>
      </c>
    </row>
    <row r="14" spans="1:9" ht="13">
      <c r="A14" s="345">
        <f t="shared" si="1"/>
        <v>8</v>
      </c>
      <c r="B14" s="803" t="s">
        <v>766</v>
      </c>
      <c r="C14" s="331" t="s">
        <v>764</v>
      </c>
      <c r="D14" s="1178">
        <f>+SUM(D8:D13)</f>
        <v>360</v>
      </c>
      <c r="E14" s="1178">
        <f>+SUM(E8:E13)</f>
        <v>0</v>
      </c>
      <c r="F14" s="1184">
        <f t="shared" si="0"/>
        <v>360</v>
      </c>
    </row>
    <row r="15" spans="1:9" ht="13">
      <c r="A15" s="345"/>
      <c r="B15" s="803"/>
      <c r="C15" s="803"/>
      <c r="D15" s="1179">
        <v>360</v>
      </c>
      <c r="E15" s="1179"/>
      <c r="F15" s="1181"/>
    </row>
    <row r="16" spans="1:9" ht="13">
      <c r="A16" s="300">
        <f>+A14+1</f>
        <v>9</v>
      </c>
      <c r="B16" s="803" t="s">
        <v>776</v>
      </c>
      <c r="C16" s="802"/>
      <c r="D16" s="1180"/>
      <c r="E16" s="1181"/>
      <c r="F16" s="1181"/>
    </row>
    <row r="17" spans="1:9" ht="13">
      <c r="A17" s="345">
        <f>+A16+1</f>
        <v>10</v>
      </c>
      <c r="B17" s="331" t="s">
        <v>762</v>
      </c>
      <c r="C17" s="331" t="s">
        <v>760</v>
      </c>
      <c r="D17" s="1176">
        <v>0</v>
      </c>
      <c r="E17" s="1176">
        <v>0</v>
      </c>
      <c r="F17" s="1181">
        <f t="shared" ref="F17:F25" si="2">+D17-E17</f>
        <v>0</v>
      </c>
    </row>
    <row r="18" spans="1:9" ht="13">
      <c r="A18" s="345">
        <f>+A17+1</f>
        <v>11</v>
      </c>
      <c r="B18" s="331" t="s">
        <v>763</v>
      </c>
      <c r="C18" s="331" t="s">
        <v>760</v>
      </c>
      <c r="D18" s="1176">
        <v>116563.89</v>
      </c>
      <c r="E18" s="1176">
        <v>0</v>
      </c>
      <c r="F18" s="1181">
        <f t="shared" si="2"/>
        <v>116563.89</v>
      </c>
    </row>
    <row r="19" spans="1:9" ht="13">
      <c r="A19" s="345">
        <f t="shared" ref="A19:A21" si="3">+A18+1</f>
        <v>12</v>
      </c>
      <c r="B19" s="331" t="s">
        <v>761</v>
      </c>
      <c r="C19" s="331" t="s">
        <v>760</v>
      </c>
      <c r="D19" s="1176">
        <v>836057.28</v>
      </c>
      <c r="E19" s="1176">
        <v>0</v>
      </c>
      <c r="F19" s="1181">
        <f t="shared" si="2"/>
        <v>836057.28</v>
      </c>
    </row>
    <row r="20" spans="1:9" ht="13">
      <c r="A20" s="345">
        <f t="shared" si="3"/>
        <v>13</v>
      </c>
      <c r="B20" s="331" t="s">
        <v>770</v>
      </c>
      <c r="C20" s="331" t="s">
        <v>760</v>
      </c>
      <c r="D20" s="1176">
        <v>9367950.9800000004</v>
      </c>
      <c r="E20" s="1176">
        <v>0</v>
      </c>
      <c r="F20" s="1181">
        <f t="shared" si="2"/>
        <v>9367950.9800000004</v>
      </c>
    </row>
    <row r="21" spans="1:9" ht="13">
      <c r="A21" s="345">
        <f t="shared" si="3"/>
        <v>14</v>
      </c>
      <c r="B21" s="331" t="s">
        <v>433</v>
      </c>
      <c r="C21" s="331" t="s">
        <v>760</v>
      </c>
      <c r="D21" s="1177">
        <v>0</v>
      </c>
      <c r="E21" s="1177">
        <v>0</v>
      </c>
      <c r="F21" s="1181">
        <f t="shared" si="2"/>
        <v>0</v>
      </c>
    </row>
    <row r="22" spans="1:9" ht="13">
      <c r="A22" s="345">
        <f>+A21+1</f>
        <v>15</v>
      </c>
      <c r="B22" s="331" t="s">
        <v>774</v>
      </c>
      <c r="C22" s="331" t="s">
        <v>765</v>
      </c>
      <c r="D22" s="1178">
        <f>+SUM(D17:D21)</f>
        <v>10320572.15</v>
      </c>
      <c r="E22" s="1178">
        <f>+SUM(E17:E21)</f>
        <v>0</v>
      </c>
      <c r="F22" s="814">
        <f t="shared" si="2"/>
        <v>10320572.15</v>
      </c>
    </row>
    <row r="23" spans="1:9" ht="13">
      <c r="A23" s="345">
        <f>+A22+1</f>
        <v>16</v>
      </c>
      <c r="B23" s="331" t="s">
        <v>772</v>
      </c>
      <c r="C23" s="803"/>
      <c r="D23" s="1176">
        <v>9367950.9800000004</v>
      </c>
      <c r="E23" s="1182"/>
      <c r="F23" s="812">
        <f t="shared" si="2"/>
        <v>9367950.9800000004</v>
      </c>
    </row>
    <row r="24" spans="1:9" ht="13">
      <c r="A24" s="345">
        <f t="shared" ref="A24:A25" si="4">+A23+1</f>
        <v>17</v>
      </c>
      <c r="B24" s="331" t="s">
        <v>780</v>
      </c>
      <c r="C24" s="803"/>
      <c r="D24" s="1182">
        <v>836057.28</v>
      </c>
      <c r="E24" s="1182"/>
      <c r="F24" s="812">
        <f t="shared" si="2"/>
        <v>836057.28</v>
      </c>
    </row>
    <row r="25" spans="1:9" ht="13">
      <c r="A25" s="345">
        <f t="shared" si="4"/>
        <v>18</v>
      </c>
      <c r="B25" s="803" t="s">
        <v>777</v>
      </c>
      <c r="C25" s="541" t="str">
        <f>"(Line "&amp;A22&amp;" - line "&amp;A23&amp;")"</f>
        <v>(Line 15 - line 16)</v>
      </c>
      <c r="D25" s="1178">
        <f>+D22-D23-D24</f>
        <v>116563.8899999999</v>
      </c>
      <c r="E25" s="1178">
        <f>+E22-E23-E24</f>
        <v>0</v>
      </c>
      <c r="F25" s="814">
        <f t="shared" si="2"/>
        <v>116563.8899999999</v>
      </c>
    </row>
    <row r="26" spans="1:9" ht="13">
      <c r="A26" s="345"/>
      <c r="B26" s="803"/>
      <c r="C26" s="803"/>
      <c r="D26" s="1179"/>
      <c r="E26" s="1179"/>
    </row>
    <row r="27" spans="1:9" ht="13">
      <c r="A27" s="750">
        <f>+A25+1</f>
        <v>19</v>
      </c>
      <c r="B27" s="815" t="s">
        <v>750</v>
      </c>
      <c r="C27" s="541" t="str">
        <f>"(Line "&amp;A14&amp;" + line "&amp;A25&amp;")"</f>
        <v>(Line 8 + line 18)</v>
      </c>
      <c r="D27" s="1183">
        <f>+D14+D25</f>
        <v>116923.8899999999</v>
      </c>
      <c r="E27" s="1183">
        <f>+E14+E25</f>
        <v>0</v>
      </c>
      <c r="F27" s="806">
        <f>+F14+F25</f>
        <v>116923.8899999999</v>
      </c>
    </row>
    <row r="28" spans="1:9" ht="14.25" customHeight="1">
      <c r="A28" s="331"/>
      <c r="B28" s="331"/>
      <c r="C28" s="331"/>
      <c r="E28" s="811"/>
      <c r="F28" s="345"/>
    </row>
    <row r="29" spans="1:9" s="807" customFormat="1" ht="13">
      <c r="A29" s="331"/>
      <c r="B29" s="331"/>
      <c r="C29" s="331"/>
      <c r="D29" s="331"/>
      <c r="E29" s="806"/>
      <c r="F29" s="804"/>
    </row>
    <row r="30" spans="1:9" ht="41.25" customHeight="1">
      <c r="A30" s="808" t="s">
        <v>751</v>
      </c>
      <c r="B30" s="1266" t="s">
        <v>778</v>
      </c>
      <c r="C30" s="1266"/>
      <c r="D30" s="1266"/>
      <c r="E30" s="1266"/>
      <c r="F30" s="1266"/>
      <c r="G30" s="1266"/>
    </row>
    <row r="31" spans="1:9" ht="13">
      <c r="A31" s="570"/>
      <c r="B31" s="570"/>
      <c r="C31" s="570"/>
      <c r="D31" s="570"/>
      <c r="E31" s="570"/>
      <c r="F31" s="570"/>
      <c r="G31" s="570"/>
      <c r="H31" s="570"/>
      <c r="I31" s="570"/>
    </row>
    <row r="35" spans="1:5" ht="13">
      <c r="A35" s="345"/>
      <c r="B35" s="331"/>
      <c r="C35" s="331"/>
      <c r="D35" s="809"/>
      <c r="E35" s="346"/>
    </row>
    <row r="106" spans="5:5">
      <c r="E106" s="226"/>
    </row>
    <row r="225" spans="4:8">
      <c r="D225" s="805"/>
      <c r="F225" s="805"/>
      <c r="G225" s="805"/>
      <c r="H225" s="805"/>
    </row>
    <row r="226" spans="4:8" ht="99.75" customHeight="1">
      <c r="D226" s="805"/>
      <c r="F226" s="805"/>
      <c r="G226" s="805"/>
      <c r="H226" s="805"/>
    </row>
    <row r="227" spans="4:8">
      <c r="D227" s="805"/>
      <c r="F227" s="805"/>
      <c r="G227" s="805"/>
      <c r="H227" s="805"/>
    </row>
    <row r="228" spans="4:8">
      <c r="D228" s="805"/>
      <c r="F228" s="805"/>
      <c r="G228" s="805"/>
      <c r="H228" s="805"/>
    </row>
    <row r="229" spans="4:8">
      <c r="D229" s="805"/>
      <c r="F229" s="805"/>
      <c r="G229" s="805"/>
      <c r="H229" s="805"/>
    </row>
    <row r="230" spans="4:8">
      <c r="D230" s="805"/>
      <c r="F230" s="805"/>
      <c r="G230" s="805"/>
      <c r="H230" s="805"/>
    </row>
    <row r="231" spans="4:8">
      <c r="D231" s="805"/>
      <c r="F231" s="805"/>
      <c r="G231" s="805"/>
      <c r="H231" s="805"/>
    </row>
    <row r="232" spans="4:8">
      <c r="D232" s="805"/>
      <c r="F232" s="805"/>
      <c r="G232" s="805"/>
      <c r="H232" s="805"/>
    </row>
    <row r="233" spans="4:8">
      <c r="D233" s="805"/>
      <c r="F233" s="805"/>
      <c r="G233" s="805"/>
      <c r="H233" s="805"/>
    </row>
    <row r="234" spans="4:8">
      <c r="D234" s="805"/>
      <c r="F234" s="805"/>
      <c r="G234" s="805"/>
      <c r="H234" s="805"/>
    </row>
    <row r="235" spans="4:8">
      <c r="D235" s="805"/>
      <c r="F235" s="805"/>
      <c r="G235" s="805"/>
      <c r="H235" s="805"/>
    </row>
    <row r="236" spans="4:8">
      <c r="D236" s="805"/>
      <c r="F236" s="805"/>
      <c r="G236" s="805"/>
      <c r="H236" s="805"/>
    </row>
    <row r="237" spans="4:8">
      <c r="D237" s="805"/>
      <c r="F237" s="805"/>
      <c r="G237" s="805"/>
      <c r="H237" s="805"/>
    </row>
    <row r="238" spans="4:8">
      <c r="D238" s="805"/>
      <c r="F238" s="805"/>
      <c r="G238" s="805"/>
      <c r="H238" s="805"/>
    </row>
    <row r="239" spans="4:8">
      <c r="D239" s="805"/>
      <c r="F239" s="805"/>
      <c r="G239" s="805"/>
      <c r="H239" s="805"/>
    </row>
    <row r="240" spans="4:8">
      <c r="D240" s="805"/>
      <c r="F240" s="805"/>
      <c r="G240" s="805"/>
      <c r="H240" s="805"/>
    </row>
    <row r="241" spans="4:8">
      <c r="D241" s="805"/>
      <c r="F241" s="805"/>
      <c r="G241" s="805"/>
      <c r="H241" s="805"/>
    </row>
    <row r="242" spans="4:8">
      <c r="D242" s="805"/>
      <c r="F242" s="805"/>
      <c r="G242" s="805"/>
      <c r="H242" s="805"/>
    </row>
    <row r="243" spans="4:8">
      <c r="D243" s="805"/>
      <c r="F243" s="805"/>
      <c r="G243" s="805"/>
      <c r="H243" s="805"/>
    </row>
    <row r="244" spans="4:8">
      <c r="D244" s="805"/>
      <c r="F244" s="805"/>
      <c r="G244" s="805"/>
      <c r="H244" s="805"/>
    </row>
    <row r="245" spans="4:8">
      <c r="D245" s="805"/>
      <c r="F245" s="805"/>
      <c r="G245" s="805"/>
      <c r="H245" s="805"/>
    </row>
    <row r="246" spans="4:8">
      <c r="D246" s="805"/>
      <c r="F246" s="805"/>
      <c r="G246" s="805"/>
      <c r="H246" s="805"/>
    </row>
    <row r="247" spans="4:8" ht="40.5" customHeight="1">
      <c r="D247" s="805"/>
      <c r="F247" s="805"/>
      <c r="G247" s="805"/>
      <c r="H247" s="805"/>
    </row>
    <row r="248" spans="4:8">
      <c r="D248" s="805"/>
      <c r="F248" s="805"/>
      <c r="G248" s="805"/>
      <c r="H248" s="805"/>
    </row>
  </sheetData>
  <customSheetViews>
    <customSheetView guid="{63AFAF34-E340-4B5E-A289-FFB7051CA9B6}" showPageBreaks="1" fitToPage="1" printArea="1" view="pageBreakPreview" topLeftCell="A13">
      <selection activeCell="G38" sqref="G38"/>
      <rowBreaks count="1" manualBreakCount="1">
        <brk id="49" max="3" man="1"/>
      </rowBreaks>
      <pageMargins left="0.75" right="0.75" top="1.28" bottom="1" header="0.5" footer="0.5"/>
      <pageSetup scale="65" orientation="portrait" r:id="rId1"/>
      <headerFooter alignWithMargins="0"/>
    </customSheetView>
  </customSheetViews>
  <mergeCells count="4">
    <mergeCell ref="B30:G30"/>
    <mergeCell ref="A1:G1"/>
    <mergeCell ref="A2:G2"/>
    <mergeCell ref="A3:G3"/>
  </mergeCells>
  <pageMargins left="0.75" right="0.75" top="1.28" bottom="1" header="0.5" footer="0.5"/>
  <pageSetup scale="89" orientation="landscape" r:id="rId2"/>
  <headerFooter alignWithMargins="0"/>
  <rowBreaks count="1" manualBreakCount="1">
    <brk id="49"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86"/>
  <sheetViews>
    <sheetView view="pageBreakPreview" zoomScale="90" zoomScaleNormal="90" zoomScaleSheetLayoutView="90" workbookViewId="0">
      <selection activeCell="F44" sqref="F44"/>
    </sheetView>
  </sheetViews>
  <sheetFormatPr defaultColWidth="8.84375" defaultRowHeight="13"/>
  <cols>
    <col min="1" max="1" width="6" style="21" customWidth="1"/>
    <col min="2" max="2" width="1.4609375" style="21" customWidth="1"/>
    <col min="3" max="3" width="13.4609375" style="21" customWidth="1"/>
    <col min="4" max="4" width="13.53515625" style="539" customWidth="1"/>
    <col min="5" max="5" width="12.53515625" style="21" bestFit="1" customWidth="1"/>
    <col min="6" max="6" width="17.07421875" style="21" customWidth="1"/>
    <col min="7" max="7" width="10.3046875" style="21" customWidth="1"/>
    <col min="8" max="8" width="11.4609375" style="21" customWidth="1"/>
    <col min="9" max="9" width="11.07421875" style="21" bestFit="1" customWidth="1"/>
    <col min="10" max="10" width="9.07421875" style="21" customWidth="1"/>
    <col min="11" max="11" width="10.3046875" style="21" customWidth="1"/>
    <col min="12" max="12" width="5.84375" style="408" customWidth="1"/>
    <col min="13" max="13" width="13.53515625" style="21" customWidth="1"/>
    <col min="14" max="14" width="12.53515625" style="21" customWidth="1"/>
    <col min="15" max="15" width="12.4609375" style="21" bestFit="1" customWidth="1"/>
    <col min="16" max="16" width="12.4609375" style="21" customWidth="1"/>
    <col min="17" max="17" width="11.69140625" style="21" bestFit="1" customWidth="1"/>
    <col min="18" max="18" width="10.3046875" style="21" bestFit="1" customWidth="1"/>
    <col min="19" max="19" width="11.84375" style="21" customWidth="1"/>
    <col min="20" max="20" width="9.3046875" style="21" customWidth="1"/>
    <col min="21" max="21" width="10.84375" style="21" customWidth="1"/>
    <col min="22" max="16384" width="8.84375" style="21"/>
  </cols>
  <sheetData>
    <row r="1" spans="1:23">
      <c r="S1" s="49"/>
    </row>
    <row r="2" spans="1:23">
      <c r="K2" s="21" t="s">
        <v>327</v>
      </c>
      <c r="S2" s="49"/>
    </row>
    <row r="3" spans="1:23">
      <c r="F3" s="17" t="s">
        <v>187</v>
      </c>
      <c r="S3" s="49"/>
    </row>
    <row r="4" spans="1:23">
      <c r="E4" s="16"/>
      <c r="F4" s="17" t="s">
        <v>643</v>
      </c>
      <c r="G4" s="16"/>
      <c r="I4" s="16"/>
      <c r="J4" s="16"/>
      <c r="K4" s="16"/>
      <c r="L4" s="404"/>
      <c r="M4" s="20"/>
      <c r="N4" s="50"/>
      <c r="O4" s="51"/>
      <c r="P4" s="51"/>
      <c r="Q4" s="51"/>
      <c r="R4" s="51"/>
      <c r="S4" s="51"/>
      <c r="T4" s="22"/>
      <c r="U4" s="52"/>
      <c r="V4" s="52"/>
      <c r="W4" s="22"/>
    </row>
    <row r="5" spans="1:23">
      <c r="E5" s="16"/>
      <c r="F5" s="213" t="str">
        <f>+'Attachment H-26'!D5</f>
        <v>Transource West Virginia, LLC</v>
      </c>
      <c r="G5" s="18"/>
      <c r="I5" s="18"/>
      <c r="J5" s="18"/>
      <c r="K5" s="18"/>
      <c r="L5" s="406"/>
      <c r="M5" s="20"/>
      <c r="R5" s="22"/>
      <c r="S5" s="20"/>
      <c r="T5" s="22"/>
      <c r="U5" s="53"/>
      <c r="V5" s="52"/>
      <c r="W5" s="22"/>
    </row>
    <row r="6" spans="1:23">
      <c r="C6" s="22"/>
      <c r="D6" s="540"/>
      <c r="E6" s="22"/>
      <c r="G6" s="22"/>
      <c r="I6" s="22"/>
      <c r="J6" s="22"/>
      <c r="K6" s="22"/>
      <c r="L6" s="22"/>
      <c r="M6" s="22"/>
      <c r="R6" s="22"/>
      <c r="S6" s="22"/>
      <c r="T6" s="22"/>
      <c r="U6" s="52"/>
      <c r="V6" s="52"/>
      <c r="W6" s="22"/>
    </row>
    <row r="7" spans="1:23">
      <c r="A7" s="17"/>
      <c r="C7" s="22"/>
      <c r="D7" s="540"/>
      <c r="E7" s="22"/>
      <c r="F7" s="22"/>
      <c r="G7" s="22"/>
      <c r="H7" s="54"/>
      <c r="I7" s="22"/>
      <c r="J7" s="22"/>
      <c r="K7" s="22"/>
      <c r="L7" s="22"/>
      <c r="M7" s="22"/>
      <c r="N7" s="22"/>
      <c r="O7" s="22"/>
      <c r="P7" s="22"/>
      <c r="Q7" s="22"/>
      <c r="R7" s="22"/>
      <c r="S7" s="22"/>
      <c r="T7" s="22"/>
      <c r="U7" s="52"/>
      <c r="V7" s="52"/>
      <c r="W7" s="22"/>
    </row>
    <row r="8" spans="1:23">
      <c r="A8" s="17"/>
      <c r="C8" s="22" t="s">
        <v>809</v>
      </c>
      <c r="D8" s="540"/>
      <c r="E8" s="22"/>
      <c r="F8" s="22"/>
      <c r="G8" s="22"/>
      <c r="H8" s="54"/>
      <c r="I8" s="22"/>
      <c r="J8" s="22"/>
      <c r="K8" s="22"/>
      <c r="L8" s="22"/>
      <c r="M8" s="22"/>
      <c r="N8" s="22"/>
      <c r="O8" s="22"/>
      <c r="P8" s="22"/>
      <c r="Q8" s="22"/>
      <c r="R8" s="22"/>
      <c r="S8" s="22"/>
      <c r="T8" s="22"/>
      <c r="U8" s="52"/>
      <c r="V8" s="52"/>
      <c r="W8" s="22"/>
    </row>
    <row r="9" spans="1:23">
      <c r="A9" s="17"/>
      <c r="C9" s="22"/>
      <c r="D9" s="540"/>
      <c r="E9" s="22"/>
      <c r="F9" s="22"/>
      <c r="G9" s="22"/>
      <c r="H9" s="22"/>
      <c r="N9" s="55"/>
      <c r="O9" s="55"/>
      <c r="P9" s="55"/>
      <c r="Q9" s="55"/>
      <c r="R9" s="22"/>
      <c r="S9" s="22"/>
      <c r="T9" s="22"/>
      <c r="U9" s="22"/>
      <c r="V9" s="22"/>
      <c r="W9" s="22"/>
    </row>
    <row r="10" spans="1:23">
      <c r="C10" s="56" t="s">
        <v>3</v>
      </c>
      <c r="D10" s="547"/>
      <c r="E10" s="56"/>
      <c r="F10" s="56" t="s">
        <v>4</v>
      </c>
      <c r="G10" s="56"/>
      <c r="I10" s="56" t="s">
        <v>5</v>
      </c>
      <c r="K10" s="57" t="s">
        <v>6</v>
      </c>
      <c r="L10" s="57"/>
      <c r="O10" s="57"/>
      <c r="P10" s="57"/>
      <c r="Q10" s="57"/>
      <c r="R10" s="18"/>
      <c r="S10" s="57"/>
      <c r="T10" s="18"/>
      <c r="U10" s="57"/>
      <c r="V10" s="18"/>
      <c r="W10" s="58"/>
    </row>
    <row r="11" spans="1:23">
      <c r="C11" s="58"/>
      <c r="D11" s="548"/>
      <c r="E11" s="58"/>
      <c r="F11" s="59" t="s">
        <v>814</v>
      </c>
      <c r="G11" s="59"/>
      <c r="I11" s="18"/>
      <c r="R11" s="18"/>
      <c r="T11" s="18"/>
      <c r="U11" s="56"/>
      <c r="V11" s="56"/>
      <c r="W11" s="58"/>
    </row>
    <row r="12" spans="1:23">
      <c r="A12" s="17" t="s">
        <v>8</v>
      </c>
      <c r="C12" s="58"/>
      <c r="D12" s="548"/>
      <c r="E12" s="58"/>
      <c r="F12" s="60" t="s">
        <v>17</v>
      </c>
      <c r="G12" s="60"/>
      <c r="I12" s="61" t="s">
        <v>16</v>
      </c>
      <c r="K12" s="61" t="s">
        <v>14</v>
      </c>
      <c r="L12" s="61"/>
      <c r="O12" s="61"/>
      <c r="P12" s="61"/>
      <c r="Q12" s="61"/>
      <c r="R12" s="18"/>
      <c r="T12" s="22"/>
      <c r="U12" s="62"/>
      <c r="V12" s="56"/>
      <c r="W12" s="58"/>
    </row>
    <row r="13" spans="1:23">
      <c r="A13" s="17" t="s">
        <v>10</v>
      </c>
      <c r="C13" s="63"/>
      <c r="D13" s="549"/>
      <c r="E13" s="63"/>
      <c r="F13" s="18"/>
      <c r="G13" s="18"/>
      <c r="I13" s="18"/>
      <c r="K13" s="18"/>
      <c r="L13" s="406"/>
      <c r="O13" s="18"/>
      <c r="P13" s="18"/>
      <c r="Q13" s="18"/>
      <c r="R13" s="18"/>
      <c r="S13" s="18"/>
      <c r="T13" s="22"/>
      <c r="U13" s="18"/>
      <c r="V13" s="18"/>
      <c r="W13" s="58"/>
    </row>
    <row r="14" spans="1:23">
      <c r="A14" s="64"/>
      <c r="C14" s="58"/>
      <c r="D14" s="548"/>
      <c r="E14" s="58"/>
      <c r="F14" s="18"/>
      <c r="G14" s="18"/>
      <c r="I14" s="18"/>
      <c r="K14" s="18"/>
      <c r="L14" s="406"/>
      <c r="O14" s="18"/>
      <c r="P14" s="18"/>
      <c r="Q14" s="18"/>
      <c r="R14" s="18"/>
      <c r="S14" s="18"/>
      <c r="T14" s="22"/>
      <c r="U14" s="18"/>
      <c r="V14" s="18"/>
      <c r="W14" s="58"/>
    </row>
    <row r="15" spans="1:23">
      <c r="A15" s="19">
        <v>1</v>
      </c>
      <c r="C15" s="58" t="s">
        <v>535</v>
      </c>
      <c r="D15" s="548"/>
      <c r="E15" s="58"/>
      <c r="F15" s="65" t="s">
        <v>833</v>
      </c>
      <c r="G15" s="19"/>
      <c r="I15" s="45">
        <f>+'Attachment H-26'!I65+'Attachment H-26'!I91</f>
        <v>84401725.483076915</v>
      </c>
      <c r="R15" s="18"/>
      <c r="S15" s="18"/>
      <c r="T15" s="22"/>
      <c r="U15" s="18"/>
      <c r="V15" s="18"/>
      <c r="W15" s="58"/>
    </row>
    <row r="16" spans="1:23">
      <c r="A16" s="19">
        <v>2</v>
      </c>
      <c r="C16" s="58" t="s">
        <v>536</v>
      </c>
      <c r="D16" s="548"/>
      <c r="E16" s="58"/>
      <c r="F16" s="65" t="s">
        <v>834</v>
      </c>
      <c r="G16" s="19"/>
      <c r="I16" s="45">
        <f>+'Attachment H-26'!I79+'Attachment H-26'!I91+'Attachment H-26'!I93</f>
        <v>77894548.936923072</v>
      </c>
      <c r="R16" s="18"/>
      <c r="S16" s="18"/>
      <c r="T16" s="22"/>
      <c r="U16" s="18"/>
      <c r="V16" s="18"/>
      <c r="W16" s="58"/>
    </row>
    <row r="17" spans="1:23">
      <c r="A17" s="19"/>
      <c r="F17" s="65"/>
      <c r="G17" s="19"/>
      <c r="R17" s="18"/>
      <c r="S17" s="18"/>
      <c r="T17" s="22"/>
      <c r="U17" s="18"/>
      <c r="V17" s="18"/>
      <c r="W17" s="58"/>
    </row>
    <row r="18" spans="1:23">
      <c r="A18" s="19"/>
      <c r="C18" s="58" t="s">
        <v>127</v>
      </c>
      <c r="D18" s="548"/>
      <c r="E18" s="58"/>
      <c r="F18" s="65"/>
      <c r="G18" s="19"/>
      <c r="I18" s="18"/>
      <c r="K18" s="18"/>
      <c r="L18" s="406"/>
      <c r="O18" s="18"/>
      <c r="P18" s="18"/>
      <c r="Q18" s="18"/>
      <c r="R18" s="18"/>
      <c r="S18" s="18"/>
      <c r="T18" s="18"/>
      <c r="U18" s="18"/>
      <c r="V18" s="18"/>
      <c r="W18" s="58"/>
    </row>
    <row r="19" spans="1:23">
      <c r="A19" s="19">
        <v>3</v>
      </c>
      <c r="C19" s="58" t="s">
        <v>128</v>
      </c>
      <c r="D19" s="548"/>
      <c r="E19" s="58"/>
      <c r="F19" s="65" t="s">
        <v>835</v>
      </c>
      <c r="G19" s="19"/>
      <c r="I19" s="45">
        <f>+'Attachment H-26'!I133</f>
        <v>431022.03618441476</v>
      </c>
      <c r="R19" s="18"/>
      <c r="S19" s="18"/>
      <c r="T19" s="18"/>
      <c r="U19" s="18"/>
      <c r="V19" s="18"/>
      <c r="W19" s="58"/>
    </row>
    <row r="20" spans="1:23">
      <c r="A20" s="19">
        <v>4</v>
      </c>
      <c r="C20" s="58" t="s">
        <v>129</v>
      </c>
      <c r="D20" s="548"/>
      <c r="E20" s="58"/>
      <c r="F20" s="65" t="s">
        <v>130</v>
      </c>
      <c r="G20" s="19"/>
      <c r="I20" s="495">
        <f>IF(I19=0,0,+I19/I15)</f>
        <v>5.1067917594982987E-3</v>
      </c>
      <c r="J20" s="387"/>
      <c r="K20" s="66">
        <f>I20</f>
        <v>5.1067917594982987E-3</v>
      </c>
      <c r="L20" s="389"/>
      <c r="O20" s="66"/>
      <c r="P20" s="66"/>
      <c r="Q20" s="66"/>
      <c r="R20" s="18"/>
      <c r="S20" s="67"/>
      <c r="T20" s="68"/>
      <c r="U20" s="69"/>
      <c r="V20" s="18"/>
      <c r="W20" s="58"/>
    </row>
    <row r="21" spans="1:23">
      <c r="A21" s="19"/>
      <c r="C21" s="58"/>
      <c r="D21" s="548"/>
      <c r="E21" s="58"/>
      <c r="F21" s="65"/>
      <c r="G21" s="19"/>
      <c r="I21" s="70"/>
      <c r="K21" s="66"/>
      <c r="L21" s="389"/>
      <c r="O21" s="66"/>
      <c r="P21" s="66"/>
      <c r="Q21" s="66"/>
      <c r="R21" s="18"/>
      <c r="S21" s="67"/>
      <c r="T21" s="68"/>
      <c r="U21" s="69"/>
      <c r="V21" s="18"/>
      <c r="W21" s="58"/>
    </row>
    <row r="22" spans="1:23">
      <c r="A22" s="57"/>
      <c r="C22" s="58" t="s">
        <v>551</v>
      </c>
      <c r="D22" s="548"/>
      <c r="E22" s="58"/>
      <c r="F22" s="212"/>
      <c r="G22" s="48"/>
      <c r="I22" s="18"/>
      <c r="K22" s="495"/>
      <c r="L22" s="388"/>
      <c r="O22" s="18"/>
      <c r="P22" s="18"/>
      <c r="Q22" s="18"/>
      <c r="R22" s="18"/>
      <c r="S22" s="67"/>
      <c r="T22" s="68"/>
      <c r="U22" s="69"/>
      <c r="V22" s="18"/>
      <c r="W22" s="58"/>
    </row>
    <row r="23" spans="1:23">
      <c r="A23" s="57" t="s">
        <v>131</v>
      </c>
      <c r="C23" s="58" t="s">
        <v>550</v>
      </c>
      <c r="D23" s="548"/>
      <c r="E23" s="58"/>
      <c r="F23" s="65" t="s">
        <v>836</v>
      </c>
      <c r="G23" s="19"/>
      <c r="I23" s="45">
        <f>+'Attachment H-26'!I137</f>
        <v>148133.81</v>
      </c>
      <c r="K23" s="495"/>
      <c r="L23" s="388"/>
      <c r="R23" s="18"/>
      <c r="S23" s="67"/>
      <c r="T23" s="68"/>
      <c r="U23" s="69"/>
      <c r="V23" s="18"/>
      <c r="W23" s="58"/>
    </row>
    <row r="24" spans="1:23">
      <c r="A24" s="57" t="s">
        <v>132</v>
      </c>
      <c r="C24" s="58" t="s">
        <v>347</v>
      </c>
      <c r="D24" s="548"/>
      <c r="E24" s="58"/>
      <c r="F24" s="65" t="s">
        <v>133</v>
      </c>
      <c r="G24" s="19"/>
      <c r="I24" s="495">
        <f>IF(I23=0,0,I23/I15)</f>
        <v>1.7551040473657352E-3</v>
      </c>
      <c r="J24" s="46"/>
      <c r="K24" s="66">
        <f>I24</f>
        <v>1.7551040473657352E-3</v>
      </c>
      <c r="L24" s="389"/>
      <c r="O24" s="66"/>
      <c r="P24" s="66"/>
      <c r="Q24" s="66"/>
      <c r="R24" s="18"/>
      <c r="S24" s="67"/>
      <c r="T24" s="68"/>
      <c r="U24" s="69"/>
      <c r="V24" s="18"/>
      <c r="W24" s="58"/>
    </row>
    <row r="25" spans="1:23">
      <c r="A25" s="19"/>
      <c r="C25" s="58"/>
      <c r="D25" s="548"/>
      <c r="E25" s="58"/>
      <c r="F25" s="65"/>
      <c r="G25" s="19"/>
      <c r="I25" s="46"/>
      <c r="J25" s="46"/>
      <c r="K25" s="66"/>
      <c r="L25" s="389"/>
      <c r="O25" s="66"/>
      <c r="P25" s="66"/>
      <c r="Q25" s="66"/>
      <c r="R25" s="18"/>
      <c r="S25" s="67"/>
      <c r="T25" s="68"/>
      <c r="U25" s="69"/>
      <c r="V25" s="18"/>
      <c r="W25" s="58"/>
    </row>
    <row r="26" spans="1:23">
      <c r="A26" s="57"/>
      <c r="C26" s="58" t="s">
        <v>134</v>
      </c>
      <c r="D26" s="548"/>
      <c r="E26" s="58"/>
      <c r="F26" s="212"/>
      <c r="G26" s="48"/>
      <c r="I26" s="46"/>
      <c r="J26" s="46"/>
      <c r="K26" s="495"/>
      <c r="L26" s="388"/>
      <c r="O26" s="18"/>
      <c r="P26" s="18"/>
      <c r="Q26" s="18"/>
      <c r="R26" s="18"/>
      <c r="S26" s="18"/>
      <c r="T26" s="18"/>
      <c r="U26" s="18"/>
      <c r="V26" s="18"/>
      <c r="W26" s="58"/>
    </row>
    <row r="27" spans="1:23">
      <c r="A27" s="57" t="s">
        <v>135</v>
      </c>
      <c r="C27" s="58" t="s">
        <v>136</v>
      </c>
      <c r="D27" s="548"/>
      <c r="E27" s="58"/>
      <c r="F27" s="65" t="s">
        <v>837</v>
      </c>
      <c r="G27" s="19"/>
      <c r="I27" s="45">
        <f>+'Attachment H-26'!I150</f>
        <v>828660.84000000008</v>
      </c>
      <c r="J27" s="46"/>
      <c r="K27" s="495"/>
      <c r="L27" s="388"/>
      <c r="R27" s="18"/>
      <c r="S27" s="62"/>
      <c r="T27" s="18"/>
      <c r="U27" s="19"/>
      <c r="V27" s="56"/>
      <c r="W27" s="58"/>
    </row>
    <row r="28" spans="1:23">
      <c r="A28" s="57" t="s">
        <v>137</v>
      </c>
      <c r="C28" s="58" t="s">
        <v>138</v>
      </c>
      <c r="D28" s="548"/>
      <c r="E28" s="58"/>
      <c r="F28" s="65" t="s">
        <v>139</v>
      </c>
      <c r="G28" s="19"/>
      <c r="I28" s="495">
        <f>IF(I27=0,0,I27/I15)</f>
        <v>9.8180556766715842E-3</v>
      </c>
      <c r="J28" s="46"/>
      <c r="K28" s="66">
        <f>I28</f>
        <v>9.8180556766715842E-3</v>
      </c>
      <c r="L28" s="389"/>
      <c r="O28" s="66"/>
      <c r="P28" s="66"/>
      <c r="Q28" s="66"/>
      <c r="R28" s="18"/>
      <c r="S28" s="67"/>
      <c r="T28" s="18"/>
      <c r="U28" s="69"/>
      <c r="V28" s="56"/>
      <c r="W28" s="58"/>
    </row>
    <row r="29" spans="1:23">
      <c r="A29" s="57"/>
      <c r="C29" s="58"/>
      <c r="D29" s="548"/>
      <c r="E29" s="58"/>
      <c r="F29" s="65"/>
      <c r="G29" s="19"/>
      <c r="I29" s="18"/>
      <c r="K29" s="495"/>
      <c r="L29" s="388"/>
      <c r="O29" s="18"/>
      <c r="P29" s="18"/>
      <c r="Q29" s="18"/>
      <c r="R29" s="18"/>
      <c r="V29" s="18"/>
      <c r="W29" s="58"/>
    </row>
    <row r="30" spans="1:23">
      <c r="A30" s="57" t="s">
        <v>140</v>
      </c>
      <c r="C30" s="58" t="s">
        <v>181</v>
      </c>
      <c r="D30" s="548"/>
      <c r="E30" s="58"/>
      <c r="F30" s="65" t="s">
        <v>838</v>
      </c>
      <c r="G30" s="19"/>
      <c r="I30" s="45">
        <f>-'Attachment H-26'!I18</f>
        <v>-116923.8899999999</v>
      </c>
      <c r="K30" s="495"/>
      <c r="L30" s="388"/>
      <c r="O30" s="18"/>
      <c r="P30" s="18"/>
      <c r="Q30" s="18"/>
      <c r="R30" s="18"/>
      <c r="V30" s="18"/>
      <c r="W30" s="58"/>
    </row>
    <row r="31" spans="1:23">
      <c r="A31" s="57" t="s">
        <v>143</v>
      </c>
      <c r="C31" s="58" t="s">
        <v>407</v>
      </c>
      <c r="D31" s="548"/>
      <c r="E31" s="58"/>
      <c r="F31" s="65" t="s">
        <v>176</v>
      </c>
      <c r="G31" s="19"/>
      <c r="I31" s="494">
        <f>IF(I30=0,0,I30/I15)</f>
        <v>-1.3853258251627081E-3</v>
      </c>
      <c r="K31" s="495">
        <f>+I31</f>
        <v>-1.3853258251627081E-3</v>
      </c>
      <c r="L31" s="388"/>
      <c r="O31" s="18"/>
      <c r="P31" s="18"/>
      <c r="Q31" s="18"/>
      <c r="R31" s="18"/>
      <c r="V31" s="18"/>
      <c r="W31" s="58"/>
    </row>
    <row r="32" spans="1:23">
      <c r="A32" s="57"/>
      <c r="C32" s="58"/>
      <c r="D32" s="548"/>
      <c r="E32" s="58"/>
      <c r="F32" s="65"/>
      <c r="G32" s="19"/>
      <c r="I32" s="18"/>
      <c r="K32" s="495"/>
      <c r="L32" s="388"/>
      <c r="O32" s="18"/>
      <c r="P32" s="18"/>
      <c r="Q32" s="18"/>
      <c r="R32" s="18"/>
      <c r="V32" s="18"/>
      <c r="W32" s="58"/>
    </row>
    <row r="33" spans="1:23">
      <c r="A33" s="71" t="s">
        <v>144</v>
      </c>
      <c r="B33" s="72"/>
      <c r="C33" s="63" t="s">
        <v>141</v>
      </c>
      <c r="D33" s="549"/>
      <c r="E33" s="63"/>
      <c r="F33" s="73" t="s">
        <v>177</v>
      </c>
      <c r="G33" s="59"/>
      <c r="I33" s="68"/>
      <c r="K33" s="74">
        <f>K20+K24+K28+K31</f>
        <v>1.5294625658372911E-2</v>
      </c>
      <c r="L33" s="390"/>
      <c r="O33" s="74"/>
      <c r="P33" s="74"/>
      <c r="Q33" s="74"/>
      <c r="R33" s="18"/>
      <c r="V33" s="18"/>
      <c r="W33" s="58"/>
    </row>
    <row r="34" spans="1:23">
      <c r="A34" s="57"/>
      <c r="C34" s="58"/>
      <c r="D34" s="548"/>
      <c r="E34" s="58"/>
      <c r="F34" s="65"/>
      <c r="G34" s="19"/>
      <c r="I34" s="18"/>
      <c r="K34" s="495"/>
      <c r="L34" s="388"/>
      <c r="O34" s="18"/>
      <c r="P34" s="18"/>
      <c r="Q34" s="18"/>
      <c r="R34" s="18"/>
      <c r="S34" s="18"/>
      <c r="T34" s="18"/>
      <c r="U34" s="75"/>
      <c r="V34" s="18"/>
      <c r="W34" s="58"/>
    </row>
    <row r="35" spans="1:23">
      <c r="A35" s="57"/>
      <c r="B35" s="76"/>
      <c r="C35" s="18" t="s">
        <v>142</v>
      </c>
      <c r="D35" s="538"/>
      <c r="E35" s="18"/>
      <c r="F35" s="65"/>
      <c r="G35" s="19"/>
      <c r="I35" s="18"/>
      <c r="K35" s="495"/>
      <c r="L35" s="388"/>
      <c r="O35" s="18"/>
      <c r="P35" s="18"/>
      <c r="Q35" s="18"/>
      <c r="R35" s="77"/>
      <c r="S35" s="76"/>
      <c r="V35" s="56"/>
      <c r="W35" s="18" t="s">
        <v>2</v>
      </c>
    </row>
    <row r="36" spans="1:23">
      <c r="A36" s="57" t="s">
        <v>146</v>
      </c>
      <c r="B36" s="76"/>
      <c r="C36" s="18" t="s">
        <v>42</v>
      </c>
      <c r="D36" s="538"/>
      <c r="E36" s="18"/>
      <c r="F36" s="65" t="s">
        <v>839</v>
      </c>
      <c r="G36" s="19"/>
      <c r="I36" s="45">
        <f>+'Attachment H-26'!I165</f>
        <v>1608047.1121855993</v>
      </c>
      <c r="K36" s="495"/>
      <c r="L36" s="388"/>
      <c r="O36" s="18"/>
      <c r="P36" s="18"/>
      <c r="Q36" s="18"/>
      <c r="R36" s="77"/>
      <c r="S36" s="76"/>
      <c r="V36" s="56"/>
      <c r="W36" s="18"/>
    </row>
    <row r="37" spans="1:23">
      <c r="A37" s="57" t="s">
        <v>148</v>
      </c>
      <c r="B37" s="76"/>
      <c r="C37" s="18" t="s">
        <v>145</v>
      </c>
      <c r="D37" s="538"/>
      <c r="E37" s="18"/>
      <c r="F37" s="65" t="s">
        <v>150</v>
      </c>
      <c r="G37" s="19"/>
      <c r="I37" s="495">
        <f>IF(I16=0,0,I36/I16)</f>
        <v>2.064389786103971E-2</v>
      </c>
      <c r="K37" s="66">
        <f>I37</f>
        <v>2.064389786103971E-2</v>
      </c>
      <c r="L37" s="389"/>
      <c r="O37" s="66"/>
      <c r="P37" s="66"/>
      <c r="Q37" s="66"/>
      <c r="R37" s="77"/>
      <c r="S37" s="76"/>
      <c r="T37" s="18"/>
      <c r="U37" s="18"/>
      <c r="V37" s="56"/>
      <c r="W37" s="18"/>
    </row>
    <row r="38" spans="1:23">
      <c r="A38" s="57"/>
      <c r="C38" s="18"/>
      <c r="D38" s="538"/>
      <c r="E38" s="18"/>
      <c r="F38" s="65"/>
      <c r="G38" s="19"/>
      <c r="I38" s="18"/>
      <c r="K38" s="495"/>
      <c r="L38" s="388"/>
      <c r="O38" s="18"/>
      <c r="P38" s="18"/>
      <c r="Q38" s="18"/>
      <c r="R38" s="18"/>
      <c r="T38" s="22"/>
      <c r="U38" s="18"/>
      <c r="V38" s="22"/>
      <c r="W38" s="58"/>
    </row>
    <row r="39" spans="1:23">
      <c r="A39" s="57"/>
      <c r="C39" s="58" t="s">
        <v>43</v>
      </c>
      <c r="D39" s="548"/>
      <c r="E39" s="58"/>
      <c r="F39" s="78"/>
      <c r="G39" s="79"/>
      <c r="K39" s="495"/>
      <c r="L39" s="388"/>
      <c r="R39" s="18"/>
      <c r="T39" s="18"/>
      <c r="U39" s="18"/>
      <c r="V39" s="18"/>
      <c r="W39" s="58"/>
    </row>
    <row r="40" spans="1:23">
      <c r="A40" s="57" t="s">
        <v>151</v>
      </c>
      <c r="C40" s="58" t="s">
        <v>147</v>
      </c>
      <c r="D40" s="548"/>
      <c r="E40" s="58"/>
      <c r="F40" s="65" t="s">
        <v>840</v>
      </c>
      <c r="G40" s="19"/>
      <c r="I40" s="45">
        <f>+'Attachment H-26'!I168</f>
        <v>5319755.441470311</v>
      </c>
      <c r="K40" s="495"/>
      <c r="L40" s="388"/>
      <c r="O40" s="18"/>
      <c r="P40" s="18"/>
      <c r="Q40" s="18"/>
      <c r="R40" s="18"/>
      <c r="T40" s="18"/>
      <c r="U40" s="18"/>
      <c r="V40" s="18"/>
      <c r="W40" s="58"/>
    </row>
    <row r="41" spans="1:23">
      <c r="A41" s="57" t="s">
        <v>174</v>
      </c>
      <c r="B41" s="76"/>
      <c r="C41" s="18" t="s">
        <v>149</v>
      </c>
      <c r="D41" s="538"/>
      <c r="E41" s="18"/>
      <c r="F41" s="65" t="s">
        <v>355</v>
      </c>
      <c r="G41" s="19"/>
      <c r="I41" s="495">
        <f>IF(I16=0,0,I40/I16)</f>
        <v>6.8294322440689753E-2</v>
      </c>
      <c r="K41" s="66">
        <f>I41</f>
        <v>6.8294322440689753E-2</v>
      </c>
      <c r="L41" s="389"/>
      <c r="O41" s="66"/>
      <c r="P41" s="66"/>
      <c r="Q41" s="66"/>
      <c r="R41" s="18"/>
      <c r="U41" s="80"/>
      <c r="V41" s="56"/>
      <c r="W41" s="18"/>
    </row>
    <row r="42" spans="1:23">
      <c r="A42" s="57"/>
      <c r="C42" s="58"/>
      <c r="D42" s="548"/>
      <c r="E42" s="58"/>
      <c r="F42" s="65"/>
      <c r="G42" s="19"/>
      <c r="I42" s="387"/>
      <c r="K42" s="495"/>
      <c r="L42" s="388"/>
      <c r="O42" s="18"/>
      <c r="P42" s="18"/>
      <c r="Q42" s="18"/>
      <c r="R42" s="18"/>
      <c r="S42" s="79"/>
      <c r="T42" s="18"/>
      <c r="U42" s="18"/>
      <c r="V42" s="18"/>
      <c r="W42" s="58"/>
    </row>
    <row r="43" spans="1:23">
      <c r="A43" s="71" t="s">
        <v>175</v>
      </c>
      <c r="B43" s="72"/>
      <c r="C43" s="63" t="s">
        <v>152</v>
      </c>
      <c r="D43" s="549"/>
      <c r="E43" s="63"/>
      <c r="F43" s="73" t="s">
        <v>178</v>
      </c>
      <c r="G43" s="59"/>
      <c r="I43" s="495">
        <f>+I41+I37</f>
        <v>8.8938220301729459E-2</v>
      </c>
      <c r="K43" s="74">
        <f>K37+K41</f>
        <v>8.8938220301729459E-2</v>
      </c>
      <c r="L43" s="390"/>
      <c r="O43" s="74"/>
      <c r="P43" s="74"/>
      <c r="Q43" s="74"/>
      <c r="R43" s="18"/>
      <c r="S43" s="79"/>
      <c r="T43" s="18"/>
      <c r="U43" s="18"/>
      <c r="V43" s="18"/>
      <c r="W43" s="58"/>
    </row>
    <row r="44" spans="1:23">
      <c r="R44" s="81"/>
      <c r="S44" s="81"/>
      <c r="T44" s="18"/>
      <c r="U44" s="18"/>
      <c r="V44" s="18"/>
      <c r="W44" s="58"/>
    </row>
    <row r="45" spans="1:23">
      <c r="A45" s="17"/>
      <c r="H45" s="18"/>
      <c r="R45" s="18"/>
      <c r="S45" s="18"/>
      <c r="T45" s="18"/>
      <c r="U45" s="18"/>
      <c r="V45" s="56"/>
      <c r="W45" s="18" t="s">
        <v>2</v>
      </c>
    </row>
    <row r="46" spans="1:23">
      <c r="S46" s="49"/>
    </row>
    <row r="47" spans="1:23">
      <c r="K47" s="21" t="s">
        <v>349</v>
      </c>
      <c r="S47" s="49"/>
      <c r="U47" s="21" t="s">
        <v>348</v>
      </c>
    </row>
    <row r="48" spans="1:23">
      <c r="A48" s="17"/>
      <c r="C48" s="58"/>
      <c r="D48" s="548"/>
      <c r="E48" s="58"/>
      <c r="F48" s="48" t="str">
        <f>+F3</f>
        <v>Attachment 1</v>
      </c>
      <c r="I48" s="48"/>
      <c r="P48" s="48" t="str">
        <f>+F48</f>
        <v>Attachment 1</v>
      </c>
      <c r="R48" s="18"/>
      <c r="S48" s="49"/>
      <c r="T48" s="18"/>
      <c r="U48" s="22"/>
      <c r="V48" s="18"/>
      <c r="W48" s="58"/>
    </row>
    <row r="49" spans="1:23">
      <c r="A49" s="17"/>
      <c r="C49" s="58"/>
      <c r="D49" s="548"/>
      <c r="E49" s="58"/>
      <c r="F49" s="48" t="str">
        <f>+F4</f>
        <v>Project Revenue Requirement Worksheet</v>
      </c>
      <c r="I49" s="48"/>
      <c r="N49" s="18"/>
      <c r="O49" s="18"/>
      <c r="P49" s="546" t="str">
        <f t="shared" ref="P49:P50" si="0">+F49</f>
        <v>Project Revenue Requirement Worksheet</v>
      </c>
      <c r="Q49" s="18"/>
      <c r="R49" s="18"/>
      <c r="T49" s="18"/>
      <c r="U49" s="22"/>
      <c r="V49" s="18"/>
      <c r="W49" s="58"/>
    </row>
    <row r="50" spans="1:23" ht="14.25" customHeight="1">
      <c r="A50" s="17"/>
      <c r="F50" s="48" t="str">
        <f>+F5</f>
        <v>Transource West Virginia, LLC</v>
      </c>
      <c r="P50" s="546" t="str">
        <f t="shared" si="0"/>
        <v>Transource West Virginia, LLC</v>
      </c>
      <c r="R50" s="18"/>
      <c r="T50" s="18"/>
      <c r="U50" s="22"/>
      <c r="V50" s="18"/>
      <c r="W50" s="58"/>
    </row>
    <row r="51" spans="1:23" s="408" customFormat="1">
      <c r="A51" s="443"/>
      <c r="D51" s="539"/>
      <c r="F51" s="63"/>
      <c r="G51" s="63"/>
      <c r="I51" s="22"/>
      <c r="J51" s="22"/>
      <c r="K51" s="22"/>
      <c r="L51" s="22"/>
      <c r="M51" s="22"/>
      <c r="N51" s="22"/>
      <c r="O51" s="22"/>
      <c r="P51" s="22"/>
      <c r="Q51" s="22"/>
      <c r="R51" s="406"/>
      <c r="S51" s="406"/>
      <c r="T51" s="406"/>
      <c r="U51" s="22"/>
      <c r="V51" s="406"/>
      <c r="W51" s="58"/>
    </row>
    <row r="52" spans="1:23" s="408" customFormat="1" ht="53.25" customHeight="1">
      <c r="A52" s="443"/>
      <c r="C52" s="1219" t="s">
        <v>810</v>
      </c>
      <c r="D52" s="1219"/>
      <c r="E52" s="1219"/>
      <c r="F52" s="1219"/>
      <c r="G52" s="1219"/>
      <c r="H52" s="1219"/>
      <c r="I52" s="1219"/>
      <c r="J52" s="1219"/>
      <c r="K52" s="1219"/>
      <c r="L52" s="442"/>
      <c r="M52" s="22"/>
      <c r="N52" s="22"/>
      <c r="O52" s="22"/>
      <c r="P52" s="22"/>
      <c r="Q52" s="22"/>
      <c r="R52" s="406"/>
      <c r="S52" s="406"/>
      <c r="T52" s="406"/>
      <c r="U52" s="22"/>
      <c r="V52" s="406"/>
      <c r="W52" s="58"/>
    </row>
    <row r="53" spans="1:23" s="408" customFormat="1" ht="28.5" customHeight="1">
      <c r="A53" s="443"/>
      <c r="C53" s="1220" t="s">
        <v>745</v>
      </c>
      <c r="D53" s="1220"/>
      <c r="E53" s="1220"/>
      <c r="F53" s="1220"/>
      <c r="G53" s="1220"/>
      <c r="H53" s="1220"/>
      <c r="I53" s="1220"/>
      <c r="J53" s="1220"/>
      <c r="K53" s="1220"/>
      <c r="L53" s="22"/>
      <c r="M53" s="22"/>
      <c r="N53" s="22"/>
      <c r="O53" s="22"/>
      <c r="P53" s="22"/>
      <c r="Q53" s="22"/>
      <c r="R53" s="406"/>
      <c r="S53" s="406"/>
      <c r="T53" s="406"/>
      <c r="U53" s="22"/>
      <c r="V53" s="406"/>
      <c r="W53" s="58"/>
    </row>
    <row r="54" spans="1:23">
      <c r="A54" s="17"/>
      <c r="F54" s="63"/>
      <c r="G54" s="63"/>
      <c r="I54" s="22"/>
      <c r="J54" s="22"/>
      <c r="K54" s="22"/>
      <c r="L54" s="22"/>
      <c r="M54" s="22"/>
      <c r="N54" s="22"/>
      <c r="O54" s="22"/>
      <c r="P54" s="22"/>
      <c r="Q54" s="22"/>
      <c r="R54" s="18"/>
      <c r="S54" s="18"/>
      <c r="T54" s="18"/>
      <c r="U54" s="22"/>
      <c r="V54" s="18"/>
      <c r="W54" s="58"/>
    </row>
    <row r="55" spans="1:23">
      <c r="A55" s="17"/>
      <c r="C55" s="82">
        <v>-1</v>
      </c>
      <c r="D55" s="550"/>
      <c r="E55" s="82">
        <v>-2</v>
      </c>
      <c r="F55" s="82">
        <v>-3</v>
      </c>
      <c r="G55" s="82">
        <v>-4</v>
      </c>
      <c r="H55" s="82">
        <v>-5</v>
      </c>
      <c r="I55" s="82">
        <v>-6</v>
      </c>
      <c r="J55" s="82">
        <v>-7</v>
      </c>
      <c r="K55" s="82">
        <v>-8</v>
      </c>
      <c r="L55" s="82"/>
      <c r="M55" s="82">
        <v>-9</v>
      </c>
      <c r="N55" s="82">
        <v>-10</v>
      </c>
      <c r="O55" s="82">
        <v>-11</v>
      </c>
      <c r="P55" s="82">
        <v>-12</v>
      </c>
      <c r="Q55" s="82" t="s">
        <v>312</v>
      </c>
      <c r="R55" s="82">
        <v>-13</v>
      </c>
      <c r="S55" s="210" t="s">
        <v>274</v>
      </c>
      <c r="T55" s="210" t="s">
        <v>275</v>
      </c>
      <c r="U55" s="210" t="s">
        <v>286</v>
      </c>
      <c r="V55" s="18"/>
      <c r="W55" s="58"/>
    </row>
    <row r="56" spans="1:23" ht="53.25" customHeight="1">
      <c r="A56" s="551" t="s">
        <v>154</v>
      </c>
      <c r="B56" s="83"/>
      <c r="C56" s="83" t="s">
        <v>334</v>
      </c>
      <c r="D56" s="552" t="s">
        <v>644</v>
      </c>
      <c r="E56" s="400" t="s">
        <v>603</v>
      </c>
      <c r="F56" s="84" t="s">
        <v>155</v>
      </c>
      <c r="G56" s="84" t="s">
        <v>141</v>
      </c>
      <c r="H56" s="85" t="s">
        <v>156</v>
      </c>
      <c r="I56" s="84" t="s">
        <v>157</v>
      </c>
      <c r="J56" s="84" t="s">
        <v>152</v>
      </c>
      <c r="K56" s="85" t="s">
        <v>158</v>
      </c>
      <c r="L56" s="551" t="s">
        <v>154</v>
      </c>
      <c r="M56" s="84" t="s">
        <v>179</v>
      </c>
      <c r="N56" s="86" t="s">
        <v>159</v>
      </c>
      <c r="O56" s="86" t="s">
        <v>534</v>
      </c>
      <c r="P56" s="86" t="s">
        <v>180</v>
      </c>
      <c r="Q56" s="86" t="s">
        <v>310</v>
      </c>
      <c r="R56" s="86" t="s">
        <v>748</v>
      </c>
      <c r="S56" s="86" t="s">
        <v>186</v>
      </c>
      <c r="T56" s="86" t="s">
        <v>160</v>
      </c>
      <c r="U56" s="86" t="s">
        <v>625</v>
      </c>
      <c r="V56" s="18"/>
      <c r="W56" s="58"/>
    </row>
    <row r="57" spans="1:23" ht="46.5" customHeight="1">
      <c r="A57" s="553"/>
      <c r="B57" s="87"/>
      <c r="C57" s="87"/>
      <c r="D57" s="554"/>
      <c r="E57" s="87"/>
      <c r="F57" s="88" t="s">
        <v>109</v>
      </c>
      <c r="G57" s="88" t="s">
        <v>279</v>
      </c>
      <c r="H57" s="89" t="s">
        <v>161</v>
      </c>
      <c r="I57" s="88" t="s">
        <v>523</v>
      </c>
      <c r="J57" s="225" t="s">
        <v>280</v>
      </c>
      <c r="K57" s="282" t="s">
        <v>162</v>
      </c>
      <c r="L57" s="553"/>
      <c r="M57" s="88" t="s">
        <v>164</v>
      </c>
      <c r="N57" s="282" t="s">
        <v>163</v>
      </c>
      <c r="O57" s="88" t="s">
        <v>242</v>
      </c>
      <c r="P57" s="282" t="s">
        <v>308</v>
      </c>
      <c r="Q57" s="90" t="s">
        <v>311</v>
      </c>
      <c r="R57" s="225" t="s">
        <v>229</v>
      </c>
      <c r="S57" s="90" t="s">
        <v>287</v>
      </c>
      <c r="T57" s="91" t="s">
        <v>604</v>
      </c>
      <c r="U57" s="90" t="s">
        <v>652</v>
      </c>
      <c r="V57" s="18"/>
      <c r="W57" s="58"/>
    </row>
    <row r="58" spans="1:23">
      <c r="A58" s="555"/>
      <c r="B58" s="22"/>
      <c r="C58" s="22"/>
      <c r="D58" s="540"/>
      <c r="E58" s="22"/>
      <c r="F58" s="22"/>
      <c r="G58" s="22"/>
      <c r="H58" s="92"/>
      <c r="I58" s="22"/>
      <c r="J58" s="22"/>
      <c r="K58" s="92"/>
      <c r="L58" s="555"/>
      <c r="M58" s="22"/>
      <c r="N58" s="92"/>
      <c r="O58" s="279"/>
      <c r="P58" s="92"/>
      <c r="Q58" s="92"/>
      <c r="R58" s="22"/>
      <c r="S58" s="224"/>
      <c r="T58" s="18"/>
      <c r="U58" s="93"/>
      <c r="V58" s="18"/>
      <c r="W58" s="58"/>
    </row>
    <row r="59" spans="1:23">
      <c r="A59" s="509" t="s">
        <v>539</v>
      </c>
      <c r="B59" s="94"/>
      <c r="C59" s="558" t="s">
        <v>848</v>
      </c>
      <c r="D59" s="558" t="s">
        <v>645</v>
      </c>
      <c r="E59" s="859" t="s">
        <v>849</v>
      </c>
      <c r="F59" s="569">
        <f>+I15</f>
        <v>84401725.483076915</v>
      </c>
      <c r="G59" s="388">
        <f>$K$33</f>
        <v>1.5294625658372911E-2</v>
      </c>
      <c r="H59" s="265">
        <f>F59*G59</f>
        <v>1290892.796184415</v>
      </c>
      <c r="I59" s="97">
        <f>+I16</f>
        <v>77894548.936923072</v>
      </c>
      <c r="J59" s="388">
        <f>$K$43</f>
        <v>8.8938220301729459E-2</v>
      </c>
      <c r="K59" s="574">
        <f>I59*J59</f>
        <v>6927802.5536559103</v>
      </c>
      <c r="L59" s="509" t="str">
        <f>+A59</f>
        <v>1a</v>
      </c>
      <c r="M59" s="569">
        <f>+'Attachment H-26'!I136</f>
        <v>1348135.8</v>
      </c>
      <c r="N59" s="265">
        <f>H59+K59+M59</f>
        <v>9566831.1498403251</v>
      </c>
      <c r="O59" s="280">
        <v>0</v>
      </c>
      <c r="P59" s="265">
        <f>O59/100*'2-Incentive ROE'!$J$38*I59</f>
        <v>0</v>
      </c>
      <c r="Q59" s="265">
        <f>+N59+P59</f>
        <v>9566831.1498403251</v>
      </c>
      <c r="R59" s="569">
        <v>0</v>
      </c>
      <c r="S59" s="574">
        <f>+N59+P59-R59</f>
        <v>9566831.1498403251</v>
      </c>
      <c r="T59" s="569">
        <f>'Attachment H-26'!D21</f>
        <v>0</v>
      </c>
      <c r="U59" s="265">
        <f>+S59+T59</f>
        <v>9566831.1498403251</v>
      </c>
    </row>
    <row r="60" spans="1:23">
      <c r="A60" s="509" t="s">
        <v>540</v>
      </c>
      <c r="B60" s="94"/>
      <c r="C60" s="95"/>
      <c r="D60" s="558"/>
      <c r="E60" s="96"/>
      <c r="F60" s="1162">
        <v>0</v>
      </c>
      <c r="G60" s="388">
        <f>$K$33</f>
        <v>1.5294625658372911E-2</v>
      </c>
      <c r="H60" s="265">
        <f>F60*G60</f>
        <v>0</v>
      </c>
      <c r="I60" s="97">
        <v>0</v>
      </c>
      <c r="J60" s="388">
        <f>$K$43</f>
        <v>8.8938220301729459E-2</v>
      </c>
      <c r="K60" s="574">
        <f>I60*J60</f>
        <v>0</v>
      </c>
      <c r="L60" s="509" t="str">
        <f>+A60</f>
        <v>1b</v>
      </c>
      <c r="M60" s="569">
        <v>0</v>
      </c>
      <c r="N60" s="265">
        <f>H60+K60+M60</f>
        <v>0</v>
      </c>
      <c r="O60" s="280">
        <v>0</v>
      </c>
      <c r="P60" s="265">
        <f>O60/100*'2-Incentive ROE'!$J$38*I60</f>
        <v>0</v>
      </c>
      <c r="Q60" s="265">
        <f>+N60+P60</f>
        <v>0</v>
      </c>
      <c r="R60" s="569">
        <v>0</v>
      </c>
      <c r="S60" s="574">
        <f>+N60+P60-R60</f>
        <v>0</v>
      </c>
      <c r="T60" s="569">
        <f>'3-Project True-up'!L20</f>
        <v>0</v>
      </c>
      <c r="U60" s="265">
        <f>+S60+T60</f>
        <v>0</v>
      </c>
    </row>
    <row r="61" spans="1:23" s="539" customFormat="1">
      <c r="A61" s="513">
        <v>2</v>
      </c>
      <c r="B61" s="514"/>
      <c r="C61" s="514" t="s">
        <v>647</v>
      </c>
      <c r="D61" s="514"/>
      <c r="E61" s="534"/>
      <c r="F61" s="536">
        <f>+F59+F60</f>
        <v>84401725.483076915</v>
      </c>
      <c r="G61" s="507"/>
      <c r="H61" s="508">
        <f>+H59+H60</f>
        <v>1290892.796184415</v>
      </c>
      <c r="I61" s="535">
        <f>+I59+I60</f>
        <v>77894548.936923072</v>
      </c>
      <c r="J61" s="507"/>
      <c r="K61" s="508">
        <f>+K59+K60</f>
        <v>6927802.5536559103</v>
      </c>
      <c r="L61" s="532">
        <f>+A61</f>
        <v>2</v>
      </c>
      <c r="M61" s="536">
        <f>+M59+M60</f>
        <v>1348135.8</v>
      </c>
      <c r="N61" s="508">
        <f>+N59+N60</f>
        <v>9566831.1498403251</v>
      </c>
      <c r="O61" s="511"/>
      <c r="P61" s="508">
        <f t="shared" ref="P61:U61" si="1">+P59+P60</f>
        <v>0</v>
      </c>
      <c r="Q61" s="508">
        <f t="shared" si="1"/>
        <v>9566831.1498403251</v>
      </c>
      <c r="R61" s="536">
        <f t="shared" si="1"/>
        <v>0</v>
      </c>
      <c r="S61" s="508">
        <f t="shared" si="1"/>
        <v>9566831.1498403251</v>
      </c>
      <c r="T61" s="536">
        <f t="shared" si="1"/>
        <v>0</v>
      </c>
      <c r="U61" s="508">
        <f t="shared" si="1"/>
        <v>9566831.1498403251</v>
      </c>
    </row>
    <row r="62" spans="1:23" s="539" customFormat="1">
      <c r="A62" s="509"/>
      <c r="B62" s="557"/>
      <c r="C62" s="557"/>
      <c r="D62" s="557"/>
      <c r="E62" s="526"/>
      <c r="F62" s="545"/>
      <c r="G62" s="594"/>
      <c r="H62" s="574"/>
      <c r="I62" s="527"/>
      <c r="J62" s="594"/>
      <c r="K62" s="574"/>
      <c r="L62" s="509"/>
      <c r="M62" s="545"/>
      <c r="N62" s="574"/>
      <c r="O62" s="510"/>
      <c r="P62" s="574"/>
      <c r="Q62" s="574"/>
      <c r="R62" s="545"/>
      <c r="S62" s="574"/>
      <c r="T62" s="545"/>
      <c r="U62" s="574"/>
    </row>
    <row r="63" spans="1:23">
      <c r="A63" s="509" t="s">
        <v>356</v>
      </c>
      <c r="B63" s="94"/>
      <c r="C63" s="558"/>
      <c r="D63" s="558" t="s">
        <v>646</v>
      </c>
      <c r="E63" s="859"/>
      <c r="F63" s="1162">
        <v>0</v>
      </c>
      <c r="G63" s="388">
        <f>$K$33</f>
        <v>1.5294625658372911E-2</v>
      </c>
      <c r="H63" s="1163">
        <f>F63*G63</f>
        <v>0</v>
      </c>
      <c r="I63" s="97">
        <v>0</v>
      </c>
      <c r="J63" s="388">
        <f>$K$43</f>
        <v>8.8938220301729459E-2</v>
      </c>
      <c r="K63" s="574">
        <f>I63*J63</f>
        <v>0</v>
      </c>
      <c r="L63" s="509" t="str">
        <f t="shared" ref="L63:L69" si="2">+A63</f>
        <v>3a</v>
      </c>
      <c r="M63" s="569">
        <v>0</v>
      </c>
      <c r="N63" s="265">
        <f>H63+K63+M63</f>
        <v>0</v>
      </c>
      <c r="O63" s="280">
        <v>0</v>
      </c>
      <c r="P63" s="265">
        <f>O63/100*'2-Incentive ROE'!$J$38*I63</f>
        <v>0</v>
      </c>
      <c r="Q63" s="265">
        <f>+N63+P63</f>
        <v>0</v>
      </c>
      <c r="R63" s="569">
        <v>0</v>
      </c>
      <c r="S63" s="574">
        <f>+N63+P63-R63</f>
        <v>0</v>
      </c>
      <c r="T63" s="569">
        <f>+'3-Project True-up'!L23</f>
        <v>0</v>
      </c>
      <c r="U63" s="265">
        <f>+S63+T63</f>
        <v>0</v>
      </c>
    </row>
    <row r="64" spans="1:23">
      <c r="A64" s="509" t="s">
        <v>357</v>
      </c>
      <c r="B64" s="94"/>
      <c r="C64" s="558"/>
      <c r="D64" s="558"/>
      <c r="E64" s="96"/>
      <c r="F64" s="1162">
        <v>0</v>
      </c>
      <c r="G64" s="388">
        <f>$K$33</f>
        <v>1.5294625658372911E-2</v>
      </c>
      <c r="H64" s="1163">
        <f>F64*G64</f>
        <v>0</v>
      </c>
      <c r="I64" s="97">
        <v>0</v>
      </c>
      <c r="J64" s="388">
        <f>$K$43</f>
        <v>8.8938220301729459E-2</v>
      </c>
      <c r="K64" s="574">
        <f>I64*J64</f>
        <v>0</v>
      </c>
      <c r="L64" s="509" t="str">
        <f t="shared" si="2"/>
        <v>3b</v>
      </c>
      <c r="M64" s="569">
        <v>0</v>
      </c>
      <c r="N64" s="265">
        <f>H64+K64+M64</f>
        <v>0</v>
      </c>
      <c r="O64" s="280">
        <v>0</v>
      </c>
      <c r="P64" s="265">
        <f>O64/100*'2-Incentive ROE'!$J$38*I64</f>
        <v>0</v>
      </c>
      <c r="Q64" s="265">
        <f>+N64+P64</f>
        <v>0</v>
      </c>
      <c r="R64" s="569">
        <v>0</v>
      </c>
      <c r="S64" s="574">
        <f>+N64+P64-R64</f>
        <v>0</v>
      </c>
      <c r="T64" s="569">
        <f>+'3-Project True-up'!L24</f>
        <v>0</v>
      </c>
      <c r="U64" s="265">
        <f>+S64+T64</f>
        <v>0</v>
      </c>
    </row>
    <row r="65" spans="1:21" s="539" customFormat="1">
      <c r="A65" s="513">
        <v>4</v>
      </c>
      <c r="B65" s="514"/>
      <c r="C65" s="514" t="s">
        <v>648</v>
      </c>
      <c r="D65" s="514"/>
      <c r="E65" s="534"/>
      <c r="F65" s="536">
        <f>+F63+F64</f>
        <v>0</v>
      </c>
      <c r="G65" s="507"/>
      <c r="H65" s="508">
        <f>+H63+H64</f>
        <v>0</v>
      </c>
      <c r="I65" s="535">
        <f>+I63+I64</f>
        <v>0</v>
      </c>
      <c r="J65" s="507"/>
      <c r="K65" s="508">
        <f>+K63+K64</f>
        <v>0</v>
      </c>
      <c r="L65" s="532">
        <f t="shared" si="2"/>
        <v>4</v>
      </c>
      <c r="M65" s="536">
        <f>+M63+M64</f>
        <v>0</v>
      </c>
      <c r="N65" s="508">
        <f>+N63+N64</f>
        <v>0</v>
      </c>
      <c r="O65" s="511"/>
      <c r="P65" s="508">
        <f t="shared" ref="P65:U65" si="3">+P63+P64</f>
        <v>0</v>
      </c>
      <c r="Q65" s="508">
        <f t="shared" si="3"/>
        <v>0</v>
      </c>
      <c r="R65" s="536">
        <f t="shared" si="3"/>
        <v>0</v>
      </c>
      <c r="S65" s="508">
        <f t="shared" si="3"/>
        <v>0</v>
      </c>
      <c r="T65" s="536">
        <f t="shared" si="3"/>
        <v>0</v>
      </c>
      <c r="U65" s="508">
        <f t="shared" si="3"/>
        <v>0</v>
      </c>
    </row>
    <row r="66" spans="1:21" s="539" customFormat="1">
      <c r="A66" s="512"/>
      <c r="B66" s="557"/>
      <c r="C66" s="557"/>
      <c r="D66" s="557"/>
      <c r="E66" s="526"/>
      <c r="F66" s="545"/>
      <c r="G66" s="594"/>
      <c r="H66" s="574"/>
      <c r="I66" s="527"/>
      <c r="J66" s="594"/>
      <c r="K66" s="574"/>
      <c r="L66" s="556"/>
      <c r="M66" s="545"/>
      <c r="N66" s="574"/>
      <c r="O66" s="510"/>
      <c r="P66" s="574"/>
      <c r="Q66" s="574"/>
      <c r="R66" s="545"/>
      <c r="S66" s="574"/>
      <c r="T66" s="545"/>
      <c r="U66" s="574"/>
    </row>
    <row r="67" spans="1:21" s="539" customFormat="1">
      <c r="A67" s="512">
        <f>+A65+1</f>
        <v>5</v>
      </c>
      <c r="B67" s="557"/>
      <c r="C67" s="558"/>
      <c r="D67" s="558"/>
      <c r="E67" s="559"/>
      <c r="F67" s="569"/>
      <c r="G67" s="594"/>
      <c r="H67" s="574"/>
      <c r="I67" s="560"/>
      <c r="J67" s="594"/>
      <c r="K67" s="574"/>
      <c r="L67" s="512">
        <f t="shared" si="2"/>
        <v>5</v>
      </c>
      <c r="M67" s="569"/>
      <c r="N67" s="574"/>
      <c r="O67" s="576"/>
      <c r="P67" s="574"/>
      <c r="Q67" s="574"/>
      <c r="R67" s="569"/>
      <c r="S67" s="574"/>
      <c r="T67" s="569"/>
      <c r="U67" s="574"/>
    </row>
    <row r="68" spans="1:21">
      <c r="A68" s="586"/>
      <c r="B68" s="44"/>
      <c r="C68" s="44"/>
      <c r="D68" s="544"/>
      <c r="E68" s="44"/>
      <c r="F68" s="506"/>
      <c r="G68" s="44"/>
      <c r="H68" s="414"/>
      <c r="I68" s="44"/>
      <c r="J68" s="44"/>
      <c r="K68" s="414"/>
      <c r="L68" s="586"/>
      <c r="M68" s="44"/>
      <c r="N68" s="414"/>
      <c r="O68" s="281"/>
      <c r="P68" s="482"/>
      <c r="Q68" s="482"/>
      <c r="R68" s="209"/>
      <c r="S68" s="208"/>
      <c r="T68" s="44"/>
      <c r="U68" s="266">
        <f>N68+T68</f>
        <v>0</v>
      </c>
    </row>
    <row r="69" spans="1:21">
      <c r="A69" s="692">
        <f>+A67+1</f>
        <v>6</v>
      </c>
      <c r="B69" s="693"/>
      <c r="C69" s="694" t="s">
        <v>165</v>
      </c>
      <c r="D69" s="694"/>
      <c r="E69" s="694"/>
      <c r="F69" s="695">
        <f>+F61+F65+F67</f>
        <v>84401725.483076915</v>
      </c>
      <c r="G69" s="696"/>
      <c r="H69" s="699">
        <f t="shared" ref="H69:I69" si="4">+H61+H65+H67</f>
        <v>1290892.796184415</v>
      </c>
      <c r="I69" s="695">
        <f t="shared" si="4"/>
        <v>77894548.936923072</v>
      </c>
      <c r="J69" s="697"/>
      <c r="K69" s="699">
        <f>+K61+K65+K67</f>
        <v>6927802.5536559103</v>
      </c>
      <c r="L69" s="692">
        <f t="shared" si="2"/>
        <v>6</v>
      </c>
      <c r="M69" s="695">
        <f t="shared" ref="M69" si="5">+M61+M65+M67</f>
        <v>1348135.8</v>
      </c>
      <c r="N69" s="699">
        <f>+N61+N65+N67</f>
        <v>9566831.1498403251</v>
      </c>
      <c r="O69" s="698"/>
      <c r="P69" s="699">
        <f t="shared" ref="P69:U69" si="6">+P61+P65+P67</f>
        <v>0</v>
      </c>
      <c r="Q69" s="699">
        <f t="shared" si="6"/>
        <v>9566831.1498403251</v>
      </c>
      <c r="R69" s="699">
        <f t="shared" si="6"/>
        <v>0</v>
      </c>
      <c r="S69" s="699">
        <f t="shared" si="6"/>
        <v>9566831.1498403251</v>
      </c>
      <c r="T69" s="699">
        <f t="shared" si="6"/>
        <v>0</v>
      </c>
      <c r="U69" s="699">
        <f t="shared" si="6"/>
        <v>9566831.1498403251</v>
      </c>
    </row>
    <row r="70" spans="1:21">
      <c r="M70" s="47"/>
      <c r="N70" s="47"/>
      <c r="O70" s="47"/>
      <c r="P70" s="47"/>
      <c r="Q70" s="47"/>
    </row>
    <row r="71" spans="1:21">
      <c r="M71" s="47"/>
      <c r="N71" s="47"/>
      <c r="O71" s="47"/>
      <c r="P71" s="47"/>
      <c r="Q71" s="47"/>
    </row>
    <row r="72" spans="1:21">
      <c r="A72" s="546"/>
      <c r="L72" s="546"/>
    </row>
    <row r="73" spans="1:21" ht="13.5" thickBot="1">
      <c r="A73" s="533" t="s">
        <v>572</v>
      </c>
      <c r="L73" s="533" t="str">
        <f>+A73</f>
        <v>Notes</v>
      </c>
    </row>
    <row r="74" spans="1:21" s="408" customFormat="1" ht="27.75" customHeight="1">
      <c r="A74" s="98" t="s">
        <v>62</v>
      </c>
      <c r="C74" s="1217" t="s">
        <v>811</v>
      </c>
      <c r="D74" s="1217"/>
      <c r="E74" s="1217"/>
      <c r="F74" s="1217"/>
      <c r="G74" s="1217"/>
      <c r="H74" s="1217"/>
      <c r="I74" s="1217"/>
      <c r="J74" s="1217"/>
      <c r="K74" s="1217"/>
      <c r="L74" s="561" t="str">
        <f>+A74</f>
        <v>A</v>
      </c>
      <c r="M74" s="1217" t="str">
        <f>+C74</f>
        <v>Gross Transmission Plant is that identified on page 2 line 2 of Attachment H-26 inclusive of any CWIP or unamortized abandoned plant included in rate base when authorized by FERC order.</v>
      </c>
      <c r="N74" s="1217"/>
      <c r="O74" s="1217"/>
      <c r="P74" s="1217"/>
      <c r="Q74" s="1217"/>
      <c r="R74" s="1217"/>
      <c r="S74" s="1217"/>
      <c r="T74" s="1217"/>
      <c r="U74" s="1217"/>
    </row>
    <row r="75" spans="1:21" ht="29.25" customHeight="1">
      <c r="A75" s="98" t="s">
        <v>63</v>
      </c>
      <c r="C75" s="1217" t="s">
        <v>812</v>
      </c>
      <c r="D75" s="1217"/>
      <c r="E75" s="1217"/>
      <c r="F75" s="1217"/>
      <c r="G75" s="1217"/>
      <c r="H75" s="1217"/>
      <c r="I75" s="1217"/>
      <c r="J75" s="1217"/>
      <c r="K75" s="1217"/>
      <c r="L75" s="561" t="str">
        <f t="shared" ref="L75:L82" si="7">+A75</f>
        <v>B</v>
      </c>
      <c r="M75" s="1217" t="str">
        <f t="shared" ref="M75:M82" si="8">+C75</f>
        <v>Net Plant is that identified on page 2 line 14 of Attachment H-26 inclusive of any CWIP or unamortized Abandoned Plant included in rate base when authorized by FERC order less any prefunded AFUDC, if applicable.</v>
      </c>
      <c r="N75" s="1217"/>
      <c r="O75" s="1217"/>
      <c r="P75" s="1217"/>
      <c r="Q75" s="1217"/>
      <c r="R75" s="1217"/>
      <c r="S75" s="1217"/>
      <c r="T75" s="1217"/>
      <c r="U75" s="1217"/>
    </row>
    <row r="76" spans="1:21" s="408" customFormat="1" ht="15" customHeight="1">
      <c r="A76" s="98" t="s">
        <v>64</v>
      </c>
      <c r="B76" s="475"/>
      <c r="C76" s="1217" t="s">
        <v>710</v>
      </c>
      <c r="D76" s="1217"/>
      <c r="E76" s="1217"/>
      <c r="F76" s="1217"/>
      <c r="G76" s="1217"/>
      <c r="H76" s="1217"/>
      <c r="I76" s="1217"/>
      <c r="J76" s="1217"/>
      <c r="K76" s="1217"/>
      <c r="L76" s="561" t="str">
        <f t="shared" si="7"/>
        <v>C</v>
      </c>
      <c r="M76" s="1217" t="str">
        <f t="shared" si="8"/>
        <v>General and Intangible Depreciation and Amortization Expense includes all expense not directly associated with a project, which is entered on page 3 , column 9.</v>
      </c>
      <c r="N76" s="1217"/>
      <c r="O76" s="1217"/>
      <c r="P76" s="1217"/>
      <c r="Q76" s="1217"/>
      <c r="R76" s="1217"/>
      <c r="S76" s="1217"/>
      <c r="T76" s="1217"/>
      <c r="U76" s="1217"/>
    </row>
    <row r="77" spans="1:21" ht="30" customHeight="1">
      <c r="A77" s="98" t="s">
        <v>65</v>
      </c>
      <c r="C77" s="1217" t="s">
        <v>537</v>
      </c>
      <c r="D77" s="1217"/>
      <c r="E77" s="1217"/>
      <c r="F77" s="1217"/>
      <c r="G77" s="1217"/>
      <c r="H77" s="1217"/>
      <c r="I77" s="1217"/>
      <c r="J77" s="1217"/>
      <c r="K77" s="1217"/>
      <c r="L77" s="561" t="str">
        <f t="shared" si="7"/>
        <v>D</v>
      </c>
      <c r="M77" s="1217" t="str">
        <f t="shared" si="8"/>
        <v xml:space="preserve">Project Gross Plant is the total capital investment including CWIP for the project calculated from Company books and records in the same method as the gross plant value in line 1.  This value includes subsequent capital investments required to maintain the facilities to their original capabilities. </v>
      </c>
      <c r="N77" s="1217"/>
      <c r="O77" s="1217"/>
      <c r="P77" s="1217"/>
      <c r="Q77" s="1217"/>
      <c r="R77" s="1217"/>
      <c r="S77" s="1217"/>
      <c r="T77" s="1217"/>
      <c r="U77" s="1217"/>
    </row>
    <row r="78" spans="1:21" ht="29.25" customHeight="1">
      <c r="A78" s="98" t="s">
        <v>66</v>
      </c>
      <c r="C78" s="1217" t="s">
        <v>605</v>
      </c>
      <c r="D78" s="1217"/>
      <c r="E78" s="1217"/>
      <c r="F78" s="1217"/>
      <c r="G78" s="1217"/>
      <c r="H78" s="1217"/>
      <c r="I78" s="1217"/>
      <c r="J78" s="1217"/>
      <c r="K78" s="1217"/>
      <c r="L78" s="561" t="str">
        <f t="shared" si="7"/>
        <v>E</v>
      </c>
      <c r="M78" s="1217" t="str">
        <f t="shared" si="8"/>
        <v>Project Net Plant is the Project Gross Plant Identified in Column 3 less the associated Accumulated Depreciation plus CWIP in rate base if applicable and Unamortized Abandoned Plant.</v>
      </c>
      <c r="N78" s="1217"/>
      <c r="O78" s="1217"/>
      <c r="P78" s="1217"/>
      <c r="Q78" s="1217"/>
      <c r="R78" s="1217"/>
      <c r="S78" s="1217"/>
      <c r="T78" s="1217"/>
      <c r="U78" s="1217"/>
    </row>
    <row r="79" spans="1:21" ht="27" customHeight="1">
      <c r="A79" s="98" t="s">
        <v>67</v>
      </c>
      <c r="C79" s="1217" t="s">
        <v>813</v>
      </c>
      <c r="D79" s="1217"/>
      <c r="E79" s="1217"/>
      <c r="F79" s="1217"/>
      <c r="G79" s="1217"/>
      <c r="H79" s="1217"/>
      <c r="I79" s="1217"/>
      <c r="J79" s="1217"/>
      <c r="K79" s="1217"/>
      <c r="L79" s="561" t="str">
        <f t="shared" si="7"/>
        <v>F</v>
      </c>
      <c r="M79" s="1217" t="str">
        <f t="shared" si="8"/>
        <v>Project Depreciation Expense is the actual value booked for the project (excluding General and Intangible depreciation) at Attachment H-26, page 3, line 19, plus amortization of Abandoned Plant at Attachment H-26, page 3, line 21.</v>
      </c>
      <c r="N79" s="1217"/>
      <c r="O79" s="1217"/>
      <c r="P79" s="1217"/>
      <c r="Q79" s="1217"/>
      <c r="R79" s="1217"/>
      <c r="S79" s="1217"/>
      <c r="T79" s="1217"/>
      <c r="U79" s="1217"/>
    </row>
    <row r="80" spans="1:21">
      <c r="A80" s="481" t="s">
        <v>68</v>
      </c>
      <c r="C80" s="480" t="s">
        <v>538</v>
      </c>
      <c r="D80" s="608"/>
      <c r="E80" s="480"/>
      <c r="F80" s="480"/>
      <c r="G80" s="480"/>
      <c r="H80" s="480"/>
      <c r="I80" s="480"/>
      <c r="J80" s="480"/>
      <c r="K80" s="480"/>
      <c r="L80" s="561" t="str">
        <f t="shared" si="7"/>
        <v>G</v>
      </c>
      <c r="M80" s="1217" t="str">
        <f t="shared" si="8"/>
        <v>Requires approval by FERC of incentive return applicable to the specified project(s).</v>
      </c>
      <c r="N80" s="1217"/>
      <c r="O80" s="1217"/>
      <c r="P80" s="1217"/>
      <c r="Q80" s="1217"/>
      <c r="R80" s="1217"/>
      <c r="S80" s="1217"/>
      <c r="T80" s="1217"/>
      <c r="U80" s="1217"/>
    </row>
    <row r="81" spans="1:21" ht="25.5" customHeight="1">
      <c r="A81" s="98" t="s">
        <v>69</v>
      </c>
      <c r="C81" s="1218" t="s">
        <v>783</v>
      </c>
      <c r="D81" s="1218"/>
      <c r="E81" s="1218"/>
      <c r="F81" s="1218"/>
      <c r="G81" s="1218"/>
      <c r="H81" s="1218"/>
      <c r="I81" s="1218"/>
      <c r="J81" s="1218"/>
      <c r="K81" s="1218"/>
      <c r="L81" s="561" t="str">
        <f t="shared" si="7"/>
        <v>H</v>
      </c>
      <c r="M81" s="1217" t="str">
        <f t="shared" si="8"/>
        <v>The Competitive Concession is the reduction in revenue, if any, that the company agreed to, for instance, to be selected to build facilities as the result of a competitive process and equals the amount by which the  annual revenue requirement is reduced from the ceiling rate.</v>
      </c>
      <c r="N81" s="1217"/>
      <c r="O81" s="1217"/>
      <c r="P81" s="1217"/>
      <c r="Q81" s="1217"/>
      <c r="R81" s="1217"/>
      <c r="S81" s="1217"/>
      <c r="T81" s="1217"/>
      <c r="U81" s="1217"/>
    </row>
    <row r="82" spans="1:21">
      <c r="A82" s="98" t="s">
        <v>70</v>
      </c>
      <c r="C82" s="1218" t="s">
        <v>651</v>
      </c>
      <c r="D82" s="1218"/>
      <c r="E82" s="1218"/>
      <c r="F82" s="1218"/>
      <c r="G82" s="1218"/>
      <c r="H82" s="1218"/>
      <c r="I82" s="1218"/>
      <c r="J82" s="1218"/>
      <c r="K82" s="1218"/>
      <c r="L82" s="561" t="str">
        <f t="shared" si="7"/>
        <v>I</v>
      </c>
      <c r="M82" s="1217" t="str">
        <f t="shared" si="8"/>
        <v>True-Up Adjustment is calculated on the Project True-up Schedule for the relevant true-up year.</v>
      </c>
      <c r="N82" s="1217"/>
      <c r="O82" s="1217"/>
      <c r="P82" s="1217"/>
      <c r="Q82" s="1217"/>
      <c r="R82" s="1217"/>
      <c r="S82" s="1217"/>
      <c r="T82" s="1217"/>
      <c r="U82" s="1217"/>
    </row>
    <row r="83" spans="1:21" ht="15.75" customHeight="1">
      <c r="A83" s="98"/>
      <c r="C83" s="1217"/>
      <c r="D83" s="1217"/>
      <c r="E83" s="1217"/>
      <c r="F83" s="1217"/>
      <c r="G83" s="1217"/>
      <c r="H83" s="1217"/>
      <c r="I83" s="1217"/>
      <c r="J83" s="1217"/>
      <c r="K83" s="1217"/>
      <c r="L83" s="441"/>
      <c r="M83" s="480"/>
      <c r="N83" s="480"/>
      <c r="O83" s="480"/>
      <c r="P83" s="480"/>
      <c r="Q83" s="480"/>
      <c r="R83" s="480"/>
      <c r="S83" s="480"/>
    </row>
    <row r="85" spans="1:21">
      <c r="C85" s="318"/>
      <c r="D85" s="589"/>
    </row>
    <row r="86" spans="1:21">
      <c r="C86" s="318"/>
      <c r="D86" s="589"/>
    </row>
  </sheetData>
  <customSheetViews>
    <customSheetView guid="{63AFAF34-E340-4B5E-A289-FFB7051CA9B6}" showPageBreaks="1" printArea="1">
      <selection activeCell="T59" sqref="T59"/>
      <rowBreaks count="1" manualBreakCount="1">
        <brk id="45" max="18" man="1"/>
      </rowBreaks>
      <colBreaks count="1" manualBreakCount="1">
        <brk id="11" max="79" man="1"/>
      </colBreaks>
      <pageMargins left="0.75" right="0.25" top="0.75" bottom="0.75" header="0.3" footer="0.3"/>
      <pageSetup scale="61" fitToWidth="2" fitToHeight="2" orientation="landscape" r:id="rId1"/>
    </customSheetView>
    <customSheetView guid="{F04A2B9A-C6FE-4FEB-AD1E-2CF9AC309BE4}" scale="50" showPageBreaks="1" printArea="1" view="pageBreakPreview">
      <selection activeCell="G20" sqref="G20"/>
      <rowBreaks count="1" manualBreakCount="1">
        <brk id="50" max="13" man="1"/>
      </rowBreaks>
      <pageMargins left="0.56999999999999995" right="0.3" top="0.77" bottom="0.75" header="0.5" footer="0.5"/>
      <printOptions horizontalCentered="1"/>
      <pageSetup scale="43" fitToHeight="0" orientation="landscape" verticalDpi="300" r:id="rId2"/>
      <headerFooter alignWithMargins="0"/>
    </customSheetView>
  </customSheetViews>
  <mergeCells count="20">
    <mergeCell ref="M74:U74"/>
    <mergeCell ref="M75:U75"/>
    <mergeCell ref="M76:U76"/>
    <mergeCell ref="M77:U77"/>
    <mergeCell ref="M78:U78"/>
    <mergeCell ref="C83:K83"/>
    <mergeCell ref="C52:K52"/>
    <mergeCell ref="C77:K77"/>
    <mergeCell ref="C76:K76"/>
    <mergeCell ref="C79:K79"/>
    <mergeCell ref="C78:K78"/>
    <mergeCell ref="C81:K81"/>
    <mergeCell ref="C75:K75"/>
    <mergeCell ref="C74:K74"/>
    <mergeCell ref="C53:K53"/>
    <mergeCell ref="M79:U79"/>
    <mergeCell ref="M80:U80"/>
    <mergeCell ref="M81:U81"/>
    <mergeCell ref="M82:U82"/>
    <mergeCell ref="C82:K82"/>
  </mergeCells>
  <phoneticPr fontId="0" type="noConversion"/>
  <pageMargins left="0.75" right="0.25" top="0.75" bottom="0.75" header="0.3" footer="0.3"/>
  <pageSetup scale="75" fitToWidth="2" fitToHeight="2" orientation="landscape" r:id="rId3"/>
  <rowBreaks count="1" manualBreakCount="1">
    <brk id="46" max="10" man="1"/>
  </rowBreaks>
  <colBreaks count="1" manualBreakCount="1">
    <brk id="11" max="8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6"/>
  <sheetViews>
    <sheetView view="pageBreakPreview" zoomScale="75" zoomScaleNormal="80" zoomScaleSheetLayoutView="75" workbookViewId="0">
      <selection activeCell="B24" sqref="B24"/>
    </sheetView>
  </sheetViews>
  <sheetFormatPr defaultColWidth="8.84375" defaultRowHeight="15.5"/>
  <cols>
    <col min="1" max="1" width="5.53515625" style="262" customWidth="1"/>
    <col min="2" max="2" width="21.53515625" style="226" customWidth="1"/>
    <col min="3" max="3" width="30.53515625" style="226" customWidth="1"/>
    <col min="4" max="4" width="25.07421875" style="226" customWidth="1"/>
    <col min="5" max="5" width="11" style="226" customWidth="1"/>
    <col min="6" max="6" width="6.53515625" style="226" customWidth="1"/>
    <col min="7" max="7" width="4.84375" style="226" customWidth="1"/>
    <col min="8" max="8" width="8.07421875" style="226" customWidth="1"/>
    <col min="9" max="9" width="10" style="232" customWidth="1"/>
    <col min="10" max="10" width="15.84375" style="226" customWidth="1"/>
    <col min="11" max="16384" width="8.84375" style="226"/>
  </cols>
  <sheetData>
    <row r="1" spans="1:10">
      <c r="B1" s="1221" t="s">
        <v>245</v>
      </c>
      <c r="C1" s="1221"/>
      <c r="D1" s="1221"/>
      <c r="E1" s="1221"/>
      <c r="F1" s="1221"/>
      <c r="G1" s="1221"/>
      <c r="H1" s="1221"/>
      <c r="I1" s="1221"/>
      <c r="J1" s="1221"/>
    </row>
    <row r="2" spans="1:10">
      <c r="B2" s="1221" t="s">
        <v>309</v>
      </c>
      <c r="C2" s="1221"/>
      <c r="D2" s="1221"/>
      <c r="E2" s="1221"/>
      <c r="F2" s="1221"/>
      <c r="G2" s="1221"/>
      <c r="H2" s="1221"/>
      <c r="I2" s="1221"/>
      <c r="J2" s="1221"/>
    </row>
    <row r="3" spans="1:10">
      <c r="B3" s="1221" t="str">
        <f>+'Attachment H-26'!D5</f>
        <v>Transource West Virginia, LLC</v>
      </c>
      <c r="C3" s="1221"/>
      <c r="D3" s="1221"/>
      <c r="E3" s="1221"/>
      <c r="F3" s="1221"/>
      <c r="G3" s="1221"/>
      <c r="H3" s="1221"/>
      <c r="I3" s="1221"/>
      <c r="J3" s="1221"/>
    </row>
    <row r="5" spans="1:10">
      <c r="A5" s="262">
        <v>1</v>
      </c>
      <c r="B5" s="226" t="s">
        <v>302</v>
      </c>
      <c r="C5" s="226" t="s">
        <v>819</v>
      </c>
      <c r="I5" s="226"/>
      <c r="J5" s="262">
        <f>+'Attachment H-26'!I104</f>
        <v>71070930.624907658</v>
      </c>
    </row>
    <row r="6" spans="1:10">
      <c r="I6" s="226"/>
      <c r="J6" s="232"/>
    </row>
    <row r="7" spans="1:10" ht="16" thickBot="1">
      <c r="A7" s="228">
        <f>+A5+1</f>
        <v>2</v>
      </c>
      <c r="B7" s="229" t="s">
        <v>246</v>
      </c>
      <c r="C7" s="230"/>
      <c r="D7" s="230"/>
      <c r="E7" s="230"/>
      <c r="F7" s="230"/>
      <c r="G7" s="230"/>
      <c r="H7" s="230"/>
      <c r="I7" s="231" t="s">
        <v>48</v>
      </c>
      <c r="J7" s="232"/>
    </row>
    <row r="8" spans="1:10">
      <c r="A8" s="228"/>
      <c r="B8" s="233"/>
      <c r="C8" s="230"/>
      <c r="D8" s="230"/>
      <c r="E8" s="230"/>
      <c r="F8" s="230"/>
      <c r="G8" s="230"/>
      <c r="H8" s="234" t="s">
        <v>57</v>
      </c>
      <c r="I8" s="230"/>
      <c r="J8" s="232"/>
    </row>
    <row r="9" spans="1:10" ht="16" thickBot="1">
      <c r="A9" s="228"/>
      <c r="B9" s="233"/>
      <c r="C9" s="230"/>
      <c r="D9" s="230"/>
      <c r="E9" s="235" t="s">
        <v>48</v>
      </c>
      <c r="F9" s="235" t="s">
        <v>58</v>
      </c>
      <c r="G9" s="230"/>
      <c r="H9" s="235"/>
      <c r="I9" s="235" t="s">
        <v>59</v>
      </c>
      <c r="J9" s="232"/>
    </row>
    <row r="10" spans="1:10">
      <c r="A10" s="228">
        <f>+A7+1</f>
        <v>3</v>
      </c>
      <c r="B10" s="229" t="s">
        <v>236</v>
      </c>
      <c r="C10" s="30" t="s">
        <v>820</v>
      </c>
      <c r="D10" s="236"/>
      <c r="E10" s="468">
        <f>+'Attachment H-26'!D202</f>
        <v>28454343.053076919</v>
      </c>
      <c r="F10" s="470">
        <f>+'Attachment H-26'!E202</f>
        <v>0.39097704122951693</v>
      </c>
      <c r="G10" s="471"/>
      <c r="H10" s="474">
        <f>+'Attachment H-26'!G202</f>
        <v>2.7888962627593959E-2</v>
      </c>
      <c r="I10" s="472">
        <f>F10*H10</f>
        <v>1.090394409109726E-2</v>
      </c>
      <c r="J10" s="232"/>
    </row>
    <row r="11" spans="1:10">
      <c r="A11" s="228">
        <f>+A10+1</f>
        <v>4</v>
      </c>
      <c r="B11" s="229" t="s">
        <v>303</v>
      </c>
      <c r="C11" s="30" t="s">
        <v>820</v>
      </c>
      <c r="D11" s="236"/>
      <c r="E11" s="468">
        <f>+'Attachment H-26'!D203</f>
        <v>0</v>
      </c>
      <c r="F11" s="470">
        <f>+'Attachment H-26'!E203</f>
        <v>0</v>
      </c>
      <c r="G11" s="471"/>
      <c r="H11" s="474">
        <f>+'Attachment H-26'!G203</f>
        <v>0</v>
      </c>
      <c r="I11" s="472">
        <f>F11*H11</f>
        <v>0</v>
      </c>
      <c r="J11" s="232"/>
    </row>
    <row r="12" spans="1:10" ht="31.5" thickBot="1">
      <c r="A12" s="228">
        <f>+A11+1</f>
        <v>5</v>
      </c>
      <c r="B12" s="229" t="s">
        <v>276</v>
      </c>
      <c r="C12" s="30" t="s">
        <v>821</v>
      </c>
      <c r="D12" s="275" t="s">
        <v>822</v>
      </c>
      <c r="E12" s="468">
        <f>+'Attachment H-26'!D204</f>
        <v>44323186.194153853</v>
      </c>
      <c r="F12" s="470">
        <f>+'Attachment H-26'!E204</f>
        <v>0.60902295877048307</v>
      </c>
      <c r="G12" s="471"/>
      <c r="H12" s="474">
        <f>+'Attachment H-26'!G204+0.01</f>
        <v>0.115</v>
      </c>
      <c r="I12" s="473">
        <f>F12*H12</f>
        <v>7.0037640258605552E-2</v>
      </c>
      <c r="J12" s="232"/>
    </row>
    <row r="13" spans="1:10">
      <c r="A13" s="228">
        <f>+A12+1</f>
        <v>6</v>
      </c>
      <c r="B13" s="233" t="s">
        <v>552</v>
      </c>
      <c r="C13" s="237"/>
      <c r="D13" s="237"/>
      <c r="E13" s="468">
        <f>SUM(E10:E12)</f>
        <v>72777529.247230768</v>
      </c>
      <c r="F13" s="227" t="s">
        <v>2</v>
      </c>
      <c r="G13" s="227"/>
      <c r="H13" s="469"/>
      <c r="I13" s="472">
        <f>SUM(I10:I12)</f>
        <v>8.0941584349702805E-2</v>
      </c>
      <c r="J13" s="232"/>
    </row>
    <row r="14" spans="1:10">
      <c r="A14" s="228">
        <f t="shared" ref="A14:A38" si="0">+A13+1</f>
        <v>7</v>
      </c>
      <c r="B14" s="233" t="s">
        <v>253</v>
      </c>
      <c r="C14" s="237"/>
      <c r="D14" s="237"/>
      <c r="E14" s="238"/>
      <c r="F14" s="230"/>
      <c r="G14" s="230"/>
      <c r="H14" s="230"/>
      <c r="I14" s="483"/>
      <c r="J14" s="262">
        <f>+I13*J5</f>
        <v>5752593.7259878395</v>
      </c>
    </row>
    <row r="15" spans="1:10">
      <c r="A15" s="228"/>
      <c r="I15" s="484"/>
      <c r="J15" s="484"/>
    </row>
    <row r="16" spans="1:10">
      <c r="A16" s="228">
        <f>+A14+1</f>
        <v>8</v>
      </c>
      <c r="B16" s="233" t="s">
        <v>40</v>
      </c>
      <c r="C16" s="239"/>
      <c r="D16" s="239"/>
      <c r="E16" s="230"/>
      <c r="F16" s="230"/>
      <c r="G16" s="237"/>
      <c r="H16" s="240"/>
      <c r="I16" s="483"/>
      <c r="J16" s="484"/>
    </row>
    <row r="17" spans="1:10">
      <c r="A17" s="228">
        <f t="shared" si="0"/>
        <v>9</v>
      </c>
      <c r="B17" s="241" t="s">
        <v>307</v>
      </c>
      <c r="C17" s="230"/>
      <c r="D17" s="500"/>
      <c r="E17" s="703">
        <f>IF('Attachment H-26'!D236&gt;0,1-(((1-'Attachment H-26'!D237)*(1-'Attachment H-26'!D236))/(1-'Attachment H-26'!D236*'Attachment H-26'!D237*'Attachment H-26'!D238)),0)</f>
        <v>0.26134999999999997</v>
      </c>
      <c r="F17" s="703"/>
      <c r="G17" s="237"/>
      <c r="H17" s="240"/>
      <c r="I17" s="483"/>
      <c r="J17" s="484"/>
    </row>
    <row r="18" spans="1:10">
      <c r="A18" s="228">
        <f t="shared" si="0"/>
        <v>10</v>
      </c>
      <c r="B18" s="237" t="s">
        <v>41</v>
      </c>
      <c r="C18" s="230"/>
      <c r="D18" s="500"/>
      <c r="E18" s="703">
        <f>IF(I13&gt;0,(E17/(1-E17))*(1-I10/I13),0)</f>
        <v>0.30615658607124063</v>
      </c>
      <c r="F18" s="230"/>
      <c r="G18" s="237"/>
      <c r="H18" s="240"/>
      <c r="I18" s="483"/>
      <c r="J18" s="484"/>
    </row>
    <row r="19" spans="1:10">
      <c r="A19" s="228">
        <f t="shared" si="0"/>
        <v>11</v>
      </c>
      <c r="B19" s="239" t="s">
        <v>304</v>
      </c>
      <c r="C19" s="239"/>
      <c r="D19" s="500"/>
      <c r="E19" s="230"/>
      <c r="F19" s="230"/>
      <c r="G19" s="237"/>
      <c r="H19" s="240"/>
      <c r="I19" s="483"/>
      <c r="J19" s="484"/>
    </row>
    <row r="20" spans="1:10">
      <c r="A20" s="228">
        <f t="shared" si="0"/>
        <v>12</v>
      </c>
      <c r="B20" s="242" t="s">
        <v>817</v>
      </c>
      <c r="C20" s="239"/>
      <c r="D20" s="239"/>
      <c r="E20" s="230"/>
      <c r="F20" s="230"/>
      <c r="G20" s="237"/>
      <c r="H20" s="240"/>
      <c r="I20" s="483"/>
      <c r="J20" s="484"/>
    </row>
    <row r="21" spans="1:10">
      <c r="A21" s="228">
        <f t="shared" si="0"/>
        <v>13</v>
      </c>
      <c r="B21" s="243" t="str">
        <f>"      1 / (1 - T)  =  (from line "&amp;A17&amp;")"</f>
        <v xml:space="preserve">      1 / (1 - T)  =  (from line 9)</v>
      </c>
      <c r="C21" s="239"/>
      <c r="D21" s="239"/>
      <c r="E21" s="703">
        <f>IF(E17&gt;0,1/(1-E17),0)</f>
        <v>1.3538211602247343</v>
      </c>
      <c r="F21" s="230"/>
      <c r="G21" s="237"/>
      <c r="H21" s="240"/>
      <c r="I21" s="483"/>
      <c r="J21" s="484"/>
    </row>
    <row r="22" spans="1:10">
      <c r="A22" s="228">
        <f t="shared" si="0"/>
        <v>14</v>
      </c>
      <c r="B22" s="242" t="s">
        <v>247</v>
      </c>
      <c r="C22" s="239"/>
      <c r="D22" s="239" t="s">
        <v>815</v>
      </c>
      <c r="E22" s="1164">
        <f>+'Attachment H-26'!D158</f>
        <v>0</v>
      </c>
      <c r="F22" s="230"/>
      <c r="G22" s="237"/>
      <c r="H22" s="240"/>
      <c r="I22" s="483"/>
      <c r="J22" s="484"/>
    </row>
    <row r="23" spans="1:10">
      <c r="A23" s="228">
        <f t="shared" si="0"/>
        <v>15</v>
      </c>
      <c r="B23" s="242" t="s">
        <v>248</v>
      </c>
      <c r="C23" s="239"/>
      <c r="D23" s="239" t="s">
        <v>816</v>
      </c>
      <c r="E23" s="1164">
        <f>+'Attachment H-26'!D159</f>
        <v>0</v>
      </c>
      <c r="F23" s="230"/>
      <c r="G23" s="237"/>
      <c r="H23" s="245"/>
      <c r="I23" s="483"/>
      <c r="J23" s="484"/>
    </row>
    <row r="24" spans="1:10">
      <c r="A24" s="228">
        <f t="shared" si="0"/>
        <v>16</v>
      </c>
      <c r="B24" s="242" t="s">
        <v>305</v>
      </c>
      <c r="C24" s="239"/>
      <c r="D24" s="239" t="s">
        <v>841</v>
      </c>
      <c r="E24" s="1164">
        <f>+'Attachment H-26'!D160</f>
        <v>0</v>
      </c>
      <c r="F24" s="230"/>
      <c r="G24" s="237"/>
      <c r="H24" s="240"/>
      <c r="I24" s="483"/>
      <c r="J24" s="484"/>
    </row>
    <row r="25" spans="1:10">
      <c r="A25" s="228">
        <f t="shared" si="0"/>
        <v>17</v>
      </c>
      <c r="B25" s="243" t="str">
        <f>"Income Tax Calculation = line "&amp;A14&amp;" * line "&amp;A18&amp;""</f>
        <v>Income Tax Calculation = line 7 * line 10</v>
      </c>
      <c r="C25" s="246"/>
      <c r="E25" s="1165"/>
      <c r="F25" s="247"/>
      <c r="G25" s="247"/>
      <c r="H25" s="248"/>
      <c r="I25" s="485">
        <f>+E18*J14</f>
        <v>1761194.4562032749</v>
      </c>
      <c r="J25" s="484"/>
    </row>
    <row r="26" spans="1:10">
      <c r="A26" s="228">
        <f t="shared" si="0"/>
        <v>18</v>
      </c>
      <c r="B26" s="236" t="str">
        <f>"ITC adjustment (line "&amp;A21&amp;" * line "&amp;A22&amp;")"</f>
        <v>ITC adjustment (line 13 * line 14)</v>
      </c>
      <c r="C26" s="246"/>
      <c r="D26" s="246"/>
      <c r="E26" s="1165">
        <f>+E$21*E22</f>
        <v>0</v>
      </c>
      <c r="F26" s="247"/>
      <c r="G26" s="249" t="s">
        <v>27</v>
      </c>
      <c r="H26" s="227">
        <f>+'Attachment H-26'!G82</f>
        <v>1</v>
      </c>
      <c r="I26" s="1165">
        <f>+E26*H26</f>
        <v>0</v>
      </c>
      <c r="J26" s="484"/>
    </row>
    <row r="27" spans="1:10">
      <c r="A27" s="228">
        <f t="shared" si="0"/>
        <v>19</v>
      </c>
      <c r="B27" s="236" t="str">
        <f>"Excess Deferred Income Tax Adjustment (line "&amp;A21&amp;" * line "&amp;A23&amp;")"</f>
        <v>Excess Deferred Income Tax Adjustment (line 13 * line 15)</v>
      </c>
      <c r="C27" s="246"/>
      <c r="D27" s="246"/>
      <c r="E27" s="1165">
        <f>+E$21*E23</f>
        <v>0</v>
      </c>
      <c r="F27" s="247"/>
      <c r="G27" s="249" t="s">
        <v>27</v>
      </c>
      <c r="H27" s="227">
        <f>H26</f>
        <v>1</v>
      </c>
      <c r="I27" s="1165">
        <f>+E27*H27</f>
        <v>0</v>
      </c>
      <c r="J27" s="484"/>
    </row>
    <row r="28" spans="1:10">
      <c r="A28" s="228">
        <f t="shared" si="0"/>
        <v>20</v>
      </c>
      <c r="B28" s="236" t="str">
        <f>"Permanent Differences Tax Adjustment (line "&amp;A21&amp;" * "&amp;A24&amp;")"</f>
        <v>Permanent Differences Tax Adjustment (line 13 * 16)</v>
      </c>
      <c r="C28" s="246"/>
      <c r="D28" s="246"/>
      <c r="E28" s="1166">
        <f>+E$21*E24</f>
        <v>0</v>
      </c>
      <c r="F28" s="247"/>
      <c r="G28" s="249" t="s">
        <v>27</v>
      </c>
      <c r="H28" s="227">
        <f>H27</f>
        <v>1</v>
      </c>
      <c r="I28" s="1166">
        <f>+E28*H28</f>
        <v>0</v>
      </c>
      <c r="J28" s="484"/>
    </row>
    <row r="29" spans="1:10">
      <c r="A29" s="228">
        <f t="shared" si="0"/>
        <v>21</v>
      </c>
      <c r="B29" s="250" t="str">
        <f>"Total Income Taxes (sum lines "&amp;A25&amp;" - "&amp;A28&amp;")"</f>
        <v>Total Income Taxes (sum lines 17 - 20)</v>
      </c>
      <c r="C29" s="236"/>
      <c r="D29" s="236"/>
      <c r="E29" s="244"/>
      <c r="F29" s="247"/>
      <c r="G29" s="247" t="s">
        <v>2</v>
      </c>
      <c r="H29" s="248" t="s">
        <v>2</v>
      </c>
      <c r="I29" s="486">
        <f>SUM(I25:I28)</f>
        <v>1761194.4562032749</v>
      </c>
      <c r="J29" s="262">
        <f>+I29</f>
        <v>1761194.4562032749</v>
      </c>
    </row>
    <row r="30" spans="1:10">
      <c r="A30" s="228"/>
      <c r="I30" s="484"/>
      <c r="J30" s="484"/>
    </row>
    <row r="31" spans="1:10">
      <c r="A31" s="228">
        <f>+A29+1</f>
        <v>22</v>
      </c>
      <c r="B31" s="236" t="s">
        <v>249</v>
      </c>
      <c r="I31" s="484"/>
      <c r="J31" s="262">
        <f>+J29+J14</f>
        <v>7513788.1821911149</v>
      </c>
    </row>
    <row r="32" spans="1:10">
      <c r="A32" s="228"/>
      <c r="I32" s="484"/>
      <c r="J32" s="484"/>
    </row>
    <row r="33" spans="1:10">
      <c r="A33" s="228">
        <f>+A31+1</f>
        <v>23</v>
      </c>
      <c r="B33" s="226" t="s">
        <v>831</v>
      </c>
      <c r="I33" s="484"/>
      <c r="J33" s="262">
        <f>+'Attachment H-26'!I168</f>
        <v>5319755.441470311</v>
      </c>
    </row>
    <row r="34" spans="1:10">
      <c r="A34" s="228">
        <f t="shared" si="0"/>
        <v>24</v>
      </c>
      <c r="B34" s="226" t="s">
        <v>832</v>
      </c>
      <c r="I34" s="484"/>
      <c r="J34" s="262">
        <f>+'Attachment H-26'!I165</f>
        <v>1608047.1121855993</v>
      </c>
    </row>
    <row r="35" spans="1:10">
      <c r="A35" s="228">
        <f t="shared" si="0"/>
        <v>25</v>
      </c>
      <c r="B35" s="236" t="s">
        <v>250</v>
      </c>
      <c r="I35" s="484"/>
      <c r="J35" s="487">
        <f>SUM(J33:J34)</f>
        <v>6927802.5536559103</v>
      </c>
    </row>
    <row r="36" spans="1:10">
      <c r="A36" s="228">
        <f t="shared" si="0"/>
        <v>26</v>
      </c>
      <c r="B36" s="236" t="s">
        <v>251</v>
      </c>
      <c r="I36" s="226"/>
      <c r="J36" s="227">
        <f>+J31-J35</f>
        <v>585985.62853520457</v>
      </c>
    </row>
    <row r="37" spans="1:10">
      <c r="A37" s="228">
        <f t="shared" si="0"/>
        <v>27</v>
      </c>
      <c r="B37" s="226" t="s">
        <v>306</v>
      </c>
      <c r="I37" s="226"/>
      <c r="J37" s="276">
        <f>+J5</f>
        <v>71070930.624907658</v>
      </c>
    </row>
    <row r="38" spans="1:10">
      <c r="A38" s="228">
        <f t="shared" si="0"/>
        <v>28</v>
      </c>
      <c r="B38" s="226" t="s">
        <v>252</v>
      </c>
      <c r="I38" s="226"/>
      <c r="J38" s="472">
        <f>IF(J37=0,0,J36/J37)</f>
        <v>8.2450816864615382E-3</v>
      </c>
    </row>
    <row r="39" spans="1:10">
      <c r="I39" s="226"/>
      <c r="J39" s="232"/>
    </row>
    <row r="40" spans="1:10">
      <c r="A40" s="705" t="s">
        <v>282</v>
      </c>
      <c r="I40" s="226"/>
      <c r="J40" s="232"/>
    </row>
    <row r="41" spans="1:10">
      <c r="A41" s="704" t="s">
        <v>62</v>
      </c>
      <c r="B41" s="262" t="s">
        <v>281</v>
      </c>
      <c r="I41" s="226"/>
      <c r="J41" s="232"/>
    </row>
    <row r="42" spans="1:10">
      <c r="A42" s="704"/>
      <c r="B42" s="226" t="s">
        <v>362</v>
      </c>
      <c r="I42" s="226"/>
      <c r="J42" s="232"/>
    </row>
    <row r="43" spans="1:10">
      <c r="A43" s="704"/>
      <c r="B43" s="226" t="s">
        <v>711</v>
      </c>
      <c r="I43" s="226"/>
      <c r="J43" s="232"/>
    </row>
    <row r="44" spans="1:10">
      <c r="A44" s="704"/>
      <c r="B44" s="226" t="s">
        <v>712</v>
      </c>
      <c r="I44" s="226"/>
      <c r="J44" s="232"/>
    </row>
    <row r="45" spans="1:10">
      <c r="A45" s="704" t="s">
        <v>63</v>
      </c>
      <c r="B45" s="226" t="s">
        <v>283</v>
      </c>
      <c r="I45" s="226"/>
      <c r="J45" s="232"/>
    </row>
    <row r="46" spans="1:10">
      <c r="B46" s="226" t="s">
        <v>818</v>
      </c>
      <c r="I46" s="226"/>
      <c r="J46" s="232"/>
    </row>
  </sheetData>
  <customSheetViews>
    <customSheetView guid="{63AFAF34-E340-4B5E-A289-FFB7051CA9B6}" scale="80">
      <selection activeCell="D9" sqref="D9"/>
      <pageMargins left="0.7" right="0.7" top="0.75" bottom="0.75" header="0.3" footer="0.3"/>
      <pageSetup scale="64" orientation="landscape" r:id="rId1"/>
    </customSheetView>
  </customSheetViews>
  <mergeCells count="3">
    <mergeCell ref="B1:J1"/>
    <mergeCell ref="B2:J2"/>
    <mergeCell ref="B3:J3"/>
  </mergeCells>
  <phoneticPr fontId="0" type="noConversion"/>
  <pageMargins left="0.7" right="0.7" top="0.75" bottom="0.75" header="0.3" footer="0.3"/>
  <pageSetup scale="64"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48"/>
  <sheetViews>
    <sheetView topLeftCell="B1" zoomScaleNormal="100" zoomScaleSheetLayoutView="100" workbookViewId="0">
      <selection activeCell="M13" sqref="M13"/>
    </sheetView>
  </sheetViews>
  <sheetFormatPr defaultColWidth="8.84375" defaultRowHeight="13"/>
  <cols>
    <col min="1" max="1" width="6" style="434" customWidth="1"/>
    <col min="2" max="2" width="28.3046875" style="408" customWidth="1"/>
    <col min="3" max="3" width="12.07421875" style="539" customWidth="1"/>
    <col min="4" max="4" width="11.07421875" style="408" customWidth="1"/>
    <col min="5" max="5" width="14.69140625" style="408" customWidth="1"/>
    <col min="6" max="6" width="14.53515625" style="408" customWidth="1"/>
    <col min="7" max="7" width="15.07421875" style="408" customWidth="1"/>
    <col min="8" max="8" width="13.84375" style="408" customWidth="1"/>
    <col min="9" max="9" width="12" style="408" customWidth="1"/>
    <col min="10" max="10" width="9.53515625" style="408" customWidth="1"/>
    <col min="11" max="11" width="12" style="408" customWidth="1"/>
    <col min="12" max="12" width="10.3046875" style="408" customWidth="1"/>
    <col min="13" max="13" width="13.53515625" style="408" customWidth="1"/>
    <col min="14" max="16384" width="8.84375" style="408"/>
  </cols>
  <sheetData>
    <row r="1" spans="1:13">
      <c r="L1" s="404" t="s">
        <v>443</v>
      </c>
      <c r="M1" s="404"/>
    </row>
    <row r="2" spans="1:13">
      <c r="F2" s="405" t="s">
        <v>188</v>
      </c>
    </row>
    <row r="3" spans="1:13">
      <c r="F3" s="416" t="s">
        <v>607</v>
      </c>
    </row>
    <row r="4" spans="1:13">
      <c r="E4" s="404"/>
      <c r="F4" s="411" t="str">
        <f>+'Attachment H-26'!D5</f>
        <v>Transource West Virginia, LLC</v>
      </c>
      <c r="G4" s="404"/>
      <c r="H4" s="404"/>
      <c r="J4" s="404"/>
      <c r="K4" s="404"/>
      <c r="L4" s="404"/>
      <c r="M4" s="407"/>
    </row>
    <row r="5" spans="1:13">
      <c r="E5" s="404"/>
      <c r="G5" s="406"/>
      <c r="H5" s="406"/>
      <c r="J5" s="406"/>
      <c r="K5" s="406"/>
      <c r="L5" s="406"/>
      <c r="M5" s="407"/>
    </row>
    <row r="6" spans="1:13" ht="70.5" customHeight="1">
      <c r="B6" s="1211" t="s">
        <v>653</v>
      </c>
      <c r="C6" s="1211"/>
      <c r="D6" s="1211"/>
      <c r="E6" s="1211"/>
      <c r="F6" s="1211"/>
      <c r="G6" s="1211"/>
      <c r="H6" s="1211"/>
      <c r="I6" s="1211"/>
      <c r="J6" s="1211"/>
      <c r="K6" s="1211"/>
      <c r="L6" s="1211"/>
      <c r="M6" s="596"/>
    </row>
    <row r="7" spans="1:13" s="415" customFormat="1" ht="27" customHeight="1">
      <c r="A7" s="435"/>
      <c r="B7" s="1220" t="s">
        <v>745</v>
      </c>
      <c r="C7" s="1220"/>
      <c r="D7" s="1220"/>
      <c r="E7" s="1220"/>
      <c r="F7" s="1220"/>
      <c r="G7" s="1220"/>
      <c r="H7" s="1220"/>
      <c r="I7" s="1220"/>
      <c r="J7" s="1220"/>
      <c r="K7" s="412"/>
      <c r="L7" s="412"/>
      <c r="M7" s="412"/>
    </row>
    <row r="8" spans="1:13" s="575" customFormat="1" ht="18" customHeight="1">
      <c r="A8" s="591"/>
      <c r="B8" s="748"/>
      <c r="C8" s="748"/>
      <c r="D8" s="748"/>
      <c r="E8" s="748"/>
      <c r="F8" s="748"/>
      <c r="G8" s="748"/>
      <c r="H8" s="748"/>
      <c r="I8" s="748"/>
      <c r="J8" s="748"/>
      <c r="K8" s="570"/>
      <c r="L8" s="570"/>
      <c r="M8" s="570"/>
    </row>
    <row r="9" spans="1:13" s="415" customFormat="1" ht="15.75" customHeight="1">
      <c r="A9" s="524" t="s">
        <v>658</v>
      </c>
      <c r="B9" s="412"/>
      <c r="C9" s="570"/>
      <c r="D9" s="412"/>
      <c r="E9" s="1228" t="s">
        <v>522</v>
      </c>
      <c r="F9" s="1229"/>
      <c r="G9" s="1223" t="s">
        <v>606</v>
      </c>
      <c r="H9" s="447" t="s">
        <v>521</v>
      </c>
      <c r="I9" s="417"/>
      <c r="J9" s="420"/>
      <c r="K9" s="420"/>
      <c r="L9" s="418"/>
    </row>
    <row r="10" spans="1:13" s="415" customFormat="1" ht="15.75" customHeight="1">
      <c r="A10" s="435">
        <v>1</v>
      </c>
      <c r="B10" s="412" t="s">
        <v>846</v>
      </c>
      <c r="C10" s="570"/>
      <c r="D10" s="412"/>
      <c r="E10" s="1225" t="s">
        <v>328</v>
      </c>
      <c r="F10" s="1227"/>
      <c r="G10" s="1224"/>
      <c r="H10" s="421" t="s">
        <v>609</v>
      </c>
      <c r="I10" s="1225" t="s">
        <v>330</v>
      </c>
      <c r="J10" s="1226"/>
      <c r="K10" s="1226"/>
      <c r="L10" s="1227"/>
    </row>
    <row r="11" spans="1:13" s="415" customFormat="1">
      <c r="A11" s="435">
        <v>2</v>
      </c>
      <c r="B11" s="862">
        <v>2024</v>
      </c>
      <c r="C11" s="578"/>
      <c r="D11" s="412"/>
      <c r="E11" s="422"/>
      <c r="F11" s="422"/>
      <c r="G11" s="872">
        <v>10204008.240321303</v>
      </c>
      <c r="H11" s="423"/>
      <c r="I11" s="422"/>
      <c r="J11" s="422"/>
      <c r="K11" s="422"/>
      <c r="L11" s="422"/>
    </row>
    <row r="12" spans="1:13" s="415" customFormat="1">
      <c r="B12" s="424" t="s">
        <v>62</v>
      </c>
      <c r="C12" s="581"/>
      <c r="D12" s="424" t="s">
        <v>63</v>
      </c>
      <c r="E12" s="421" t="s">
        <v>64</v>
      </c>
      <c r="F12" s="421" t="s">
        <v>65</v>
      </c>
      <c r="G12" s="419" t="s">
        <v>66</v>
      </c>
      <c r="H12" s="425" t="s">
        <v>67</v>
      </c>
      <c r="I12" s="425" t="s">
        <v>68</v>
      </c>
      <c r="J12" s="425" t="s">
        <v>69</v>
      </c>
      <c r="K12" s="446" t="s">
        <v>70</v>
      </c>
      <c r="L12" s="425" t="s">
        <v>71</v>
      </c>
    </row>
    <row r="13" spans="1:13" s="415" customFormat="1">
      <c r="A13" s="435"/>
      <c r="B13" s="422"/>
      <c r="C13" s="579"/>
      <c r="D13" s="419"/>
      <c r="E13" s="419"/>
      <c r="F13" s="438" t="s">
        <v>331</v>
      </c>
      <c r="G13" s="419" t="s">
        <v>613</v>
      </c>
      <c r="H13" s="419"/>
      <c r="I13" s="422"/>
      <c r="J13" s="419" t="s">
        <v>516</v>
      </c>
      <c r="K13" s="422"/>
      <c r="L13" s="422"/>
    </row>
    <row r="14" spans="1:13" s="415" customFormat="1">
      <c r="A14" s="435"/>
      <c r="B14" s="423"/>
      <c r="C14" s="580"/>
      <c r="D14" s="582" t="s">
        <v>337</v>
      </c>
      <c r="E14" s="425"/>
      <c r="F14" s="436" t="s">
        <v>13</v>
      </c>
      <c r="G14" s="425" t="s">
        <v>408</v>
      </c>
      <c r="H14" s="425" t="s">
        <v>516</v>
      </c>
      <c r="I14" s="425" t="s">
        <v>409</v>
      </c>
      <c r="J14" s="425" t="s">
        <v>288</v>
      </c>
      <c r="K14" s="425" t="s">
        <v>350</v>
      </c>
      <c r="L14" s="425"/>
    </row>
    <row r="15" spans="1:13" s="415" customFormat="1">
      <c r="A15" s="435"/>
      <c r="B15" s="425"/>
      <c r="C15" s="582"/>
      <c r="D15" s="582" t="s">
        <v>649</v>
      </c>
      <c r="E15" s="425" t="s">
        <v>332</v>
      </c>
      <c r="F15" s="436" t="s">
        <v>300</v>
      </c>
      <c r="G15" s="425" t="s">
        <v>335</v>
      </c>
      <c r="H15" s="425" t="s">
        <v>332</v>
      </c>
      <c r="I15" s="425" t="s">
        <v>301</v>
      </c>
      <c r="J15" s="425" t="s">
        <v>333</v>
      </c>
      <c r="K15" s="445" t="s">
        <v>513</v>
      </c>
      <c r="L15" s="425" t="s">
        <v>359</v>
      </c>
    </row>
    <row r="16" spans="1:13" s="415" customFormat="1" ht="15.5">
      <c r="A16" s="435"/>
      <c r="B16" s="577" t="s">
        <v>334</v>
      </c>
      <c r="C16" s="577" t="s">
        <v>644</v>
      </c>
      <c r="D16" s="577" t="s">
        <v>650</v>
      </c>
      <c r="E16" s="421" t="s">
        <v>336</v>
      </c>
      <c r="F16" s="436" t="s">
        <v>329</v>
      </c>
      <c r="G16" s="439" t="s">
        <v>610</v>
      </c>
      <c r="H16" s="421" t="s">
        <v>520</v>
      </c>
      <c r="I16" s="421" t="s">
        <v>611</v>
      </c>
      <c r="J16" s="421" t="s">
        <v>517</v>
      </c>
      <c r="K16" s="444" t="s">
        <v>518</v>
      </c>
      <c r="L16" s="421" t="s">
        <v>612</v>
      </c>
    </row>
    <row r="17" spans="1:13" s="415" customFormat="1">
      <c r="A17" s="435">
        <v>3</v>
      </c>
      <c r="B17" s="465" t="s">
        <v>823</v>
      </c>
      <c r="C17" s="607"/>
      <c r="D17" s="432"/>
      <c r="E17" s="448">
        <v>0</v>
      </c>
      <c r="F17" s="461">
        <f>IF(E$29=0,0,E17/E$29)</f>
        <v>0</v>
      </c>
      <c r="G17" s="452">
        <f>IF(G$11=0,0,F17*G$11)</f>
        <v>0</v>
      </c>
      <c r="H17" s="453">
        <v>0</v>
      </c>
      <c r="I17" s="456">
        <f>+H17-G17</f>
        <v>0</v>
      </c>
      <c r="J17" s="456">
        <f>+$J$31*F17</f>
        <v>0</v>
      </c>
      <c r="K17" s="457">
        <f>+D38</f>
        <v>0</v>
      </c>
      <c r="L17" s="531">
        <f>+I17+J17+K17</f>
        <v>0</v>
      </c>
    </row>
    <row r="18" spans="1:13" s="575" customFormat="1">
      <c r="A18" s="590"/>
      <c r="B18" s="597"/>
      <c r="C18" s="597"/>
      <c r="D18" s="515"/>
      <c r="E18" s="516"/>
      <c r="F18" s="517"/>
      <c r="G18" s="518"/>
      <c r="H18" s="518"/>
      <c r="I18" s="519"/>
      <c r="J18" s="519"/>
      <c r="K18" s="519"/>
      <c r="L18" s="519"/>
    </row>
    <row r="19" spans="1:13" s="415" customFormat="1">
      <c r="A19" s="435" t="s">
        <v>654</v>
      </c>
      <c r="B19" s="607" t="s">
        <v>848</v>
      </c>
      <c r="C19" s="607" t="s">
        <v>645</v>
      </c>
      <c r="D19" s="859" t="s">
        <v>849</v>
      </c>
      <c r="E19" s="599">
        <v>9367951.0251056049</v>
      </c>
      <c r="F19" s="462">
        <f>IF(E$29=0,0,E19/E$29)</f>
        <v>1</v>
      </c>
      <c r="G19" s="452">
        <f>IF(G$11=0,0,F19*G$11)</f>
        <v>10204008.240321303</v>
      </c>
      <c r="H19" s="872">
        <f>+'1-Project Rev Req'!U59</f>
        <v>9566831.1498403251</v>
      </c>
      <c r="I19" s="458">
        <f>+H19-G19</f>
        <v>-637177.09048097767</v>
      </c>
      <c r="J19" s="456">
        <f>+$J$31*F19</f>
        <v>-116843.26655064465</v>
      </c>
      <c r="K19" s="459">
        <v>0</v>
      </c>
      <c r="L19" s="602">
        <f>+I19+J19+K19</f>
        <v>-754020.35703162232</v>
      </c>
    </row>
    <row r="20" spans="1:13" s="415" customFormat="1">
      <c r="A20" s="435" t="s">
        <v>655</v>
      </c>
      <c r="B20" s="465"/>
      <c r="C20" s="607"/>
      <c r="D20" s="432"/>
      <c r="E20" s="449">
        <v>0</v>
      </c>
      <c r="F20" s="462">
        <f>IF(E$29=0,0,E20/E$29)</f>
        <v>0</v>
      </c>
      <c r="G20" s="452">
        <f>IF(G$11=0,0,F20*G$11)</f>
        <v>0</v>
      </c>
      <c r="H20" s="454">
        <v>0</v>
      </c>
      <c r="I20" s="458">
        <f>+H20-G20</f>
        <v>0</v>
      </c>
      <c r="J20" s="456">
        <f>+$J$31*F20</f>
        <v>0</v>
      </c>
      <c r="K20" s="459">
        <v>0</v>
      </c>
      <c r="L20" s="602">
        <f>+I20+J20+K20</f>
        <v>0</v>
      </c>
    </row>
    <row r="21" spans="1:13" s="575" customFormat="1">
      <c r="A21" s="590">
        <v>5</v>
      </c>
      <c r="B21" s="598" t="s">
        <v>647</v>
      </c>
      <c r="C21" s="598"/>
      <c r="D21" s="521"/>
      <c r="E21" s="522">
        <f>+E19+E20</f>
        <v>9367951.0251056049</v>
      </c>
      <c r="F21" s="523"/>
      <c r="G21" s="522">
        <f t="shared" ref="G21:L21" si="0">+G19+G20</f>
        <v>10204008.240321303</v>
      </c>
      <c r="H21" s="522">
        <f t="shared" si="0"/>
        <v>9566831.1498403251</v>
      </c>
      <c r="I21" s="522">
        <f t="shared" si="0"/>
        <v>-637177.09048097767</v>
      </c>
      <c r="J21" s="522">
        <f t="shared" si="0"/>
        <v>-116843.26655064465</v>
      </c>
      <c r="K21" s="522">
        <f t="shared" si="0"/>
        <v>0</v>
      </c>
      <c r="L21" s="525">
        <f t="shared" si="0"/>
        <v>-754020.35703162232</v>
      </c>
    </row>
    <row r="22" spans="1:13" s="575" customFormat="1">
      <c r="A22" s="590"/>
      <c r="B22" s="597"/>
      <c r="C22" s="597"/>
      <c r="D22" s="515"/>
      <c r="E22" s="516"/>
      <c r="F22" s="517"/>
      <c r="G22" s="518"/>
      <c r="H22" s="518"/>
      <c r="I22" s="520"/>
      <c r="J22" s="519"/>
      <c r="K22" s="520"/>
      <c r="L22" s="519"/>
    </row>
    <row r="23" spans="1:13" s="415" customFormat="1">
      <c r="A23" s="435" t="s">
        <v>656</v>
      </c>
      <c r="B23" s="607"/>
      <c r="C23" s="607" t="s">
        <v>646</v>
      </c>
      <c r="D23" s="859"/>
      <c r="E23" s="449">
        <v>0</v>
      </c>
      <c r="F23" s="462">
        <f>IF(E$29=0,0,E23/E$29)</f>
        <v>0</v>
      </c>
      <c r="G23" s="452">
        <f>IF(G$11=0,0,F23*G$11)</f>
        <v>0</v>
      </c>
      <c r="H23" s="454">
        <v>0</v>
      </c>
      <c r="I23" s="458">
        <f>+H23-G23</f>
        <v>0</v>
      </c>
      <c r="J23" s="602">
        <f>+$J$31*F23</f>
        <v>0</v>
      </c>
      <c r="K23" s="459">
        <v>0</v>
      </c>
      <c r="L23" s="602">
        <f>+I23+J23+K23</f>
        <v>0</v>
      </c>
    </row>
    <row r="24" spans="1:13" s="415" customFormat="1">
      <c r="A24" s="435" t="s">
        <v>657</v>
      </c>
      <c r="B24" s="607"/>
      <c r="C24" s="607"/>
      <c r="D24" s="432"/>
      <c r="E24" s="449">
        <v>0</v>
      </c>
      <c r="F24" s="462">
        <f>IF(E$29=0,0,E24/E$29)</f>
        <v>0</v>
      </c>
      <c r="G24" s="452">
        <f>IF(G$11=0,0,F24*G$11)</f>
        <v>0</v>
      </c>
      <c r="H24" s="454">
        <v>0</v>
      </c>
      <c r="I24" s="458">
        <f>+H24-G24</f>
        <v>0</v>
      </c>
      <c r="J24" s="602">
        <f>+$J$31*F24</f>
        <v>0</v>
      </c>
      <c r="K24" s="459">
        <v>0</v>
      </c>
      <c r="L24" s="602">
        <f>+I24+J24+K24</f>
        <v>0</v>
      </c>
    </row>
    <row r="25" spans="1:13" s="575" customFormat="1">
      <c r="A25" s="590">
        <v>7</v>
      </c>
      <c r="B25" s="598" t="s">
        <v>648</v>
      </c>
      <c r="C25" s="598"/>
      <c r="D25" s="521"/>
      <c r="E25" s="522">
        <f>+E23+E24</f>
        <v>0</v>
      </c>
      <c r="F25" s="523"/>
      <c r="G25" s="525">
        <f t="shared" ref="G25:L25" si="1">+G23+G24</f>
        <v>0</v>
      </c>
      <c r="H25" s="593">
        <f t="shared" si="1"/>
        <v>0</v>
      </c>
      <c r="I25" s="522">
        <f t="shared" si="1"/>
        <v>0</v>
      </c>
      <c r="J25" s="522">
        <f t="shared" si="1"/>
        <v>0</v>
      </c>
      <c r="K25" s="522">
        <f t="shared" si="1"/>
        <v>0</v>
      </c>
      <c r="L25" s="525">
        <f t="shared" si="1"/>
        <v>0</v>
      </c>
    </row>
    <row r="26" spans="1:13" s="575" customFormat="1">
      <c r="A26" s="590"/>
      <c r="B26" s="597"/>
      <c r="C26" s="597"/>
      <c r="D26" s="515"/>
      <c r="E26" s="516"/>
      <c r="F26" s="517"/>
      <c r="G26" s="520"/>
      <c r="H26" s="518"/>
      <c r="I26" s="520"/>
      <c r="J26" s="519"/>
      <c r="K26" s="520"/>
      <c r="L26" s="519"/>
    </row>
    <row r="27" spans="1:13" s="575" customFormat="1">
      <c r="A27" s="591">
        <f>+A25+1</f>
        <v>8</v>
      </c>
      <c r="B27" s="607" t="s">
        <v>433</v>
      </c>
      <c r="C27" s="607"/>
      <c r="D27" s="587"/>
      <c r="E27" s="599"/>
      <c r="F27" s="606"/>
      <c r="G27" s="603"/>
      <c r="H27" s="601"/>
      <c r="I27" s="603"/>
      <c r="J27" s="602"/>
      <c r="K27" s="604"/>
      <c r="L27" s="602"/>
    </row>
    <row r="28" spans="1:13">
      <c r="A28" s="435"/>
      <c r="B28" s="426"/>
      <c r="C28" s="583"/>
      <c r="D28" s="426"/>
      <c r="E28" s="450"/>
      <c r="F28" s="463"/>
      <c r="G28" s="605"/>
      <c r="H28" s="455"/>
      <c r="I28" s="460"/>
      <c r="J28" s="460"/>
      <c r="K28" s="460"/>
      <c r="L28" s="605"/>
    </row>
    <row r="29" spans="1:13">
      <c r="A29" s="435">
        <f>+A27+1</f>
        <v>9</v>
      </c>
      <c r="B29" s="412" t="s">
        <v>512</v>
      </c>
      <c r="C29" s="570"/>
      <c r="D29" s="412"/>
      <c r="E29" s="451">
        <f>+E17+E21+E25+E27</f>
        <v>9367951.0251056049</v>
      </c>
      <c r="F29" s="464">
        <f t="shared" ref="F29" si="2">SUM(F17:F28)</f>
        <v>1</v>
      </c>
      <c r="G29" s="600">
        <f t="shared" ref="G29:L29" si="3">+G17+G21+G25+G27</f>
        <v>10204008.240321303</v>
      </c>
      <c r="H29" s="600">
        <f t="shared" si="3"/>
        <v>9566831.1498403251</v>
      </c>
      <c r="I29" s="600">
        <f t="shared" si="3"/>
        <v>-637177.09048097767</v>
      </c>
      <c r="J29" s="600">
        <f t="shared" si="3"/>
        <v>-116843.26655064465</v>
      </c>
      <c r="K29" s="600">
        <f>+K17+K21+K25+K27</f>
        <v>0</v>
      </c>
      <c r="L29" s="600">
        <f t="shared" si="3"/>
        <v>-754020.35703162232</v>
      </c>
    </row>
    <row r="30" spans="1:13">
      <c r="A30" s="435"/>
      <c r="B30" s="412"/>
      <c r="C30" s="570"/>
      <c r="D30" s="412"/>
      <c r="E30" s="427"/>
      <c r="F30" s="427"/>
      <c r="G30" s="427"/>
      <c r="H30" s="451"/>
      <c r="I30" s="427"/>
      <c r="J30" s="427"/>
      <c r="K30" s="427"/>
      <c r="L30" s="427"/>
    </row>
    <row r="31" spans="1:13">
      <c r="A31" s="435">
        <f>+A29+1</f>
        <v>10</v>
      </c>
      <c r="B31" s="412"/>
      <c r="C31" s="570"/>
      <c r="D31" s="412"/>
      <c r="E31" s="427"/>
      <c r="F31" s="427"/>
      <c r="G31" s="842"/>
      <c r="H31" s="842" t="s">
        <v>700</v>
      </c>
      <c r="I31" s="842"/>
      <c r="J31" s="362">
        <f>+'6 - True-Up Interest'!I57</f>
        <v>-116843.26655064465</v>
      </c>
      <c r="K31" s="427"/>
      <c r="L31" s="427"/>
    </row>
    <row r="32" spans="1:13">
      <c r="A32" s="435"/>
      <c r="B32" s="412"/>
      <c r="C32" s="570"/>
      <c r="D32" s="412"/>
      <c r="E32" s="427"/>
      <c r="F32" s="427"/>
      <c r="G32" s="427"/>
      <c r="H32" s="427"/>
      <c r="I32" s="427"/>
      <c r="J32" s="427"/>
      <c r="K32" s="427"/>
      <c r="L32" s="427"/>
      <c r="M32" s="427"/>
    </row>
    <row r="33" spans="1:13">
      <c r="A33" s="435"/>
      <c r="B33" s="428"/>
      <c r="C33" s="584"/>
      <c r="D33" s="428"/>
      <c r="E33" s="409"/>
      <c r="F33" s="409"/>
      <c r="G33" s="409"/>
      <c r="H33" s="409"/>
      <c r="I33" s="409"/>
      <c r="J33" s="428"/>
      <c r="K33" s="428"/>
      <c r="L33" s="428"/>
    </row>
    <row r="34" spans="1:13">
      <c r="A34" s="437" t="s">
        <v>352</v>
      </c>
      <c r="D34" s="428"/>
      <c r="E34" s="409"/>
      <c r="F34" s="409"/>
      <c r="G34" s="409"/>
      <c r="H34" s="409"/>
      <c r="I34" s="409"/>
      <c r="J34" s="428"/>
      <c r="K34" s="428"/>
      <c r="L34" s="428"/>
    </row>
    <row r="35" spans="1:13" ht="15.5">
      <c r="A35" s="433"/>
      <c r="B35" s="401" t="s">
        <v>62</v>
      </c>
      <c r="C35" s="595"/>
      <c r="D35" s="401" t="s">
        <v>63</v>
      </c>
      <c r="E35"/>
      <c r="F35"/>
      <c r="G35"/>
      <c r="H35"/>
      <c r="L35" s="428"/>
    </row>
    <row r="36" spans="1:13" ht="15.5">
      <c r="A36" s="433"/>
      <c r="B36" s="429" t="str">
        <f>+A34</f>
        <v>Prior Period Adjustment</v>
      </c>
      <c r="C36" s="585"/>
      <c r="D36" s="430" t="s">
        <v>514</v>
      </c>
      <c r="E36"/>
      <c r="F36"/>
      <c r="G36"/>
      <c r="H36"/>
      <c r="L36" s="428"/>
    </row>
    <row r="37" spans="1:13" ht="15.5">
      <c r="A37" s="433"/>
      <c r="B37" s="701" t="s">
        <v>519</v>
      </c>
      <c r="C37" s="701" t="s">
        <v>205</v>
      </c>
      <c r="D37" s="702" t="s">
        <v>11</v>
      </c>
      <c r="E37"/>
      <c r="F37"/>
      <c r="G37"/>
      <c r="H37"/>
      <c r="L37" s="428"/>
    </row>
    <row r="38" spans="1:13" ht="15.5">
      <c r="A38" s="433">
        <f>+A31+1</f>
        <v>11</v>
      </c>
      <c r="B38" s="402" t="s">
        <v>608</v>
      </c>
      <c r="C38" s="843" t="s">
        <v>528</v>
      </c>
      <c r="D38" s="574">
        <f>+'11-Corrections'!F30</f>
        <v>0</v>
      </c>
      <c r="E38"/>
      <c r="F38"/>
      <c r="G38"/>
      <c r="H38"/>
      <c r="L38" s="428"/>
    </row>
    <row r="39" spans="1:13" ht="15.5">
      <c r="A39" s="433"/>
      <c r="B39" s="431"/>
      <c r="C39" s="586"/>
      <c r="D39" s="410"/>
      <c r="E39"/>
      <c r="F39"/>
      <c r="G39"/>
      <c r="H39"/>
      <c r="L39" s="428"/>
    </row>
    <row r="40" spans="1:13" ht="15.5">
      <c r="A40" s="433"/>
      <c r="D40" s="428"/>
      <c r="E40"/>
      <c r="F40"/>
      <c r="G40"/>
      <c r="H40"/>
      <c r="I40" s="403"/>
      <c r="L40" s="428"/>
    </row>
    <row r="41" spans="1:13" ht="14.25" customHeight="1">
      <c r="A41" s="524" t="s">
        <v>182</v>
      </c>
      <c r="B41" s="700"/>
      <c r="C41" s="570"/>
      <c r="D41" s="412"/>
      <c r="E41" s="412"/>
      <c r="F41" s="412"/>
      <c r="G41" s="412"/>
      <c r="H41" s="412"/>
      <c r="I41" s="412"/>
      <c r="J41" s="412"/>
      <c r="K41" s="412"/>
      <c r="L41" s="412"/>
      <c r="M41" s="412"/>
    </row>
    <row r="42" spans="1:13">
      <c r="A42" s="841" t="s">
        <v>732</v>
      </c>
      <c r="B42" s="828" t="s">
        <v>804</v>
      </c>
      <c r="C42" s="828"/>
      <c r="D42" s="828"/>
      <c r="E42" s="828"/>
      <c r="F42" s="828"/>
      <c r="G42" s="828"/>
      <c r="H42" s="828"/>
      <c r="I42" s="828"/>
      <c r="J42" s="828"/>
      <c r="K42" s="828"/>
      <c r="L42" s="828"/>
      <c r="M42" s="412"/>
    </row>
    <row r="43" spans="1:13">
      <c r="A43" s="841" t="s">
        <v>733</v>
      </c>
      <c r="B43" s="828" t="s">
        <v>740</v>
      </c>
      <c r="C43" s="828"/>
      <c r="D43" s="828"/>
      <c r="E43" s="828"/>
      <c r="F43" s="828"/>
      <c r="G43" s="828"/>
      <c r="H43" s="828"/>
      <c r="I43" s="828"/>
      <c r="J43" s="828"/>
      <c r="K43" s="828"/>
      <c r="L43" s="828"/>
      <c r="M43" s="412"/>
    </row>
    <row r="44" spans="1:13">
      <c r="A44" s="841" t="s">
        <v>734</v>
      </c>
      <c r="B44" s="828" t="s">
        <v>739</v>
      </c>
      <c r="C44" s="828"/>
      <c r="D44" s="828"/>
      <c r="E44" s="828"/>
      <c r="F44" s="828"/>
      <c r="G44" s="828"/>
      <c r="H44" s="828"/>
      <c r="I44" s="828"/>
      <c r="J44" s="828"/>
      <c r="K44" s="828"/>
      <c r="L44" s="828"/>
      <c r="M44" s="412"/>
    </row>
    <row r="45" spans="1:13" ht="28.5" customHeight="1">
      <c r="A45" s="841" t="s">
        <v>735</v>
      </c>
      <c r="B45" s="1211" t="s">
        <v>738</v>
      </c>
      <c r="C45" s="1211"/>
      <c r="D45" s="1211"/>
      <c r="E45" s="1211"/>
      <c r="F45" s="1211"/>
      <c r="G45" s="1211"/>
      <c r="H45" s="1211"/>
      <c r="I45" s="1211"/>
      <c r="J45" s="1211"/>
      <c r="K45" s="1211"/>
      <c r="L45" s="1211"/>
      <c r="M45" s="399"/>
    </row>
    <row r="46" spans="1:13" ht="20.25" customHeight="1">
      <c r="A46" s="841" t="s">
        <v>736</v>
      </c>
      <c r="B46" s="1222" t="s">
        <v>737</v>
      </c>
      <c r="C46" s="1222"/>
      <c r="D46" s="1222"/>
      <c r="E46" s="1222"/>
      <c r="F46" s="1222"/>
      <c r="G46" s="1222"/>
      <c r="H46" s="1222"/>
      <c r="I46" s="1222"/>
      <c r="J46" s="1222"/>
      <c r="K46" s="1222"/>
      <c r="L46" s="1222"/>
      <c r="M46" s="412"/>
    </row>
    <row r="47" spans="1:13">
      <c r="A47" s="435"/>
      <c r="B47" s="413"/>
      <c r="C47" s="572"/>
      <c r="D47" s="412"/>
      <c r="E47" s="412"/>
      <c r="F47" s="412"/>
      <c r="G47" s="412"/>
      <c r="H47" s="412"/>
      <c r="I47" s="413"/>
      <c r="J47" s="412"/>
      <c r="K47" s="412"/>
      <c r="L47" s="412"/>
      <c r="M47" s="412"/>
    </row>
    <row r="48" spans="1:13">
      <c r="A48" s="435"/>
      <c r="B48" s="413"/>
      <c r="C48" s="572"/>
      <c r="D48" s="412"/>
      <c r="E48" s="412"/>
      <c r="F48" s="412"/>
      <c r="G48" s="412"/>
      <c r="H48" s="412"/>
      <c r="I48" s="413"/>
      <c r="J48" s="412"/>
      <c r="K48" s="412"/>
      <c r="L48" s="412"/>
      <c r="M48" s="412"/>
    </row>
  </sheetData>
  <customSheetViews>
    <customSheetView guid="{63AFAF34-E340-4B5E-A289-FFB7051CA9B6}" showPageBreaks="1" fitToPage="1" printArea="1">
      <selection activeCell="C51" sqref="C51"/>
      <pageMargins left="0.25" right="0.25" top="0.75" bottom="0.75" header="0.3" footer="0.3"/>
      <pageSetup scale="69" orientation="landscape" r:id="rId1"/>
    </customSheetView>
  </customSheetViews>
  <mergeCells count="8">
    <mergeCell ref="B46:L46"/>
    <mergeCell ref="B6:L6"/>
    <mergeCell ref="G9:G10"/>
    <mergeCell ref="I10:L10"/>
    <mergeCell ref="E9:F9"/>
    <mergeCell ref="E10:F10"/>
    <mergeCell ref="B45:L45"/>
    <mergeCell ref="B7:J7"/>
  </mergeCells>
  <pageMargins left="0.25" right="0.25" top="0.75" bottom="0.75" header="0.3" footer="0.3"/>
  <pageSetup scale="70" orientation="landscape"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84"/>
  <sheetViews>
    <sheetView view="pageBreakPreview" topLeftCell="B1" zoomScale="90" zoomScaleNormal="85" zoomScaleSheetLayoutView="90" workbookViewId="0">
      <selection activeCell="D70" sqref="D70"/>
    </sheetView>
  </sheetViews>
  <sheetFormatPr defaultColWidth="8.84375" defaultRowHeight="13"/>
  <cols>
    <col min="1" max="1" width="8" style="11" customWidth="1"/>
    <col min="2" max="2" width="34.84375" style="13" customWidth="1"/>
    <col min="3" max="3" width="17.84375" style="13" customWidth="1"/>
    <col min="4" max="4" width="17" style="13" customWidth="1"/>
    <col min="5" max="5" width="19.84375" style="13" customWidth="1"/>
    <col min="6" max="6" width="19.53515625" style="13" customWidth="1"/>
    <col min="7" max="7" width="21.3046875" style="13" customWidth="1"/>
    <col min="8" max="8" width="18" style="13" customWidth="1"/>
    <col min="9" max="9" width="16.84375" style="13" customWidth="1"/>
    <col min="10" max="10" width="18.69140625" style="13" customWidth="1"/>
    <col min="11" max="14" width="11.84375" style="13" customWidth="1"/>
    <col min="15" max="16384" width="8.84375" style="13"/>
  </cols>
  <sheetData>
    <row r="1" spans="1:12">
      <c r="B1" s="1235" t="s">
        <v>189</v>
      </c>
      <c r="C1" s="1235"/>
      <c r="D1" s="1235"/>
      <c r="E1" s="1235"/>
      <c r="F1" s="1235"/>
      <c r="G1" s="1235"/>
      <c r="H1" s="1235"/>
      <c r="I1" s="1235"/>
      <c r="J1" s="1" t="s">
        <v>678</v>
      </c>
    </row>
    <row r="2" spans="1:12">
      <c r="A2" s="219"/>
      <c r="B2" s="1236" t="s">
        <v>255</v>
      </c>
      <c r="C2" s="1236"/>
      <c r="D2" s="1236"/>
      <c r="E2" s="1236"/>
      <c r="F2" s="1236"/>
      <c r="G2" s="1236"/>
      <c r="H2" s="1236"/>
      <c r="I2" s="1236"/>
      <c r="J2" s="1"/>
      <c r="L2" s="218"/>
    </row>
    <row r="3" spans="1:12">
      <c r="A3" s="219"/>
      <c r="B3" s="1237" t="str">
        <f>+'Attachment H-26'!D5</f>
        <v>Transource West Virginia, LLC</v>
      </c>
      <c r="C3" s="1237"/>
      <c r="D3" s="1237"/>
      <c r="E3" s="1237"/>
      <c r="F3" s="1237"/>
      <c r="G3" s="1237"/>
      <c r="H3" s="1237"/>
      <c r="I3" s="1237"/>
      <c r="J3" s="1"/>
    </row>
    <row r="4" spans="1:12">
      <c r="A4" s="219"/>
      <c r="C4" s="1"/>
      <c r="D4" s="1"/>
      <c r="E4" s="1"/>
      <c r="F4" s="1"/>
      <c r="G4" s="1"/>
      <c r="H4" s="1"/>
      <c r="I4" s="1"/>
      <c r="J4" s="1"/>
    </row>
    <row r="5" spans="1:12">
      <c r="A5" s="219"/>
      <c r="B5" s="2"/>
      <c r="C5" s="2"/>
      <c r="D5" s="2"/>
      <c r="E5" s="2"/>
      <c r="F5" s="2"/>
      <c r="G5" s="2"/>
      <c r="H5" s="2"/>
      <c r="I5" s="2"/>
      <c r="J5" s="2"/>
    </row>
    <row r="6" spans="1:12">
      <c r="A6" s="219"/>
      <c r="B6" s="2"/>
      <c r="C6" s="1232" t="s">
        <v>208</v>
      </c>
      <c r="D6" s="1232"/>
      <c r="E6" s="9" t="s">
        <v>210</v>
      </c>
      <c r="F6" s="9" t="s">
        <v>211</v>
      </c>
      <c r="G6" s="1232" t="s">
        <v>209</v>
      </c>
      <c r="H6" s="1232"/>
      <c r="I6" s="1231" t="s">
        <v>207</v>
      </c>
      <c r="J6" s="1231"/>
    </row>
    <row r="7" spans="1:12" s="10" customFormat="1" ht="26">
      <c r="A7" s="220" t="s">
        <v>847</v>
      </c>
      <c r="B7" s="3" t="s">
        <v>166</v>
      </c>
      <c r="C7" s="3" t="s">
        <v>16</v>
      </c>
      <c r="D7" s="3" t="s">
        <v>173</v>
      </c>
      <c r="E7" s="296" t="s">
        <v>404</v>
      </c>
      <c r="F7" s="296" t="s">
        <v>167</v>
      </c>
      <c r="G7" s="296" t="s">
        <v>168</v>
      </c>
      <c r="H7" s="296" t="s">
        <v>169</v>
      </c>
      <c r="I7" s="3" t="s">
        <v>16</v>
      </c>
      <c r="J7" s="3" t="s">
        <v>173</v>
      </c>
    </row>
    <row r="8" spans="1:12" s="12" customFormat="1">
      <c r="A8" s="219"/>
      <c r="B8" s="9" t="s">
        <v>196</v>
      </c>
      <c r="C8" s="9" t="s">
        <v>197</v>
      </c>
      <c r="D8" s="9" t="s">
        <v>198</v>
      </c>
      <c r="E8" s="3" t="s">
        <v>199</v>
      </c>
      <c r="F8" s="3" t="s">
        <v>201</v>
      </c>
      <c r="G8" s="3" t="s">
        <v>200</v>
      </c>
      <c r="H8" s="3" t="s">
        <v>202</v>
      </c>
      <c r="I8" s="4" t="s">
        <v>203</v>
      </c>
      <c r="J8" s="4" t="s">
        <v>204</v>
      </c>
    </row>
    <row r="9" spans="1:12" s="12" customFormat="1" ht="44.25" customHeight="1">
      <c r="A9" s="219"/>
      <c r="B9" s="251" t="s">
        <v>541</v>
      </c>
      <c r="C9" s="274" t="s">
        <v>294</v>
      </c>
      <c r="D9" s="295" t="s">
        <v>313</v>
      </c>
      <c r="E9" s="321" t="s">
        <v>680</v>
      </c>
      <c r="F9" s="274" t="s">
        <v>298</v>
      </c>
      <c r="G9" s="274" t="s">
        <v>299</v>
      </c>
      <c r="H9" s="274" t="s">
        <v>297</v>
      </c>
      <c r="I9" s="274" t="s">
        <v>295</v>
      </c>
      <c r="J9" s="274" t="s">
        <v>296</v>
      </c>
    </row>
    <row r="10" spans="1:12">
      <c r="A10" s="219">
        <v>1</v>
      </c>
      <c r="B10" s="5" t="s">
        <v>193</v>
      </c>
      <c r="C10" s="873">
        <v>84299952.730000004</v>
      </c>
      <c r="D10" s="873">
        <v>785799.66999999993</v>
      </c>
      <c r="E10" s="1130">
        <v>0</v>
      </c>
      <c r="F10" s="873">
        <v>0</v>
      </c>
      <c r="G10" s="873">
        <v>0</v>
      </c>
      <c r="H10" s="873">
        <v>20537.07</v>
      </c>
      <c r="I10" s="873">
        <v>5865616.620000001</v>
      </c>
      <c r="J10" s="873">
        <v>427747.62</v>
      </c>
    </row>
    <row r="11" spans="1:12">
      <c r="A11" s="219">
        <v>2</v>
      </c>
      <c r="B11" s="5" t="s">
        <v>85</v>
      </c>
      <c r="C11" s="873">
        <v>84299952.730000004</v>
      </c>
      <c r="D11" s="873">
        <v>789422.30999999994</v>
      </c>
      <c r="E11" s="1130">
        <v>0</v>
      </c>
      <c r="F11" s="873">
        <v>0</v>
      </c>
      <c r="G11" s="873">
        <v>0</v>
      </c>
      <c r="H11" s="873">
        <v>13691.380000000001</v>
      </c>
      <c r="I11" s="873">
        <v>5977900.8399999999</v>
      </c>
      <c r="J11" s="873">
        <v>440844.28</v>
      </c>
    </row>
    <row r="12" spans="1:12">
      <c r="A12" s="219">
        <v>3</v>
      </c>
      <c r="B12" s="1" t="s">
        <v>84</v>
      </c>
      <c r="C12" s="873">
        <v>84299952.730000004</v>
      </c>
      <c r="D12" s="873">
        <v>793673.89000000013</v>
      </c>
      <c r="E12" s="1130">
        <v>0</v>
      </c>
      <c r="F12" s="873">
        <v>0</v>
      </c>
      <c r="G12" s="873">
        <v>0</v>
      </c>
      <c r="H12" s="873">
        <v>6845.6900000000005</v>
      </c>
      <c r="I12" s="873">
        <v>6090185.1299999999</v>
      </c>
      <c r="J12" s="873">
        <v>454001.31</v>
      </c>
    </row>
    <row r="13" spans="1:12">
      <c r="A13" s="219">
        <v>4</v>
      </c>
      <c r="B13" s="1" t="s">
        <v>170</v>
      </c>
      <c r="C13" s="873">
        <v>84299952.730000004</v>
      </c>
      <c r="D13" s="873">
        <v>746995.32</v>
      </c>
      <c r="E13" s="1130">
        <v>0</v>
      </c>
      <c r="F13" s="873">
        <v>0</v>
      </c>
      <c r="G13" s="873">
        <v>0</v>
      </c>
      <c r="H13" s="873">
        <v>0</v>
      </c>
      <c r="I13" s="873">
        <v>6202469.3999999994</v>
      </c>
      <c r="J13" s="873">
        <v>417032.64999999997</v>
      </c>
    </row>
    <row r="14" spans="1:12">
      <c r="A14" s="219">
        <v>5</v>
      </c>
      <c r="B14" s="1" t="s">
        <v>76</v>
      </c>
      <c r="C14" s="873">
        <v>84299953</v>
      </c>
      <c r="D14" s="873">
        <v>750363.17000000016</v>
      </c>
      <c r="E14" s="1130">
        <v>0</v>
      </c>
      <c r="F14" s="873">
        <v>0</v>
      </c>
      <c r="G14" s="873">
        <v>0</v>
      </c>
      <c r="H14" s="873">
        <v>72435.31</v>
      </c>
      <c r="I14" s="873">
        <v>6314753.7100000009</v>
      </c>
      <c r="J14" s="873">
        <v>429482.56</v>
      </c>
    </row>
    <row r="15" spans="1:12">
      <c r="A15" s="219">
        <v>6</v>
      </c>
      <c r="B15" s="1" t="s">
        <v>75</v>
      </c>
      <c r="C15" s="873">
        <v>84266665.760000005</v>
      </c>
      <c r="D15" s="873">
        <v>754861.29999999981</v>
      </c>
      <c r="E15" s="1130">
        <v>0</v>
      </c>
      <c r="F15" s="873">
        <v>0</v>
      </c>
      <c r="G15" s="873">
        <v>0</v>
      </c>
      <c r="H15" s="873">
        <v>65850.28</v>
      </c>
      <c r="I15" s="873">
        <v>6398330.2699999996</v>
      </c>
      <c r="J15" s="873">
        <v>441988.61</v>
      </c>
    </row>
    <row r="16" spans="1:12">
      <c r="A16" s="219">
        <v>7</v>
      </c>
      <c r="B16" s="1" t="s">
        <v>95</v>
      </c>
      <c r="C16" s="873">
        <v>84266665.760000005</v>
      </c>
      <c r="D16" s="873">
        <v>723953.83000000007</v>
      </c>
      <c r="E16" s="1130">
        <v>0</v>
      </c>
      <c r="F16" s="873">
        <v>0</v>
      </c>
      <c r="G16" s="873">
        <v>0</v>
      </c>
      <c r="H16" s="873">
        <v>59265.25</v>
      </c>
      <c r="I16" s="873">
        <v>6510428.9199999999</v>
      </c>
      <c r="J16" s="873">
        <v>420004.11</v>
      </c>
    </row>
    <row r="17" spans="1:10">
      <c r="A17" s="219">
        <v>8</v>
      </c>
      <c r="B17" s="1" t="s">
        <v>82</v>
      </c>
      <c r="C17" s="873">
        <v>84266665.760000005</v>
      </c>
      <c r="D17" s="873">
        <v>727310.69000000006</v>
      </c>
      <c r="E17" s="1130">
        <v>0</v>
      </c>
      <c r="F17" s="873">
        <v>0</v>
      </c>
      <c r="G17" s="873">
        <v>0</v>
      </c>
      <c r="H17" s="873">
        <v>52680.22</v>
      </c>
      <c r="I17" s="873">
        <v>6622661.0999999996</v>
      </c>
      <c r="J17" s="873">
        <v>432070</v>
      </c>
    </row>
    <row r="18" spans="1:10">
      <c r="A18" s="219">
        <v>9</v>
      </c>
      <c r="B18" s="1" t="s">
        <v>171</v>
      </c>
      <c r="C18" s="873">
        <v>84266665.760000005</v>
      </c>
      <c r="D18" s="873">
        <v>730034.08000000007</v>
      </c>
      <c r="E18" s="1130">
        <v>0</v>
      </c>
      <c r="F18" s="873">
        <v>0</v>
      </c>
      <c r="G18" s="873">
        <v>0</v>
      </c>
      <c r="H18" s="873">
        <v>46095.19</v>
      </c>
      <c r="I18" s="873">
        <v>6734893.3099999996</v>
      </c>
      <c r="J18" s="873">
        <v>444191.84</v>
      </c>
    </row>
    <row r="19" spans="1:10">
      <c r="A19" s="219">
        <v>10</v>
      </c>
      <c r="B19" s="1" t="s">
        <v>80</v>
      </c>
      <c r="C19" s="873">
        <v>84266665.760000005</v>
      </c>
      <c r="D19" s="873">
        <v>687512.84</v>
      </c>
      <c r="E19" s="1130">
        <v>0</v>
      </c>
      <c r="F19" s="873">
        <v>0</v>
      </c>
      <c r="G19" s="873">
        <v>0</v>
      </c>
      <c r="H19" s="873">
        <v>39510.160000000003</v>
      </c>
      <c r="I19" s="873">
        <v>6832768.2400000002</v>
      </c>
      <c r="J19" s="873">
        <v>410384.43</v>
      </c>
    </row>
    <row r="20" spans="1:10">
      <c r="A20" s="219">
        <v>11</v>
      </c>
      <c r="B20" s="1" t="s">
        <v>86</v>
      </c>
      <c r="C20" s="873">
        <v>84266665.760000005</v>
      </c>
      <c r="D20" s="873">
        <v>692860.3899999999</v>
      </c>
      <c r="E20" s="1130">
        <v>0</v>
      </c>
      <c r="F20" s="873">
        <v>0</v>
      </c>
      <c r="G20" s="873">
        <v>0</v>
      </c>
      <c r="H20" s="873">
        <v>32925.129999999997</v>
      </c>
      <c r="I20" s="873">
        <v>6945000.1099999994</v>
      </c>
      <c r="J20" s="873">
        <v>421842.97</v>
      </c>
    </row>
    <row r="21" spans="1:10">
      <c r="A21" s="219">
        <v>12</v>
      </c>
      <c r="B21" s="1" t="s">
        <v>79</v>
      </c>
      <c r="C21" s="873">
        <v>85052530.100000009</v>
      </c>
      <c r="D21" s="873">
        <v>705244.75</v>
      </c>
      <c r="E21" s="1130">
        <v>0</v>
      </c>
      <c r="F21" s="873">
        <v>0</v>
      </c>
      <c r="G21" s="873">
        <v>0</v>
      </c>
      <c r="H21" s="873">
        <v>26340.100000000002</v>
      </c>
      <c r="I21" s="873">
        <v>6999363.0600000005</v>
      </c>
      <c r="J21" s="873">
        <v>433390.64</v>
      </c>
    </row>
    <row r="22" spans="1:10">
      <c r="A22" s="219">
        <v>13</v>
      </c>
      <c r="B22" s="1" t="s">
        <v>194</v>
      </c>
      <c r="C22" s="873">
        <v>85070142.700000033</v>
      </c>
      <c r="D22" s="873">
        <v>629159.59</v>
      </c>
      <c r="E22" s="1130">
        <v>0</v>
      </c>
      <c r="F22" s="873">
        <v>0</v>
      </c>
      <c r="G22" s="873">
        <v>0</v>
      </c>
      <c r="H22" s="873">
        <v>19755.07</v>
      </c>
      <c r="I22" s="873">
        <v>7098924.3899999997</v>
      </c>
      <c r="J22" s="873">
        <v>360284.18</v>
      </c>
    </row>
    <row r="23" spans="1:10" ht="13.5" thickBot="1">
      <c r="A23" s="219">
        <v>14</v>
      </c>
      <c r="B23" s="6" t="s">
        <v>256</v>
      </c>
      <c r="C23" s="643">
        <f t="shared" ref="C23:H23" si="0">SUM(C10:C22)/13</f>
        <v>84401725.483076915</v>
      </c>
      <c r="D23" s="643">
        <f>SUM(D10:D22)/13</f>
        <v>732091.67923076928</v>
      </c>
      <c r="E23" s="643">
        <f t="shared" si="0"/>
        <v>0</v>
      </c>
      <c r="F23" s="643">
        <f t="shared" si="0"/>
        <v>0</v>
      </c>
      <c r="G23" s="643">
        <f t="shared" si="0"/>
        <v>0</v>
      </c>
      <c r="H23" s="643">
        <f t="shared" si="0"/>
        <v>35071.603846153841</v>
      </c>
      <c r="I23" s="643">
        <f>SUM(I10:I22)/13</f>
        <v>6507176.5461538471</v>
      </c>
      <c r="J23" s="643">
        <f>SUM(J10:J22)/13</f>
        <v>425635.78461538447</v>
      </c>
    </row>
    <row r="24" spans="1:10" ht="13.5" thickTop="1">
      <c r="A24" s="219"/>
      <c r="B24" s="6"/>
      <c r="C24" s="7"/>
      <c r="D24" s="1131"/>
      <c r="E24" s="14"/>
      <c r="F24" s="1132"/>
      <c r="G24" s="7"/>
      <c r="H24" s="7"/>
      <c r="I24" s="7"/>
      <c r="J24" s="1133"/>
    </row>
    <row r="25" spans="1:10">
      <c r="A25" s="219"/>
      <c r="B25" s="8"/>
      <c r="C25" s="1231" t="s">
        <v>212</v>
      </c>
      <c r="D25" s="1231"/>
      <c r="E25" s="1231"/>
      <c r="F25" s="1231"/>
      <c r="G25" s="1231"/>
      <c r="H25" s="1231"/>
      <c r="I25" s="1231"/>
    </row>
    <row r="26" spans="1:10" ht="72" customHeight="1">
      <c r="A26" s="827" t="s">
        <v>847</v>
      </c>
      <c r="B26" s="9" t="s">
        <v>166</v>
      </c>
      <c r="C26" s="4" t="s">
        <v>172</v>
      </c>
      <c r="D26" s="4" t="s">
        <v>842</v>
      </c>
      <c r="E26" s="4" t="s">
        <v>544</v>
      </c>
      <c r="F26" s="4" t="s">
        <v>545</v>
      </c>
      <c r="G26" s="4" t="s">
        <v>546</v>
      </c>
      <c r="H26" s="4" t="s">
        <v>547</v>
      </c>
      <c r="I26" s="4" t="s">
        <v>258</v>
      </c>
    </row>
    <row r="27" spans="1:10" s="12" customFormat="1">
      <c r="A27" s="219"/>
      <c r="B27" s="9" t="s">
        <v>196</v>
      </c>
      <c r="C27" s="4" t="s">
        <v>197</v>
      </c>
      <c r="D27" s="4" t="s">
        <v>198</v>
      </c>
      <c r="E27" s="4" t="s">
        <v>199</v>
      </c>
      <c r="F27" s="4" t="s">
        <v>201</v>
      </c>
      <c r="G27" s="4" t="s">
        <v>200</v>
      </c>
      <c r="H27" s="4" t="s">
        <v>202</v>
      </c>
      <c r="I27" s="4" t="s">
        <v>203</v>
      </c>
    </row>
    <row r="28" spans="1:10" s="12" customFormat="1" ht="26">
      <c r="A28" s="219"/>
      <c r="B28" s="251" t="s">
        <v>541</v>
      </c>
      <c r="C28" s="296" t="s">
        <v>403</v>
      </c>
      <c r="D28" s="4" t="s">
        <v>543</v>
      </c>
      <c r="E28" s="4" t="s">
        <v>322</v>
      </c>
      <c r="F28" s="4" t="s">
        <v>323</v>
      </c>
      <c r="G28" s="4" t="s">
        <v>324</v>
      </c>
      <c r="H28" s="4" t="s">
        <v>325</v>
      </c>
      <c r="I28" s="4" t="s">
        <v>326</v>
      </c>
    </row>
    <row r="29" spans="1:10">
      <c r="A29" s="219">
        <v>15</v>
      </c>
      <c r="B29" s="5" t="s">
        <v>193</v>
      </c>
      <c r="C29" s="860">
        <v>0</v>
      </c>
      <c r="D29" s="873">
        <v>0</v>
      </c>
      <c r="E29" s="873"/>
      <c r="F29" s="873"/>
      <c r="G29" s="873"/>
      <c r="H29" s="873"/>
      <c r="I29" s="873">
        <v>0</v>
      </c>
    </row>
    <row r="30" spans="1:10">
      <c r="A30" s="219">
        <v>16</v>
      </c>
      <c r="B30" s="5" t="s">
        <v>85</v>
      </c>
      <c r="C30" s="873">
        <v>0</v>
      </c>
      <c r="D30" s="873">
        <v>0</v>
      </c>
      <c r="E30" s="283"/>
      <c r="F30" s="283"/>
      <c r="G30" s="283"/>
      <c r="H30" s="283"/>
      <c r="I30" s="873">
        <v>0</v>
      </c>
    </row>
    <row r="31" spans="1:10">
      <c r="A31" s="219">
        <v>17</v>
      </c>
      <c r="B31" s="1" t="s">
        <v>84</v>
      </c>
      <c r="C31" s="873">
        <v>0</v>
      </c>
      <c r="D31" s="873">
        <v>0</v>
      </c>
      <c r="E31" s="283"/>
      <c r="F31" s="283"/>
      <c r="G31" s="283"/>
      <c r="H31" s="283"/>
      <c r="I31" s="873">
        <v>0</v>
      </c>
    </row>
    <row r="32" spans="1:10">
      <c r="A32" s="219">
        <v>18</v>
      </c>
      <c r="B32" s="1" t="s">
        <v>170</v>
      </c>
      <c r="C32" s="873">
        <v>0</v>
      </c>
      <c r="D32" s="873">
        <v>0</v>
      </c>
      <c r="E32" s="283"/>
      <c r="F32" s="283"/>
      <c r="G32" s="283"/>
      <c r="H32" s="283"/>
      <c r="I32" s="873">
        <v>0</v>
      </c>
    </row>
    <row r="33" spans="1:15">
      <c r="A33" s="219">
        <v>19</v>
      </c>
      <c r="B33" s="1" t="s">
        <v>76</v>
      </c>
      <c r="C33" s="873">
        <v>0</v>
      </c>
      <c r="D33" s="873">
        <v>0</v>
      </c>
      <c r="E33" s="283"/>
      <c r="F33" s="283"/>
      <c r="G33" s="283"/>
      <c r="H33" s="283"/>
      <c r="I33" s="873">
        <v>0</v>
      </c>
    </row>
    <row r="34" spans="1:15">
      <c r="A34" s="219">
        <v>20</v>
      </c>
      <c r="B34" s="1" t="s">
        <v>75</v>
      </c>
      <c r="C34" s="873">
        <v>0</v>
      </c>
      <c r="D34" s="873">
        <v>0</v>
      </c>
      <c r="E34" s="283"/>
      <c r="F34" s="283"/>
      <c r="G34" s="283"/>
      <c r="H34" s="283"/>
      <c r="I34" s="873">
        <v>0</v>
      </c>
    </row>
    <row r="35" spans="1:15">
      <c r="A35" s="219">
        <v>21</v>
      </c>
      <c r="B35" s="1" t="s">
        <v>95</v>
      </c>
      <c r="C35" s="873">
        <v>0</v>
      </c>
      <c r="D35" s="873">
        <v>0</v>
      </c>
      <c r="E35" s="283"/>
      <c r="F35" s="283"/>
      <c r="G35" s="283"/>
      <c r="H35" s="283"/>
      <c r="I35" s="873">
        <v>0</v>
      </c>
    </row>
    <row r="36" spans="1:15">
      <c r="A36" s="219">
        <v>22</v>
      </c>
      <c r="B36" s="1" t="s">
        <v>82</v>
      </c>
      <c r="C36" s="873">
        <v>0</v>
      </c>
      <c r="D36" s="873">
        <v>0</v>
      </c>
      <c r="E36" s="283"/>
      <c r="F36" s="283"/>
      <c r="G36" s="283"/>
      <c r="H36" s="283"/>
      <c r="I36" s="873">
        <v>0</v>
      </c>
    </row>
    <row r="37" spans="1:15">
      <c r="A37" s="219">
        <v>23</v>
      </c>
      <c r="B37" s="1" t="s">
        <v>171</v>
      </c>
      <c r="C37" s="873">
        <v>0</v>
      </c>
      <c r="D37" s="873">
        <v>0</v>
      </c>
      <c r="E37" s="283"/>
      <c r="F37" s="283"/>
      <c r="G37" s="283"/>
      <c r="H37" s="283"/>
      <c r="I37" s="873">
        <v>0</v>
      </c>
    </row>
    <row r="38" spans="1:15">
      <c r="A38" s="219">
        <v>24</v>
      </c>
      <c r="B38" s="1" t="s">
        <v>80</v>
      </c>
      <c r="C38" s="873">
        <v>0</v>
      </c>
      <c r="D38" s="873">
        <v>0</v>
      </c>
      <c r="E38" s="283"/>
      <c r="F38" s="283"/>
      <c r="G38" s="283"/>
      <c r="H38" s="283"/>
      <c r="I38" s="873">
        <v>0</v>
      </c>
    </row>
    <row r="39" spans="1:15">
      <c r="A39" s="219">
        <v>25</v>
      </c>
      <c r="B39" s="1" t="s">
        <v>86</v>
      </c>
      <c r="C39" s="873">
        <v>0</v>
      </c>
      <c r="D39" s="873">
        <v>0</v>
      </c>
      <c r="E39" s="283"/>
      <c r="F39" s="283"/>
      <c r="G39" s="283"/>
      <c r="H39" s="283"/>
      <c r="I39" s="873">
        <v>0</v>
      </c>
    </row>
    <row r="40" spans="1:15">
      <c r="A40" s="219">
        <v>26</v>
      </c>
      <c r="B40" s="1" t="s">
        <v>79</v>
      </c>
      <c r="C40" s="873">
        <v>0</v>
      </c>
      <c r="D40" s="873">
        <v>0</v>
      </c>
      <c r="E40" s="283"/>
      <c r="F40" s="283"/>
      <c r="G40" s="283"/>
      <c r="H40" s="283"/>
      <c r="I40" s="873">
        <v>0</v>
      </c>
    </row>
    <row r="41" spans="1:15">
      <c r="A41" s="219">
        <v>27</v>
      </c>
      <c r="B41" s="1" t="s">
        <v>194</v>
      </c>
      <c r="C41" s="873">
        <v>0</v>
      </c>
      <c r="D41" s="873">
        <v>0</v>
      </c>
      <c r="E41" s="873"/>
      <c r="F41" s="873"/>
      <c r="G41" s="873"/>
      <c r="H41" s="873"/>
      <c r="I41" s="873">
        <v>0</v>
      </c>
    </row>
    <row r="42" spans="1:15" ht="13.5" thickBot="1">
      <c r="A42" s="219">
        <v>28</v>
      </c>
      <c r="B42" s="6" t="s">
        <v>257</v>
      </c>
      <c r="C42" s="643">
        <f t="shared" ref="C42:I42" si="1">SUM(C29:C41)/13</f>
        <v>0</v>
      </c>
      <c r="D42" s="643">
        <f t="shared" si="1"/>
        <v>0</v>
      </c>
      <c r="E42" s="1195">
        <f>'4a - ADIT Average Balances'!C38</f>
        <v>0</v>
      </c>
      <c r="F42" s="1195">
        <f>'4a - ADIT Average Balances'!C74</f>
        <v>5881103.7700000005</v>
      </c>
      <c r="G42" s="1195">
        <f>'4a - ADIT Average Balances'!C116</f>
        <v>1795187.96</v>
      </c>
      <c r="H42" s="1195">
        <f>'4a - ADIT Average Balances'!C155</f>
        <v>457268.16499999998</v>
      </c>
      <c r="I42" s="643">
        <f t="shared" si="1"/>
        <v>0</v>
      </c>
    </row>
    <row r="43" spans="1:15" ht="13.5" thickTop="1">
      <c r="A43" s="219"/>
      <c r="B43" s="1"/>
      <c r="E43" s="1133"/>
      <c r="F43" s="1133"/>
      <c r="G43" s="1133"/>
      <c r="H43" s="1133"/>
      <c r="I43" s="1131"/>
    </row>
    <row r="44" spans="1:15">
      <c r="A44" s="219"/>
    </row>
    <row r="45" spans="1:15">
      <c r="E45" s="217" t="str">
        <f>+B1</f>
        <v>Attachment 4</v>
      </c>
      <c r="J45" s="1" t="s">
        <v>153</v>
      </c>
    </row>
    <row r="46" spans="1:15">
      <c r="A46" s="284"/>
      <c r="B46" s="217"/>
      <c r="C46" s="285"/>
      <c r="D46" s="285"/>
      <c r="E46" s="840" t="str">
        <f>+B2</f>
        <v xml:space="preserve">Rate Base Worksheet </v>
      </c>
      <c r="F46" s="285"/>
      <c r="L46" s="12"/>
      <c r="M46" s="12"/>
      <c r="N46" s="12"/>
      <c r="O46" s="12"/>
    </row>
    <row r="47" spans="1:15" s="319" customFormat="1">
      <c r="A47" s="639"/>
      <c r="B47" s="217"/>
      <c r="C47" s="285"/>
      <c r="D47" s="285"/>
      <c r="E47" s="840" t="str">
        <f>+B3</f>
        <v>Transource West Virginia, LLC</v>
      </c>
      <c r="F47" s="285"/>
      <c r="L47" s="12"/>
      <c r="M47" s="12"/>
      <c r="N47" s="12"/>
      <c r="O47" s="12"/>
    </row>
    <row r="48" spans="1:15" s="319" customFormat="1">
      <c r="A48" s="639"/>
      <c r="B48" s="644" t="s">
        <v>801</v>
      </c>
      <c r="C48" s="285"/>
      <c r="D48" s="285"/>
      <c r="E48" s="285"/>
      <c r="F48" s="285"/>
      <c r="G48" s="285"/>
      <c r="L48" s="12"/>
      <c r="M48" s="12"/>
      <c r="N48" s="12"/>
      <c r="O48" s="12"/>
    </row>
    <row r="49" spans="1:15" s="319" customFormat="1" ht="25.5" customHeight="1">
      <c r="A49" s="639"/>
      <c r="B49" s="217"/>
      <c r="C49" s="1233" t="s">
        <v>673</v>
      </c>
      <c r="D49" s="1233" t="s">
        <v>677</v>
      </c>
      <c r="E49" s="1234" t="s">
        <v>676</v>
      </c>
      <c r="L49" s="12"/>
      <c r="M49" s="12"/>
      <c r="N49" s="12"/>
      <c r="O49" s="12"/>
    </row>
    <row r="50" spans="1:15" s="319" customFormat="1" ht="12.75" customHeight="1">
      <c r="A50" s="639"/>
      <c r="B50" s="217"/>
      <c r="C50" s="1233"/>
      <c r="D50" s="1233"/>
      <c r="E50" s="1234"/>
      <c r="L50" s="12"/>
      <c r="M50" s="12"/>
      <c r="N50" s="12"/>
      <c r="O50" s="12"/>
    </row>
    <row r="51" spans="1:15" s="319" customFormat="1">
      <c r="A51" s="639"/>
      <c r="B51" s="217"/>
      <c r="C51" s="3" t="s">
        <v>196</v>
      </c>
      <c r="D51" s="3" t="s">
        <v>197</v>
      </c>
      <c r="E51" s="641" t="s">
        <v>675</v>
      </c>
      <c r="L51" s="12"/>
      <c r="M51" s="12"/>
      <c r="N51" s="12"/>
      <c r="O51" s="12"/>
    </row>
    <row r="52" spans="1:15" s="319" customFormat="1" ht="26">
      <c r="A52" s="639"/>
      <c r="B52" s="217"/>
      <c r="C52" s="321" t="s">
        <v>672</v>
      </c>
      <c r="D52" s="321" t="s">
        <v>674</v>
      </c>
      <c r="E52" s="321"/>
      <c r="L52" s="12"/>
      <c r="M52" s="12"/>
      <c r="N52" s="12"/>
      <c r="O52" s="12"/>
    </row>
    <row r="53" spans="1:15" s="319" customFormat="1">
      <c r="A53" s="639">
        <f>+A42+1</f>
        <v>29</v>
      </c>
      <c r="B53" s="5" t="s">
        <v>193</v>
      </c>
      <c r="C53" s="860">
        <v>712168.92</v>
      </c>
      <c r="D53" s="873">
        <v>712168.92</v>
      </c>
      <c r="E53" s="362">
        <f t="shared" ref="E53:E65" si="2">+C53-D53</f>
        <v>0</v>
      </c>
      <c r="L53" s="12"/>
      <c r="M53" s="12"/>
      <c r="N53" s="12"/>
      <c r="O53" s="12"/>
    </row>
    <row r="54" spans="1:15" s="319" customFormat="1">
      <c r="A54" s="639">
        <f>+A53+1</f>
        <v>30</v>
      </c>
      <c r="B54" s="5" t="s">
        <v>85</v>
      </c>
      <c r="C54" s="873">
        <v>721335.26</v>
      </c>
      <c r="D54" s="873">
        <v>721335.26</v>
      </c>
      <c r="E54" s="362">
        <f t="shared" si="2"/>
        <v>0</v>
      </c>
      <c r="L54" s="12"/>
      <c r="M54" s="12"/>
      <c r="N54" s="12"/>
      <c r="O54" s="12"/>
    </row>
    <row r="55" spans="1:15" s="319" customFormat="1">
      <c r="A55" s="639">
        <f t="shared" ref="A55:A65" si="3">+A54+1</f>
        <v>31</v>
      </c>
      <c r="B55" s="1" t="s">
        <v>84</v>
      </c>
      <c r="C55" s="873">
        <v>731354.77</v>
      </c>
      <c r="D55" s="873">
        <v>731354.77</v>
      </c>
      <c r="E55" s="642">
        <f t="shared" si="2"/>
        <v>0</v>
      </c>
      <c r="L55" s="12"/>
      <c r="M55" s="12"/>
      <c r="N55" s="12"/>
      <c r="O55" s="12"/>
    </row>
    <row r="56" spans="1:15" s="319" customFormat="1">
      <c r="A56" s="639">
        <f t="shared" si="3"/>
        <v>32</v>
      </c>
      <c r="B56" s="1" t="s">
        <v>170</v>
      </c>
      <c r="C56" s="873">
        <v>531990.25</v>
      </c>
      <c r="D56" s="873">
        <v>531990.25</v>
      </c>
      <c r="E56" s="642">
        <f t="shared" si="2"/>
        <v>0</v>
      </c>
      <c r="L56" s="12"/>
      <c r="M56" s="12"/>
      <c r="N56" s="12"/>
      <c r="O56" s="12"/>
    </row>
    <row r="57" spans="1:15" s="319" customFormat="1">
      <c r="A57" s="639">
        <f t="shared" si="3"/>
        <v>33</v>
      </c>
      <c r="B57" s="1" t="s">
        <v>76</v>
      </c>
      <c r="C57" s="873">
        <v>539863.39</v>
      </c>
      <c r="D57" s="873">
        <v>539863.39</v>
      </c>
      <c r="E57" s="642">
        <f t="shared" si="2"/>
        <v>0</v>
      </c>
      <c r="L57" s="12"/>
      <c r="M57" s="12"/>
      <c r="N57" s="12"/>
      <c r="O57" s="12"/>
    </row>
    <row r="58" spans="1:15" s="319" customFormat="1">
      <c r="A58" s="639">
        <f t="shared" si="3"/>
        <v>34</v>
      </c>
      <c r="B58" s="1" t="s">
        <v>75</v>
      </c>
      <c r="C58" s="873">
        <v>551628.9</v>
      </c>
      <c r="D58" s="873">
        <v>551628.9</v>
      </c>
      <c r="E58" s="642">
        <f t="shared" si="2"/>
        <v>0</v>
      </c>
      <c r="L58" s="12"/>
      <c r="M58" s="12"/>
      <c r="N58" s="12"/>
      <c r="O58" s="12"/>
    </row>
    <row r="59" spans="1:15" s="319" customFormat="1">
      <c r="A59" s="639">
        <f t="shared" si="3"/>
        <v>35</v>
      </c>
      <c r="B59" s="1" t="s">
        <v>95</v>
      </c>
      <c r="C59" s="873">
        <v>713933.6</v>
      </c>
      <c r="D59" s="873">
        <v>713933.6</v>
      </c>
      <c r="E59" s="642">
        <f t="shared" si="2"/>
        <v>0</v>
      </c>
      <c r="L59" s="12"/>
      <c r="M59" s="12"/>
      <c r="N59" s="12"/>
      <c r="O59" s="12"/>
    </row>
    <row r="60" spans="1:15" s="319" customFormat="1">
      <c r="A60" s="639">
        <f t="shared" si="3"/>
        <v>36</v>
      </c>
      <c r="B60" s="1" t="s">
        <v>82</v>
      </c>
      <c r="C60" s="873">
        <v>877191.24</v>
      </c>
      <c r="D60" s="873">
        <v>877191.24</v>
      </c>
      <c r="E60" s="642">
        <f t="shared" si="2"/>
        <v>0</v>
      </c>
      <c r="L60" s="12"/>
      <c r="M60" s="12"/>
      <c r="N60" s="12"/>
      <c r="O60" s="12"/>
    </row>
    <row r="61" spans="1:15" s="319" customFormat="1">
      <c r="A61" s="639">
        <f t="shared" si="3"/>
        <v>37</v>
      </c>
      <c r="B61" s="1" t="s">
        <v>171</v>
      </c>
      <c r="C61" s="873">
        <v>812464.59</v>
      </c>
      <c r="D61" s="873">
        <v>812464.59</v>
      </c>
      <c r="E61" s="642">
        <f t="shared" si="2"/>
        <v>0</v>
      </c>
      <c r="L61" s="12"/>
      <c r="M61" s="12"/>
      <c r="N61" s="12"/>
      <c r="O61" s="12"/>
    </row>
    <row r="62" spans="1:15" s="319" customFormat="1">
      <c r="A62" s="639">
        <f t="shared" si="3"/>
        <v>38</v>
      </c>
      <c r="B62" s="1" t="s">
        <v>80</v>
      </c>
      <c r="C62" s="873">
        <v>938323.35</v>
      </c>
      <c r="D62" s="873">
        <v>938323.35</v>
      </c>
      <c r="E62" s="642">
        <f t="shared" si="2"/>
        <v>0</v>
      </c>
      <c r="L62" s="12"/>
      <c r="M62" s="12"/>
      <c r="N62" s="12"/>
      <c r="O62" s="12"/>
    </row>
    <row r="63" spans="1:15" s="319" customFormat="1">
      <c r="A63" s="639">
        <f t="shared" si="3"/>
        <v>39</v>
      </c>
      <c r="B63" s="1" t="s">
        <v>86</v>
      </c>
      <c r="C63" s="873">
        <v>1056913.6100000001</v>
      </c>
      <c r="D63" s="873">
        <v>1056913.6100000001</v>
      </c>
      <c r="E63" s="642">
        <f t="shared" si="2"/>
        <v>0</v>
      </c>
      <c r="L63" s="12"/>
      <c r="M63" s="12"/>
      <c r="N63" s="12"/>
      <c r="O63" s="12"/>
    </row>
    <row r="64" spans="1:15" s="319" customFormat="1">
      <c r="A64" s="639">
        <f t="shared" si="3"/>
        <v>40</v>
      </c>
      <c r="B64" s="1" t="s">
        <v>79</v>
      </c>
      <c r="C64" s="873">
        <v>266320.08</v>
      </c>
      <c r="D64" s="873">
        <v>266320.08</v>
      </c>
      <c r="E64" s="642">
        <f t="shared" si="2"/>
        <v>0</v>
      </c>
      <c r="L64" s="12"/>
      <c r="M64" s="12"/>
      <c r="N64" s="12"/>
      <c r="O64" s="12"/>
    </row>
    <row r="65" spans="1:16" s="319" customFormat="1">
      <c r="A65" s="639">
        <f t="shared" si="3"/>
        <v>41</v>
      </c>
      <c r="B65" s="1" t="s">
        <v>194</v>
      </c>
      <c r="C65" s="873">
        <v>256416.85</v>
      </c>
      <c r="D65" s="873">
        <v>256416.85</v>
      </c>
      <c r="E65" s="642">
        <f t="shared" si="2"/>
        <v>0</v>
      </c>
      <c r="L65" s="12"/>
      <c r="M65" s="12"/>
      <c r="N65" s="12"/>
      <c r="O65" s="12"/>
    </row>
    <row r="66" spans="1:16" s="319" customFormat="1" ht="13.5" thickBot="1">
      <c r="A66" s="639"/>
      <c r="B66" s="217"/>
      <c r="C66" s="643">
        <f>+E66+D66</f>
        <v>669992.67769230762</v>
      </c>
      <c r="D66" s="643">
        <f>SUM(D53:D65)/13</f>
        <v>669992.67769230762</v>
      </c>
      <c r="E66" s="643">
        <f>SUM(E53:E65)/13</f>
        <v>0</v>
      </c>
      <c r="L66" s="12"/>
      <c r="M66" s="12"/>
      <c r="N66" s="12"/>
      <c r="O66" s="12"/>
    </row>
    <row r="67" spans="1:16" s="319" customFormat="1" ht="13.5" thickTop="1">
      <c r="A67" s="639"/>
      <c r="B67" s="217"/>
      <c r="C67" s="1134"/>
      <c r="D67" s="285"/>
      <c r="E67" s="285"/>
      <c r="F67" s="285"/>
      <c r="G67" s="285"/>
      <c r="L67" s="12"/>
      <c r="M67" s="12"/>
      <c r="N67" s="12"/>
      <c r="O67" s="12"/>
    </row>
    <row r="68" spans="1:16">
      <c r="A68" s="284"/>
      <c r="B68" s="645" t="s">
        <v>548</v>
      </c>
      <c r="C68" s="285"/>
      <c r="D68" s="285"/>
      <c r="E68" s="285"/>
      <c r="F68" s="286"/>
      <c r="G68" s="286"/>
      <c r="H68" s="216"/>
      <c r="I68" s="216"/>
      <c r="J68" s="218"/>
      <c r="K68" s="12"/>
      <c r="L68" s="12"/>
      <c r="M68" s="12"/>
      <c r="N68" s="12"/>
      <c r="O68" s="12"/>
    </row>
    <row r="69" spans="1:16">
      <c r="A69" s="284"/>
      <c r="B69" s="217" t="s">
        <v>196</v>
      </c>
      <c r="C69" s="217" t="s">
        <v>197</v>
      </c>
      <c r="D69" s="217" t="s">
        <v>198</v>
      </c>
      <c r="E69" s="217" t="s">
        <v>199</v>
      </c>
      <c r="F69" s="264" t="s">
        <v>201</v>
      </c>
      <c r="G69" s="264" t="s">
        <v>200</v>
      </c>
      <c r="H69" s="264" t="s">
        <v>202</v>
      </c>
      <c r="I69" s="264" t="s">
        <v>203</v>
      </c>
      <c r="J69" s="218"/>
      <c r="K69" s="216"/>
      <c r="L69" s="12"/>
      <c r="M69" s="12"/>
      <c r="N69" s="12"/>
      <c r="O69" s="12"/>
      <c r="P69" s="12"/>
    </row>
    <row r="70" spans="1:16" ht="65">
      <c r="A70" s="284"/>
      <c r="B70" s="707" t="s">
        <v>316</v>
      </c>
      <c r="C70" s="356"/>
      <c r="D70" s="708" t="s">
        <v>11</v>
      </c>
      <c r="E70" s="708" t="s">
        <v>317</v>
      </c>
      <c r="F70" s="708" t="s">
        <v>716</v>
      </c>
      <c r="G70" s="708" t="s">
        <v>714</v>
      </c>
      <c r="H70" s="358" t="s">
        <v>318</v>
      </c>
      <c r="I70" s="358" t="s">
        <v>319</v>
      </c>
      <c r="J70" s="287"/>
      <c r="K70" s="287"/>
      <c r="L70" s="287"/>
      <c r="M70" s="288"/>
      <c r="N70" s="12"/>
      <c r="O70" s="12"/>
      <c r="P70" s="12"/>
    </row>
    <row r="71" spans="1:16">
      <c r="A71" s="284" t="str">
        <f>+A65+1&amp;"a"</f>
        <v>42a</v>
      </c>
      <c r="B71" s="277"/>
      <c r="C71" s="289" t="s">
        <v>320</v>
      </c>
      <c r="D71" s="1156">
        <v>0</v>
      </c>
      <c r="E71" s="1156">
        <v>0</v>
      </c>
      <c r="F71" s="1156">
        <v>0</v>
      </c>
      <c r="G71" s="1156">
        <v>0</v>
      </c>
      <c r="H71" s="1156">
        <v>0</v>
      </c>
      <c r="I71" s="1167">
        <f>+D71*E71*F71*G71*H71</f>
        <v>0</v>
      </c>
      <c r="J71" s="277"/>
      <c r="K71" s="277"/>
      <c r="L71" s="277"/>
      <c r="M71" s="288"/>
      <c r="N71" s="12"/>
      <c r="O71" s="12"/>
      <c r="P71" s="12"/>
    </row>
    <row r="72" spans="1:16">
      <c r="A72" s="639" t="str">
        <f>+A65+1&amp;"b"</f>
        <v>42b</v>
      </c>
      <c r="B72" s="277"/>
      <c r="C72" s="289" t="s">
        <v>321</v>
      </c>
      <c r="D72" s="1156">
        <v>0</v>
      </c>
      <c r="E72" s="1156">
        <v>0</v>
      </c>
      <c r="F72" s="1156">
        <v>0</v>
      </c>
      <c r="G72" s="1156">
        <v>0</v>
      </c>
      <c r="H72" s="1156">
        <v>0</v>
      </c>
      <c r="I72" s="1167">
        <f>+D72*E72*F72*G72*H72</f>
        <v>0</v>
      </c>
      <c r="J72" s="277"/>
      <c r="K72" s="277"/>
      <c r="L72" s="277"/>
      <c r="M72" s="288"/>
      <c r="N72" s="12"/>
      <c r="O72" s="12"/>
      <c r="P72" s="12"/>
    </row>
    <row r="73" spans="1:16">
      <c r="A73" s="284">
        <f>+A65+2</f>
        <v>43</v>
      </c>
      <c r="B73" s="277"/>
      <c r="C73" s="709" t="s">
        <v>13</v>
      </c>
      <c r="D73" s="1169">
        <f>SUM(D71:D72)</f>
        <v>0</v>
      </c>
      <c r="E73" s="1170"/>
      <c r="F73" s="1171"/>
      <c r="G73" s="1171"/>
      <c r="H73" s="1170"/>
      <c r="I73" s="1172">
        <f>SUM(I71:I72)</f>
        <v>0</v>
      </c>
      <c r="J73" s="277"/>
      <c r="K73" s="277"/>
      <c r="L73" s="277"/>
      <c r="M73" s="288"/>
      <c r="N73" s="12"/>
      <c r="O73" s="12"/>
      <c r="P73" s="12"/>
    </row>
    <row r="74" spans="1:16">
      <c r="A74" s="221"/>
      <c r="B74" s="222"/>
      <c r="C74" s="223"/>
      <c r="D74" s="223"/>
      <c r="E74" s="223"/>
      <c r="F74" s="223"/>
      <c r="G74" s="223"/>
      <c r="I74" s="294"/>
      <c r="J74" s="294"/>
      <c r="K74" s="294"/>
    </row>
    <row r="75" spans="1:16">
      <c r="A75" s="221"/>
      <c r="B75" s="222"/>
      <c r="C75" s="223"/>
      <c r="D75" s="223"/>
      <c r="E75" s="223"/>
      <c r="F75" s="223"/>
      <c r="G75" s="223"/>
      <c r="L75" s="12"/>
      <c r="M75" s="12"/>
      <c r="N75" s="12"/>
      <c r="O75" s="12"/>
      <c r="P75" s="12"/>
    </row>
    <row r="76" spans="1:16">
      <c r="A76" s="706" t="s">
        <v>182</v>
      </c>
    </row>
    <row r="77" spans="1:16">
      <c r="A77" s="320" t="s">
        <v>62</v>
      </c>
      <c r="B77" s="268" t="s">
        <v>353</v>
      </c>
      <c r="C77" s="259"/>
      <c r="D77" s="259"/>
      <c r="E77" s="259"/>
      <c r="F77" s="259"/>
      <c r="G77" s="259"/>
      <c r="H77" s="259"/>
      <c r="I77" s="259"/>
      <c r="J77" s="259"/>
      <c r="K77" s="259"/>
    </row>
    <row r="78" spans="1:16" s="216" customFormat="1" ht="48.75" customHeight="1">
      <c r="A78" s="320" t="s">
        <v>63</v>
      </c>
      <c r="B78" s="1211" t="s">
        <v>805</v>
      </c>
      <c r="C78" s="1211"/>
      <c r="D78" s="1211"/>
      <c r="E78" s="1211"/>
      <c r="F78" s="1211"/>
      <c r="G78" s="1211"/>
      <c r="H78" s="1211"/>
      <c r="I78" s="1211"/>
      <c r="J78" s="831"/>
      <c r="K78" s="440"/>
    </row>
    <row r="79" spans="1:16" ht="27.75" customHeight="1">
      <c r="A79" s="320" t="s">
        <v>64</v>
      </c>
      <c r="B79" s="1211" t="s">
        <v>542</v>
      </c>
      <c r="C79" s="1211"/>
      <c r="D79" s="1211"/>
      <c r="E79" s="1211"/>
      <c r="F79" s="1211"/>
      <c r="G79" s="1211"/>
      <c r="H79" s="1211"/>
      <c r="I79" s="1211"/>
      <c r="J79" s="831"/>
      <c r="K79" s="831"/>
    </row>
    <row r="80" spans="1:16" ht="12.75" customHeight="1">
      <c r="A80" s="320" t="s">
        <v>65</v>
      </c>
      <c r="B80" s="1211" t="s">
        <v>363</v>
      </c>
      <c r="C80" s="1211"/>
      <c r="D80" s="1211"/>
      <c r="E80" s="1211"/>
      <c r="F80" s="1211"/>
      <c r="G80" s="1211"/>
      <c r="H80" s="1211"/>
      <c r="I80" s="1211"/>
      <c r="J80" s="831"/>
      <c r="K80" s="831"/>
      <c r="L80" s="218"/>
    </row>
    <row r="81" spans="1:11" ht="27.75" customHeight="1">
      <c r="A81" s="320" t="s">
        <v>66</v>
      </c>
      <c r="B81" s="1211" t="s">
        <v>957</v>
      </c>
      <c r="C81" s="1211"/>
      <c r="D81" s="1211"/>
      <c r="E81" s="1211"/>
      <c r="F81" s="1211"/>
      <c r="G81" s="1211"/>
      <c r="H81" s="1211"/>
      <c r="I81" s="1211"/>
      <c r="J81" s="829"/>
      <c r="K81" s="829"/>
    </row>
    <row r="82" spans="1:11" s="216" customFormat="1" ht="60.75" customHeight="1">
      <c r="A82" s="320" t="s">
        <v>67</v>
      </c>
      <c r="B82" s="1211" t="s">
        <v>713</v>
      </c>
      <c r="C82" s="1211"/>
      <c r="D82" s="1211"/>
      <c r="E82" s="1211"/>
      <c r="F82" s="1211"/>
      <c r="G82" s="1211"/>
      <c r="H82" s="1211"/>
      <c r="I82" s="1211"/>
      <c r="J82" s="832"/>
      <c r="K82" s="832"/>
    </row>
    <row r="83" spans="1:11" ht="24.75" customHeight="1">
      <c r="A83" s="320" t="s">
        <v>68</v>
      </c>
      <c r="B83" s="1238" t="s">
        <v>802</v>
      </c>
      <c r="C83" s="1238"/>
      <c r="D83" s="1238"/>
      <c r="E83" s="1238"/>
      <c r="F83" s="1238"/>
      <c r="G83" s="1238"/>
      <c r="H83" s="1238"/>
      <c r="I83" s="1238"/>
      <c r="J83" s="832"/>
      <c r="K83" s="828"/>
    </row>
    <row r="84" spans="1:11" ht="18" customHeight="1">
      <c r="A84" s="320" t="s">
        <v>69</v>
      </c>
      <c r="B84" s="1230" t="s">
        <v>715</v>
      </c>
      <c r="C84" s="1230"/>
      <c r="D84" s="1230"/>
      <c r="E84" s="1230"/>
      <c r="F84" s="1230"/>
      <c r="G84" s="1230"/>
      <c r="H84" s="1230"/>
      <c r="I84" s="1230"/>
      <c r="J84" s="828"/>
      <c r="K84" s="828"/>
    </row>
  </sheetData>
  <customSheetViews>
    <customSheetView guid="{63AFAF34-E340-4B5E-A289-FFB7051CA9B6}" scale="85" showPageBreaks="1" fitToPage="1" printArea="1" topLeftCell="A52">
      <selection activeCell="E10" sqref="E10"/>
      <rowBreaks count="1" manualBreakCount="1">
        <brk id="44" max="9" man="1"/>
      </rowBreaks>
      <pageMargins left="0.25" right="0.25" top="0.75" bottom="0.75" header="0.3" footer="0.3"/>
      <pageSetup scale="60" fitToHeight="0" orientation="landscape" r:id="rId1"/>
    </customSheetView>
    <customSheetView guid="{F04A2B9A-C6FE-4FEB-AD1E-2CF9AC309BE4}" scale="85" showPageBreaks="1" printArea="1">
      <selection activeCell="E6" sqref="E6"/>
      <pageMargins left="0.7" right="0.7" top="0.75" bottom="0.75" header="0.3" footer="0.3"/>
      <pageSetup scale="55" orientation="landscape" r:id="rId2"/>
    </customSheetView>
  </customSheetViews>
  <mergeCells count="17">
    <mergeCell ref="B1:I1"/>
    <mergeCell ref="B2:I2"/>
    <mergeCell ref="B3:I3"/>
    <mergeCell ref="B82:I82"/>
    <mergeCell ref="B83:I83"/>
    <mergeCell ref="B84:I84"/>
    <mergeCell ref="C25:I25"/>
    <mergeCell ref="I6:J6"/>
    <mergeCell ref="G6:H6"/>
    <mergeCell ref="C6:D6"/>
    <mergeCell ref="C49:C50"/>
    <mergeCell ref="D49:D50"/>
    <mergeCell ref="E49:E50"/>
    <mergeCell ref="B78:I78"/>
    <mergeCell ref="B79:I79"/>
    <mergeCell ref="B80:I80"/>
    <mergeCell ref="B81:I81"/>
  </mergeCells>
  <phoneticPr fontId="0" type="noConversion"/>
  <pageMargins left="0.25" right="0.25" top="0.75" bottom="0.75" header="0.3" footer="0.3"/>
  <pageSetup scale="58" fitToHeight="0" orientation="landscape" r:id="rId3"/>
  <rowBreaks count="1" manualBreakCount="1">
    <brk id="44"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158"/>
  <sheetViews>
    <sheetView view="pageBreakPreview" zoomScale="70" zoomScaleNormal="70" zoomScaleSheetLayoutView="70" workbookViewId="0">
      <selection activeCell="A4" sqref="A4"/>
    </sheetView>
  </sheetViews>
  <sheetFormatPr defaultColWidth="7.4609375" defaultRowHeight="13"/>
  <cols>
    <col min="1" max="1" width="4.3046875" style="876" customWidth="1"/>
    <col min="2" max="2" width="58.69140625" style="875" customWidth="1"/>
    <col min="3" max="3" width="16.84375" style="875" customWidth="1"/>
    <col min="4" max="4" width="17.84375" style="875" customWidth="1"/>
    <col min="5" max="5" width="20.84375" style="875" customWidth="1"/>
    <col min="6" max="6" width="13.69140625" style="875" customWidth="1"/>
    <col min="7" max="8" width="12.84375" style="875" customWidth="1"/>
    <col min="9" max="9" width="13.84375" style="875" customWidth="1"/>
    <col min="10" max="10" width="63.84375" style="875" customWidth="1"/>
    <col min="11" max="16384" width="7.4609375" style="875"/>
  </cols>
  <sheetData>
    <row r="1" spans="1:10" ht="20">
      <c r="A1" s="1239" t="s">
        <v>953</v>
      </c>
      <c r="B1" s="1239"/>
      <c r="C1" s="1239"/>
      <c r="D1" s="1239"/>
      <c r="E1" s="1239"/>
      <c r="F1" s="1239"/>
      <c r="G1" s="1239"/>
      <c r="H1" s="1239"/>
      <c r="I1" s="1239"/>
      <c r="J1" s="1239"/>
    </row>
    <row r="2" spans="1:10" ht="20">
      <c r="A2" s="1239" t="str">
        <f>'Attachment H-26'!D5</f>
        <v>Transource West Virginia, LLC</v>
      </c>
      <c r="B2" s="1239"/>
      <c r="C2" s="1239"/>
      <c r="D2" s="1239"/>
      <c r="E2" s="1239"/>
      <c r="F2" s="1239"/>
      <c r="G2" s="1239"/>
      <c r="H2" s="1239"/>
      <c r="I2" s="1239"/>
      <c r="J2" s="1239"/>
    </row>
    <row r="3" spans="1:10" ht="20">
      <c r="A3" s="1239" t="s">
        <v>1067</v>
      </c>
      <c r="B3" s="1239"/>
      <c r="C3" s="1239"/>
      <c r="D3" s="1239"/>
      <c r="E3" s="1239"/>
      <c r="F3" s="1239"/>
      <c r="G3" s="1239"/>
      <c r="H3" s="1239"/>
      <c r="I3" s="1239"/>
      <c r="J3" s="1239"/>
    </row>
    <row r="4" spans="1:10" ht="17.5">
      <c r="B4" s="877"/>
      <c r="C4" s="878"/>
      <c r="D4" s="878"/>
      <c r="E4" s="878"/>
      <c r="F4" s="878"/>
      <c r="G4" s="878"/>
      <c r="H4" s="878"/>
      <c r="I4" s="878"/>
      <c r="J4" s="879" t="s">
        <v>678</v>
      </c>
    </row>
    <row r="5" spans="1:10" ht="15.5">
      <c r="A5" s="880"/>
      <c r="B5" s="881" t="s">
        <v>853</v>
      </c>
      <c r="C5" s="881"/>
      <c r="D5" s="882"/>
      <c r="E5" s="882"/>
      <c r="F5" s="882"/>
      <c r="G5" s="881"/>
      <c r="H5" s="881"/>
      <c r="I5" s="881"/>
      <c r="J5" s="882"/>
    </row>
    <row r="6" spans="1:10" ht="12.75" customHeight="1">
      <c r="A6" s="880"/>
      <c r="B6" s="883"/>
      <c r="C6" s="882"/>
      <c r="D6" s="882"/>
      <c r="E6" s="882"/>
      <c r="F6" s="882"/>
      <c r="G6" s="884"/>
      <c r="H6" s="884"/>
      <c r="I6" s="882"/>
      <c r="J6" s="882"/>
    </row>
    <row r="7" spans="1:10">
      <c r="A7" s="880"/>
      <c r="B7" s="885" t="s">
        <v>854</v>
      </c>
      <c r="C7" s="885" t="s">
        <v>855</v>
      </c>
      <c r="D7" s="885" t="s">
        <v>856</v>
      </c>
      <c r="E7" s="885" t="s">
        <v>857</v>
      </c>
      <c r="F7" s="885" t="s">
        <v>858</v>
      </c>
      <c r="G7" s="885" t="s">
        <v>859</v>
      </c>
      <c r="H7" s="885" t="s">
        <v>860</v>
      </c>
      <c r="I7" s="885" t="s">
        <v>861</v>
      </c>
      <c r="J7" s="885" t="s">
        <v>862</v>
      </c>
    </row>
    <row r="8" spans="1:10">
      <c r="A8" s="880"/>
      <c r="B8" s="882"/>
      <c r="C8" s="886" t="s">
        <v>863</v>
      </c>
      <c r="D8" s="887" t="s">
        <v>864</v>
      </c>
      <c r="E8" s="888">
        <v>1</v>
      </c>
      <c r="F8" s="887" t="s">
        <v>864</v>
      </c>
      <c r="G8" s="885"/>
      <c r="H8" s="885"/>
      <c r="I8" s="885" t="s">
        <v>865</v>
      </c>
      <c r="J8" s="882"/>
    </row>
    <row r="9" spans="1:10">
      <c r="A9" s="880" t="s">
        <v>8</v>
      </c>
      <c r="B9" s="889"/>
      <c r="C9" s="885" t="s">
        <v>866</v>
      </c>
      <c r="D9" s="885" t="s">
        <v>867</v>
      </c>
      <c r="E9" s="885" t="s">
        <v>868</v>
      </c>
      <c r="F9" s="885" t="s">
        <v>16</v>
      </c>
      <c r="G9" s="885" t="s">
        <v>869</v>
      </c>
      <c r="H9" s="885" t="s">
        <v>870</v>
      </c>
      <c r="I9" s="885" t="s">
        <v>871</v>
      </c>
      <c r="J9" s="882"/>
    </row>
    <row r="10" spans="1:10">
      <c r="A10" s="880" t="s">
        <v>10</v>
      </c>
      <c r="B10" s="890" t="s">
        <v>872</v>
      </c>
      <c r="C10" s="890" t="s">
        <v>958</v>
      </c>
      <c r="D10" s="891" t="s">
        <v>873</v>
      </c>
      <c r="E10" s="891" t="s">
        <v>874</v>
      </c>
      <c r="F10" s="891" t="s">
        <v>873</v>
      </c>
      <c r="G10" s="891" t="s">
        <v>873</v>
      </c>
      <c r="H10" s="891" t="s">
        <v>873</v>
      </c>
      <c r="I10" s="891" t="s">
        <v>875</v>
      </c>
      <c r="J10" s="891" t="s">
        <v>876</v>
      </c>
    </row>
    <row r="11" spans="1:10">
      <c r="A11" s="880">
        <v>1</v>
      </c>
      <c r="B11" s="892"/>
      <c r="C11" s="893"/>
      <c r="D11" s="894"/>
      <c r="E11" s="894"/>
      <c r="F11" s="893"/>
      <c r="G11" s="894"/>
      <c r="H11" s="894"/>
      <c r="I11" s="892"/>
      <c r="J11" s="892"/>
    </row>
    <row r="12" spans="1:10" ht="12.75" customHeight="1">
      <c r="A12" s="880">
        <f t="shared" ref="A12:A75" si="0">A11+1</f>
        <v>2</v>
      </c>
      <c r="B12" s="895" t="s">
        <v>877</v>
      </c>
      <c r="C12" s="893">
        <v>0</v>
      </c>
      <c r="D12" s="893">
        <v>0</v>
      </c>
      <c r="E12" s="893">
        <v>0</v>
      </c>
      <c r="F12" s="893">
        <v>0</v>
      </c>
      <c r="G12" s="893">
        <v>0</v>
      </c>
      <c r="H12" s="893">
        <v>0</v>
      </c>
      <c r="I12" s="896"/>
      <c r="J12" s="892" t="s">
        <v>878</v>
      </c>
    </row>
    <row r="13" spans="1:10" ht="12.75" customHeight="1">
      <c r="A13" s="880">
        <f t="shared" si="0"/>
        <v>3</v>
      </c>
      <c r="B13" s="895" t="s">
        <v>433</v>
      </c>
      <c r="C13" s="893">
        <v>0</v>
      </c>
      <c r="D13" s="893">
        <v>0</v>
      </c>
      <c r="E13" s="893">
        <v>0</v>
      </c>
      <c r="F13" s="893">
        <v>0</v>
      </c>
      <c r="G13" s="893">
        <v>0</v>
      </c>
      <c r="H13" s="893">
        <v>0</v>
      </c>
      <c r="I13" s="896"/>
      <c r="J13" s="892"/>
    </row>
    <row r="14" spans="1:10" ht="12.75" customHeight="1">
      <c r="A14" s="880">
        <f t="shared" si="0"/>
        <v>4</v>
      </c>
      <c r="B14" s="897"/>
      <c r="C14" s="893">
        <v>0</v>
      </c>
      <c r="D14" s="893">
        <v>0</v>
      </c>
      <c r="E14" s="893">
        <v>0</v>
      </c>
      <c r="F14" s="893">
        <v>0</v>
      </c>
      <c r="G14" s="893">
        <v>0</v>
      </c>
      <c r="H14" s="893">
        <v>0</v>
      </c>
      <c r="I14" s="896"/>
      <c r="J14" s="892"/>
    </row>
    <row r="15" spans="1:10" ht="12.75" customHeight="1">
      <c r="A15" s="880">
        <f t="shared" si="0"/>
        <v>5</v>
      </c>
      <c r="B15" s="898"/>
      <c r="C15" s="893">
        <v>0</v>
      </c>
      <c r="D15" s="893">
        <v>0</v>
      </c>
      <c r="E15" s="893">
        <v>0</v>
      </c>
      <c r="F15" s="893">
        <v>0</v>
      </c>
      <c r="G15" s="893">
        <v>0</v>
      </c>
      <c r="H15" s="893">
        <v>0</v>
      </c>
      <c r="I15" s="896"/>
      <c r="J15" s="892"/>
    </row>
    <row r="16" spans="1:10" ht="12.75" customHeight="1">
      <c r="A16" s="880">
        <f t="shared" si="0"/>
        <v>6</v>
      </c>
      <c r="B16" s="892"/>
      <c r="C16" s="893">
        <v>0</v>
      </c>
      <c r="D16" s="893">
        <v>0</v>
      </c>
      <c r="E16" s="893">
        <v>0</v>
      </c>
      <c r="F16" s="893">
        <v>0</v>
      </c>
      <c r="G16" s="893">
        <v>0</v>
      </c>
      <c r="H16" s="893">
        <v>0</v>
      </c>
      <c r="I16" s="899"/>
      <c r="J16" s="892"/>
    </row>
    <row r="17" spans="1:10" ht="12.75" customHeight="1">
      <c r="A17" s="880">
        <f t="shared" si="0"/>
        <v>7</v>
      </c>
      <c r="B17" s="892"/>
      <c r="C17" s="893">
        <v>0</v>
      </c>
      <c r="D17" s="893">
        <v>0</v>
      </c>
      <c r="E17" s="893">
        <v>0</v>
      </c>
      <c r="F17" s="893">
        <v>0</v>
      </c>
      <c r="G17" s="893">
        <v>0</v>
      </c>
      <c r="H17" s="893">
        <v>0</v>
      </c>
      <c r="I17" s="899"/>
      <c r="J17" s="892"/>
    </row>
    <row r="18" spans="1:10" ht="12.75" customHeight="1">
      <c r="A18" s="880">
        <f t="shared" si="0"/>
        <v>8</v>
      </c>
      <c r="B18" s="892"/>
      <c r="C18" s="893">
        <v>0</v>
      </c>
      <c r="D18" s="893">
        <v>0</v>
      </c>
      <c r="E18" s="893">
        <v>0</v>
      </c>
      <c r="F18" s="893">
        <v>0</v>
      </c>
      <c r="G18" s="893">
        <v>0</v>
      </c>
      <c r="H18" s="893">
        <v>0</v>
      </c>
      <c r="I18" s="899"/>
      <c r="J18" s="892"/>
    </row>
    <row r="19" spans="1:10" ht="12.75" customHeight="1">
      <c r="A19" s="880">
        <f t="shared" si="0"/>
        <v>9</v>
      </c>
      <c r="B19" s="892"/>
      <c r="C19" s="893">
        <v>0</v>
      </c>
      <c r="D19" s="893">
        <v>0</v>
      </c>
      <c r="E19" s="893">
        <v>0</v>
      </c>
      <c r="F19" s="893">
        <v>0</v>
      </c>
      <c r="G19" s="893">
        <v>0</v>
      </c>
      <c r="H19" s="893">
        <v>0</v>
      </c>
      <c r="I19" s="899"/>
      <c r="J19" s="892"/>
    </row>
    <row r="20" spans="1:10" ht="12.75" customHeight="1">
      <c r="A20" s="880">
        <f t="shared" si="0"/>
        <v>10</v>
      </c>
      <c r="B20" s="892"/>
      <c r="C20" s="893">
        <v>0</v>
      </c>
      <c r="D20" s="893">
        <v>0</v>
      </c>
      <c r="E20" s="893">
        <v>0</v>
      </c>
      <c r="F20" s="893">
        <v>0</v>
      </c>
      <c r="G20" s="893">
        <v>0</v>
      </c>
      <c r="H20" s="893">
        <v>0</v>
      </c>
      <c r="I20" s="899"/>
      <c r="J20" s="892"/>
    </row>
    <row r="21" spans="1:10" ht="12.75" customHeight="1">
      <c r="A21" s="880">
        <f t="shared" si="0"/>
        <v>11</v>
      </c>
      <c r="B21" s="892"/>
      <c r="C21" s="893">
        <v>0</v>
      </c>
      <c r="D21" s="893">
        <v>0</v>
      </c>
      <c r="E21" s="893">
        <v>0</v>
      </c>
      <c r="F21" s="893">
        <v>0</v>
      </c>
      <c r="G21" s="893">
        <v>0</v>
      </c>
      <c r="H21" s="893">
        <v>0</v>
      </c>
      <c r="I21" s="899"/>
      <c r="J21" s="892"/>
    </row>
    <row r="22" spans="1:10" ht="12.75" customHeight="1">
      <c r="A22" s="880">
        <f t="shared" si="0"/>
        <v>12</v>
      </c>
      <c r="B22" s="892"/>
      <c r="C22" s="893">
        <v>0</v>
      </c>
      <c r="D22" s="893">
        <v>0</v>
      </c>
      <c r="E22" s="893">
        <v>0</v>
      </c>
      <c r="F22" s="893">
        <v>0</v>
      </c>
      <c r="G22" s="893">
        <v>0</v>
      </c>
      <c r="H22" s="893">
        <v>0</v>
      </c>
      <c r="I22" s="899"/>
      <c r="J22" s="892"/>
    </row>
    <row r="23" spans="1:10" ht="12.75" customHeight="1">
      <c r="A23" s="880">
        <f t="shared" si="0"/>
        <v>13</v>
      </c>
      <c r="B23" s="892"/>
      <c r="C23" s="893">
        <v>0</v>
      </c>
      <c r="D23" s="893">
        <v>0</v>
      </c>
      <c r="E23" s="893">
        <v>0</v>
      </c>
      <c r="F23" s="893">
        <v>0</v>
      </c>
      <c r="G23" s="893">
        <v>0</v>
      </c>
      <c r="H23" s="893">
        <v>0</v>
      </c>
      <c r="I23" s="899"/>
      <c r="J23" s="892"/>
    </row>
    <row r="24" spans="1:10" ht="12.75" customHeight="1">
      <c r="A24" s="880">
        <f t="shared" si="0"/>
        <v>14</v>
      </c>
      <c r="B24" s="892"/>
      <c r="C24" s="893">
        <v>0</v>
      </c>
      <c r="D24" s="893">
        <v>0</v>
      </c>
      <c r="E24" s="893">
        <v>0</v>
      </c>
      <c r="F24" s="893">
        <v>0</v>
      </c>
      <c r="G24" s="893">
        <v>0</v>
      </c>
      <c r="H24" s="893">
        <v>0</v>
      </c>
      <c r="I24" s="899"/>
      <c r="J24" s="892"/>
    </row>
    <row r="25" spans="1:10" ht="12.75" customHeight="1">
      <c r="A25" s="880">
        <f t="shared" si="0"/>
        <v>15</v>
      </c>
      <c r="B25" s="892"/>
      <c r="C25" s="893">
        <v>0</v>
      </c>
      <c r="D25" s="893">
        <v>0</v>
      </c>
      <c r="E25" s="893">
        <v>0</v>
      </c>
      <c r="F25" s="893">
        <v>0</v>
      </c>
      <c r="G25" s="893">
        <v>0</v>
      </c>
      <c r="H25" s="893">
        <v>0</v>
      </c>
      <c r="I25" s="899"/>
      <c r="J25" s="892"/>
    </row>
    <row r="26" spans="1:10" ht="12.75" customHeight="1">
      <c r="A26" s="880">
        <f t="shared" si="0"/>
        <v>16</v>
      </c>
      <c r="B26" s="892"/>
      <c r="C26" s="893">
        <v>0</v>
      </c>
      <c r="D26" s="893">
        <v>0</v>
      </c>
      <c r="E26" s="893">
        <v>0</v>
      </c>
      <c r="F26" s="893">
        <v>0</v>
      </c>
      <c r="G26" s="893">
        <v>0</v>
      </c>
      <c r="H26" s="893">
        <v>0</v>
      </c>
      <c r="I26" s="899"/>
      <c r="J26" s="892"/>
    </row>
    <row r="27" spans="1:10" ht="12.75" customHeight="1">
      <c r="A27" s="880">
        <f t="shared" si="0"/>
        <v>17</v>
      </c>
      <c r="B27" s="892"/>
      <c r="C27" s="893">
        <v>0</v>
      </c>
      <c r="D27" s="893">
        <v>0</v>
      </c>
      <c r="E27" s="893">
        <v>0</v>
      </c>
      <c r="F27" s="893">
        <v>0</v>
      </c>
      <c r="G27" s="893">
        <v>0</v>
      </c>
      <c r="H27" s="893">
        <v>0</v>
      </c>
      <c r="I27" s="899"/>
      <c r="J27" s="892"/>
    </row>
    <row r="28" spans="1:10" ht="12.75" customHeight="1">
      <c r="A28" s="880">
        <f t="shared" si="0"/>
        <v>18</v>
      </c>
      <c r="B28" s="892"/>
      <c r="C28" s="893">
        <v>0</v>
      </c>
      <c r="D28" s="893">
        <v>0</v>
      </c>
      <c r="E28" s="893">
        <v>0</v>
      </c>
      <c r="F28" s="893">
        <v>0</v>
      </c>
      <c r="G28" s="893">
        <v>0</v>
      </c>
      <c r="H28" s="893">
        <v>0</v>
      </c>
      <c r="I28" s="899"/>
      <c r="J28" s="892"/>
    </row>
    <row r="29" spans="1:10" ht="12.75" customHeight="1">
      <c r="A29" s="880">
        <f t="shared" si="0"/>
        <v>19</v>
      </c>
      <c r="B29" s="892"/>
      <c r="C29" s="893">
        <v>0</v>
      </c>
      <c r="D29" s="893">
        <v>0</v>
      </c>
      <c r="E29" s="893">
        <v>0</v>
      </c>
      <c r="F29" s="893">
        <v>0</v>
      </c>
      <c r="G29" s="893">
        <v>0</v>
      </c>
      <c r="H29" s="893">
        <v>0</v>
      </c>
      <c r="I29" s="899"/>
      <c r="J29" s="892"/>
    </row>
    <row r="30" spans="1:10" ht="12.75" customHeight="1">
      <c r="A30" s="880">
        <f t="shared" si="0"/>
        <v>20</v>
      </c>
      <c r="B30" s="892"/>
      <c r="C30" s="893">
        <v>0</v>
      </c>
      <c r="D30" s="893">
        <v>0</v>
      </c>
      <c r="E30" s="893">
        <v>0</v>
      </c>
      <c r="F30" s="893">
        <v>0</v>
      </c>
      <c r="G30" s="893">
        <v>0</v>
      </c>
      <c r="H30" s="893">
        <v>0</v>
      </c>
      <c r="I30" s="899"/>
      <c r="J30" s="892"/>
    </row>
    <row r="31" spans="1:10" ht="12.75" customHeight="1">
      <c r="A31" s="880">
        <f t="shared" si="0"/>
        <v>21</v>
      </c>
      <c r="B31" s="892"/>
      <c r="C31" s="893">
        <v>0</v>
      </c>
      <c r="D31" s="893">
        <v>0</v>
      </c>
      <c r="E31" s="893">
        <v>0</v>
      </c>
      <c r="F31" s="893">
        <v>0</v>
      </c>
      <c r="G31" s="893">
        <v>0</v>
      </c>
      <c r="H31" s="893">
        <v>0</v>
      </c>
      <c r="I31" s="899"/>
      <c r="J31" s="892"/>
    </row>
    <row r="32" spans="1:10" ht="12.75" customHeight="1">
      <c r="A32" s="880">
        <f t="shared" si="0"/>
        <v>22</v>
      </c>
      <c r="B32" s="892"/>
      <c r="C32" s="893">
        <v>0</v>
      </c>
      <c r="D32" s="893">
        <v>0</v>
      </c>
      <c r="E32" s="893">
        <v>0</v>
      </c>
      <c r="F32" s="893">
        <v>0</v>
      </c>
      <c r="G32" s="893">
        <v>0</v>
      </c>
      <c r="H32" s="893">
        <v>0</v>
      </c>
      <c r="I32" s="899"/>
      <c r="J32" s="892"/>
    </row>
    <row r="33" spans="1:10" ht="12.75" customHeight="1">
      <c r="A33" s="880">
        <f t="shared" si="0"/>
        <v>23</v>
      </c>
      <c r="B33" s="892"/>
      <c r="C33" s="893"/>
      <c r="D33" s="900"/>
      <c r="E33" s="901" t="s">
        <v>2</v>
      </c>
      <c r="F33" s="901"/>
      <c r="G33" s="901" t="s">
        <v>2</v>
      </c>
      <c r="H33" s="901"/>
      <c r="I33" s="892"/>
      <c r="J33" s="892"/>
    </row>
    <row r="34" spans="1:10" ht="12.75" customHeight="1">
      <c r="A34" s="880">
        <f t="shared" si="0"/>
        <v>24</v>
      </c>
      <c r="B34" s="902" t="s">
        <v>879</v>
      </c>
      <c r="C34" s="903">
        <f>SUM(C12:C32)</f>
        <v>0</v>
      </c>
      <c r="D34" s="903">
        <f t="shared" ref="D34:H34" si="1">SUM(D12:D32)</f>
        <v>0</v>
      </c>
      <c r="E34" s="903">
        <f t="shared" si="1"/>
        <v>0</v>
      </c>
      <c r="F34" s="903">
        <f t="shared" si="1"/>
        <v>0</v>
      </c>
      <c r="G34" s="903">
        <f t="shared" si="1"/>
        <v>0</v>
      </c>
      <c r="H34" s="903">
        <f t="shared" si="1"/>
        <v>0</v>
      </c>
      <c r="I34" s="904"/>
      <c r="J34" s="905"/>
    </row>
    <row r="35" spans="1:10" ht="12.75" customHeight="1">
      <c r="A35" s="880">
        <f t="shared" si="0"/>
        <v>25</v>
      </c>
      <c r="B35" s="902" t="s">
        <v>880</v>
      </c>
      <c r="C35" s="903">
        <f>SUM(D35:H35)</f>
        <v>0</v>
      </c>
      <c r="D35" s="906">
        <v>0</v>
      </c>
      <c r="E35" s="906">
        <v>0</v>
      </c>
      <c r="F35" s="906">
        <v>0</v>
      </c>
      <c r="G35" s="906">
        <v>0</v>
      </c>
      <c r="H35" s="906">
        <v>0</v>
      </c>
      <c r="I35" s="907"/>
      <c r="J35" s="908"/>
    </row>
    <row r="36" spans="1:10" ht="12.75" customHeight="1">
      <c r="A36" s="880">
        <f t="shared" si="0"/>
        <v>26</v>
      </c>
      <c r="B36" s="902" t="s">
        <v>881</v>
      </c>
      <c r="C36" s="903">
        <f>SUM(D36:H36)</f>
        <v>0</v>
      </c>
      <c r="D36" s="906">
        <v>0</v>
      </c>
      <c r="E36" s="906">
        <v>0</v>
      </c>
      <c r="F36" s="906">
        <v>0</v>
      </c>
      <c r="G36" s="906">
        <v>0</v>
      </c>
      <c r="H36" s="906">
        <v>0</v>
      </c>
      <c r="I36" s="907"/>
      <c r="J36" s="908"/>
    </row>
    <row r="37" spans="1:10" ht="12.75" customHeight="1">
      <c r="A37" s="880">
        <f t="shared" si="0"/>
        <v>27</v>
      </c>
      <c r="B37" s="902" t="s">
        <v>959</v>
      </c>
      <c r="C37" s="903">
        <f>'4c - ADIT Proration'!J127</f>
        <v>0</v>
      </c>
      <c r="D37" s="906">
        <v>0</v>
      </c>
      <c r="E37" s="906">
        <v>0</v>
      </c>
      <c r="F37" s="906">
        <v>0</v>
      </c>
      <c r="G37" s="906">
        <v>0</v>
      </c>
      <c r="H37" s="906">
        <v>0</v>
      </c>
      <c r="I37" s="907"/>
      <c r="J37" s="905"/>
    </row>
    <row r="38" spans="1:10" ht="12.75" customHeight="1">
      <c r="A38" s="880">
        <f t="shared" si="0"/>
        <v>28</v>
      </c>
      <c r="B38" s="902" t="str">
        <f>"Total Company   (ln "&amp;A34&amp;" - ln "&amp;A35&amp;" - ln "&amp;A36&amp;" + ln "&amp;A37&amp;")"</f>
        <v>Total Company   (ln 24 - ln 25 - ln 26 + ln 27)</v>
      </c>
      <c r="C38" s="903">
        <f>+C34-C35-C36+C37</f>
        <v>0</v>
      </c>
      <c r="D38" s="903">
        <f>+D34-D35-D36+D37</f>
        <v>0</v>
      </c>
      <c r="E38" s="903">
        <f t="shared" ref="E38:H38" si="2">+E34-E35-E36+E37</f>
        <v>0</v>
      </c>
      <c r="F38" s="903">
        <f t="shared" si="2"/>
        <v>0</v>
      </c>
      <c r="G38" s="903">
        <f t="shared" si="2"/>
        <v>0</v>
      </c>
      <c r="H38" s="903">
        <f t="shared" si="2"/>
        <v>0</v>
      </c>
      <c r="I38" s="904" t="s">
        <v>2</v>
      </c>
      <c r="J38" s="905"/>
    </row>
    <row r="39" spans="1:10" ht="12.75" customHeight="1" thickBot="1">
      <c r="A39" s="880">
        <f t="shared" si="0"/>
        <v>29</v>
      </c>
      <c r="B39" s="909" t="s">
        <v>882</v>
      </c>
      <c r="C39" s="910"/>
      <c r="D39" s="911">
        <v>0</v>
      </c>
      <c r="E39" s="911">
        <v>0</v>
      </c>
      <c r="F39" s="911">
        <v>1</v>
      </c>
      <c r="G39" s="911">
        <f>'Attachment H-26'!$G$82</f>
        <v>1</v>
      </c>
      <c r="H39" s="911">
        <f>'Attachment H-26'!$I$196</f>
        <v>1</v>
      </c>
      <c r="I39" s="912"/>
      <c r="J39" s="905"/>
    </row>
    <row r="40" spans="1:10" ht="12.75" customHeight="1" thickBot="1">
      <c r="A40" s="880">
        <f t="shared" si="0"/>
        <v>30</v>
      </c>
      <c r="B40" s="902" t="str">
        <f>"Total Transmission   (ln "&amp;A38&amp;" * ln "&amp;A39&amp;")"</f>
        <v>Total Transmission   (ln 28 * ln 29)</v>
      </c>
      <c r="C40" s="913"/>
      <c r="D40" s="904">
        <f>D38*D39</f>
        <v>0</v>
      </c>
      <c r="E40" s="904">
        <f>E38*E39</f>
        <v>0</v>
      </c>
      <c r="F40" s="904">
        <f>F38*F39</f>
        <v>0</v>
      </c>
      <c r="G40" s="904">
        <f>G38*G39</f>
        <v>0</v>
      </c>
      <c r="H40" s="914">
        <f>H38*H39</f>
        <v>0</v>
      </c>
      <c r="I40" s="915">
        <f>SUM(F40:H40)</f>
        <v>0</v>
      </c>
      <c r="J40" s="902"/>
    </row>
    <row r="41" spans="1:10" ht="12.75" customHeight="1">
      <c r="A41" s="880"/>
      <c r="B41" s="916"/>
      <c r="C41" s="917"/>
      <c r="D41" s="918"/>
      <c r="E41" s="918"/>
      <c r="F41" s="918"/>
      <c r="G41" s="918"/>
      <c r="H41" s="918"/>
      <c r="I41" s="918"/>
      <c r="J41" s="916"/>
    </row>
    <row r="42" spans="1:10" s="882" customFormat="1" ht="12.25" customHeight="1">
      <c r="A42" s="880"/>
      <c r="B42" s="919"/>
      <c r="C42" s="920"/>
      <c r="D42" s="921"/>
      <c r="E42" s="921"/>
      <c r="F42" s="921"/>
      <c r="G42" s="921"/>
      <c r="H42" s="921"/>
      <c r="I42" s="918"/>
    </row>
    <row r="43" spans="1:10" ht="15.75" customHeight="1">
      <c r="A43" s="880"/>
      <c r="B43" s="881" t="s">
        <v>883</v>
      </c>
      <c r="C43" s="881"/>
      <c r="D43" s="881"/>
      <c r="E43" s="881"/>
      <c r="F43" s="881"/>
      <c r="G43" s="882"/>
    </row>
    <row r="44" spans="1:10" ht="12.75" customHeight="1">
      <c r="A44" s="880"/>
      <c r="B44" s="922"/>
      <c r="C44" s="920"/>
      <c r="D44" s="920"/>
      <c r="E44" s="920"/>
      <c r="F44" s="920"/>
      <c r="G44" s="884"/>
      <c r="H44" s="884"/>
      <c r="I44" s="920"/>
      <c r="J44" s="882"/>
    </row>
    <row r="45" spans="1:10">
      <c r="A45" s="880"/>
      <c r="B45" s="885" t="str">
        <f>B7</f>
        <v>(A)</v>
      </c>
      <c r="C45" s="885" t="s">
        <v>855</v>
      </c>
      <c r="D45" s="885" t="str">
        <f t="shared" ref="D45:J45" si="3">D7</f>
        <v>(C)</v>
      </c>
      <c r="E45" s="885" t="str">
        <f t="shared" si="3"/>
        <v>(D)</v>
      </c>
      <c r="F45" s="885" t="str">
        <f t="shared" si="3"/>
        <v>(E)</v>
      </c>
      <c r="G45" s="885" t="str">
        <f t="shared" si="3"/>
        <v>(F)</v>
      </c>
      <c r="H45" s="885" t="str">
        <f t="shared" si="3"/>
        <v>(G)</v>
      </c>
      <c r="I45" s="885" t="str">
        <f t="shared" si="3"/>
        <v>(H)</v>
      </c>
      <c r="J45" s="885" t="str">
        <f t="shared" si="3"/>
        <v>(I)</v>
      </c>
    </row>
    <row r="46" spans="1:10">
      <c r="A46" s="880"/>
      <c r="B46" s="885"/>
      <c r="C46" s="886" t="s">
        <v>863</v>
      </c>
      <c r="D46" s="885" t="str">
        <f>D8</f>
        <v>100%</v>
      </c>
      <c r="E46" s="888">
        <v>1</v>
      </c>
      <c r="F46" s="885" t="str">
        <f>F8</f>
        <v>100%</v>
      </c>
      <c r="G46" s="885"/>
      <c r="H46" s="885"/>
      <c r="I46" s="885" t="str">
        <f>I8</f>
        <v>Total Included</v>
      </c>
      <c r="J46" s="882"/>
    </row>
    <row r="47" spans="1:10">
      <c r="A47" s="880" t="s">
        <v>8</v>
      </c>
      <c r="B47" s="885"/>
      <c r="C47" s="885" t="s">
        <v>866</v>
      </c>
      <c r="D47" s="885" t="str">
        <f>D9</f>
        <v>Non-Transmission</v>
      </c>
      <c r="E47" s="885" t="s">
        <v>868</v>
      </c>
      <c r="F47" s="885" t="str">
        <f>F9</f>
        <v>Transmission</v>
      </c>
      <c r="G47" s="885" t="str">
        <f>G9</f>
        <v xml:space="preserve">Plant </v>
      </c>
      <c r="H47" s="885" t="str">
        <f>H9</f>
        <v>Labor</v>
      </c>
      <c r="I47" s="885" t="str">
        <f>I9</f>
        <v>in Ratebase</v>
      </c>
      <c r="J47" s="882"/>
    </row>
    <row r="48" spans="1:10">
      <c r="A48" s="880" t="s">
        <v>10</v>
      </c>
      <c r="B48" s="891" t="str">
        <f>B10</f>
        <v>Identification</v>
      </c>
      <c r="C48" s="890" t="s">
        <v>958</v>
      </c>
      <c r="D48" s="891" t="str">
        <f>D10</f>
        <v>Related</v>
      </c>
      <c r="E48" s="891" t="s">
        <v>874</v>
      </c>
      <c r="F48" s="891" t="str">
        <f>F10</f>
        <v>Related</v>
      </c>
      <c r="G48" s="891" t="str">
        <f>G10</f>
        <v>Related</v>
      </c>
      <c r="H48" s="891" t="str">
        <f>H10</f>
        <v>Related</v>
      </c>
      <c r="I48" s="891" t="str">
        <f>I10</f>
        <v>(E)+(F)+(G)</v>
      </c>
      <c r="J48" s="891" t="str">
        <f>J10</f>
        <v>Description / Justification</v>
      </c>
    </row>
    <row r="49" spans="1:10">
      <c r="A49" s="880">
        <f>A40+1</f>
        <v>31</v>
      </c>
      <c r="B49" s="892" t="str">
        <f>'4b - ADIT Beginning Ending'!B15</f>
        <v>230A ACRS Benefit Normalized</v>
      </c>
      <c r="C49" s="923">
        <f>'4b - ADIT Beginning Ending'!H15</f>
        <v>2250467.7200000002</v>
      </c>
      <c r="D49" s="924">
        <v>0</v>
      </c>
      <c r="E49" s="924">
        <v>0</v>
      </c>
      <c r="F49" s="924">
        <v>0</v>
      </c>
      <c r="G49" s="923">
        <f>C49</f>
        <v>2250467.7200000002</v>
      </c>
      <c r="H49" s="923">
        <v>0</v>
      </c>
      <c r="I49" s="923">
        <f>H49+G49+F49</f>
        <v>2250467.7200000002</v>
      </c>
      <c r="J49" s="908" t="s">
        <v>1003</v>
      </c>
    </row>
    <row r="50" spans="1:10">
      <c r="A50" s="880">
        <f t="shared" si="0"/>
        <v>32</v>
      </c>
      <c r="B50" s="892" t="str">
        <f>'4b - ADIT Beginning Ending'!B16</f>
        <v>532C- Book/Tax Unit of Property Adj</v>
      </c>
      <c r="C50" s="923">
        <f>'4b - ADIT Beginning Ending'!H16</f>
        <v>535879.89</v>
      </c>
      <c r="D50" s="924">
        <v>0</v>
      </c>
      <c r="E50" s="924">
        <v>0</v>
      </c>
      <c r="F50" s="924">
        <v>0</v>
      </c>
      <c r="G50" s="923">
        <f>C50</f>
        <v>535879.89</v>
      </c>
      <c r="H50" s="923">
        <v>0</v>
      </c>
      <c r="I50" s="923">
        <f>H50+G50+F50</f>
        <v>535879.89</v>
      </c>
      <c r="J50" s="908" t="s">
        <v>1004</v>
      </c>
    </row>
    <row r="51" spans="1:10">
      <c r="A51" s="880">
        <f t="shared" si="0"/>
        <v>33</v>
      </c>
      <c r="B51" s="892" t="str">
        <f>'4b - ADIT Beginning Ending'!B17</f>
        <v>380J Int Exp Capitalized</v>
      </c>
      <c r="C51" s="923">
        <f>'4b - ADIT Beginning Ending'!H17</f>
        <v>-58.38</v>
      </c>
      <c r="D51" s="924">
        <v>0</v>
      </c>
      <c r="E51" s="924">
        <v>0</v>
      </c>
      <c r="F51" s="924">
        <v>0</v>
      </c>
      <c r="G51" s="923">
        <f t="shared" ref="G51:G61" si="4">C51</f>
        <v>-58.38</v>
      </c>
      <c r="H51" s="923">
        <v>0</v>
      </c>
      <c r="I51" s="923">
        <f t="shared" ref="I51" si="5">H51+G51+F51</f>
        <v>-58.38</v>
      </c>
      <c r="J51" s="908" t="s">
        <v>1014</v>
      </c>
    </row>
    <row r="52" spans="1:10">
      <c r="A52" s="880">
        <f t="shared" si="0"/>
        <v>34</v>
      </c>
      <c r="B52" s="892" t="str">
        <f>'4b - ADIT Beginning Ending'!B18</f>
        <v>712K- Capitalized Software Cost-Book</v>
      </c>
      <c r="C52" s="923">
        <f>'4b - ADIT Beginning Ending'!H18</f>
        <v>6782.0550000000003</v>
      </c>
      <c r="D52" s="924">
        <v>0</v>
      </c>
      <c r="E52" s="924">
        <v>0</v>
      </c>
      <c r="F52" s="924">
        <v>0</v>
      </c>
      <c r="G52" s="923">
        <f t="shared" si="4"/>
        <v>6782.0550000000003</v>
      </c>
      <c r="H52" s="923">
        <v>0</v>
      </c>
      <c r="I52" s="923">
        <f t="shared" ref="I52:I60" si="6">H52+G52+F52</f>
        <v>6782.0550000000003</v>
      </c>
      <c r="J52" s="908" t="s">
        <v>884</v>
      </c>
    </row>
    <row r="53" spans="1:10">
      <c r="A53" s="880">
        <f t="shared" si="0"/>
        <v>35</v>
      </c>
      <c r="B53" s="892" t="str">
        <f>'4b - ADIT Beginning Ending'!B19</f>
        <v>712L CAPITALIZED SOFTWARE COST-BOOKS</v>
      </c>
      <c r="C53" s="923">
        <f>'4b - ADIT Beginning Ending'!H19</f>
        <v>-24585.33</v>
      </c>
      <c r="D53" s="924">
        <v>0</v>
      </c>
      <c r="E53" s="924">
        <v>0</v>
      </c>
      <c r="F53" s="924">
        <v>0</v>
      </c>
      <c r="G53" s="923">
        <f t="shared" si="4"/>
        <v>-24585.33</v>
      </c>
      <c r="H53" s="923">
        <v>0</v>
      </c>
      <c r="I53" s="923">
        <f t="shared" si="6"/>
        <v>-24585.33</v>
      </c>
      <c r="J53" s="908" t="s">
        <v>884</v>
      </c>
    </row>
    <row r="54" spans="1:10">
      <c r="A54" s="880">
        <f t="shared" si="0"/>
        <v>36</v>
      </c>
      <c r="B54" s="892" t="str">
        <f>'4b - ADIT Beginning Ending'!B20</f>
        <v>960F-XS Exess ADFIT 282.1 - Protected</v>
      </c>
      <c r="C54" s="923">
        <f>'4b - ADIT Beginning Ending'!H20</f>
        <v>0</v>
      </c>
      <c r="D54" s="924">
        <v>0</v>
      </c>
      <c r="E54" s="924">
        <v>0</v>
      </c>
      <c r="F54" s="924">
        <v>0</v>
      </c>
      <c r="G54" s="923">
        <f t="shared" si="4"/>
        <v>0</v>
      </c>
      <c r="H54" s="923">
        <v>0</v>
      </c>
      <c r="I54" s="923">
        <f t="shared" si="6"/>
        <v>0</v>
      </c>
      <c r="J54" s="908" t="s">
        <v>1008</v>
      </c>
    </row>
    <row r="55" spans="1:10">
      <c r="A55" s="880">
        <f t="shared" si="0"/>
        <v>37</v>
      </c>
      <c r="B55" s="892" t="str">
        <f>'4b - ADIT Beginning Ending'!B21</f>
        <v>960F-XS Exess ADFIT 282.1 - Unprotected</v>
      </c>
      <c r="C55" s="923">
        <f>'4b - ADIT Beginning Ending'!H21</f>
        <v>0</v>
      </c>
      <c r="D55" s="924">
        <v>0</v>
      </c>
      <c r="E55" s="924">
        <v>0</v>
      </c>
      <c r="F55" s="924">
        <v>0</v>
      </c>
      <c r="G55" s="923">
        <f t="shared" si="4"/>
        <v>0</v>
      </c>
      <c r="H55" s="923">
        <v>0</v>
      </c>
      <c r="I55" s="923">
        <f t="shared" si="6"/>
        <v>0</v>
      </c>
      <c r="J55" s="908" t="s">
        <v>1009</v>
      </c>
    </row>
    <row r="56" spans="1:10">
      <c r="A56" s="880">
        <f t="shared" si="0"/>
        <v>38</v>
      </c>
      <c r="B56" s="892" t="str">
        <f>'4b - ADIT Beginning Ending'!B22</f>
        <v>960F-XS Exess ADFIT 282.4 - Protected</v>
      </c>
      <c r="C56" s="923">
        <f>'4b - ADIT Beginning Ending'!H22</f>
        <v>0</v>
      </c>
      <c r="D56" s="924">
        <v>0</v>
      </c>
      <c r="E56" s="924">
        <v>0</v>
      </c>
      <c r="F56" s="924">
        <v>0</v>
      </c>
      <c r="G56" s="923">
        <f t="shared" si="4"/>
        <v>0</v>
      </c>
      <c r="H56" s="923">
        <v>0</v>
      </c>
      <c r="I56" s="923">
        <f t="shared" si="6"/>
        <v>0</v>
      </c>
      <c r="J56" s="908" t="s">
        <v>1008</v>
      </c>
    </row>
    <row r="57" spans="1:10">
      <c r="A57" s="880">
        <f t="shared" si="0"/>
        <v>39</v>
      </c>
      <c r="B57" s="892" t="str">
        <f>'4b - ADIT Beginning Ending'!B23</f>
        <v>960F-XS Exess ADFIT 282.4 - Unprotected</v>
      </c>
      <c r="C57" s="923">
        <f>'4b - ADIT Beginning Ending'!H23</f>
        <v>0</v>
      </c>
      <c r="D57" s="924">
        <v>0</v>
      </c>
      <c r="E57" s="924">
        <v>0</v>
      </c>
      <c r="F57" s="924">
        <v>0</v>
      </c>
      <c r="G57" s="923">
        <f t="shared" si="4"/>
        <v>0</v>
      </c>
      <c r="H57" s="923">
        <v>0</v>
      </c>
      <c r="I57" s="923">
        <f t="shared" si="6"/>
        <v>0</v>
      </c>
      <c r="J57" s="908" t="s">
        <v>1009</v>
      </c>
    </row>
    <row r="58" spans="1:10">
      <c r="A58" s="880">
        <f t="shared" si="0"/>
        <v>40</v>
      </c>
      <c r="B58" s="908" t="str">
        <f>'4b - ADIT Beginning Ending'!B24</f>
        <v>6009 - PT COR - NORM</v>
      </c>
      <c r="C58" s="1199">
        <f>'4b - ADIT Beginning Ending'!H24</f>
        <v>1509.69</v>
      </c>
      <c r="D58" s="1200">
        <v>0</v>
      </c>
      <c r="E58" s="1200">
        <v>0</v>
      </c>
      <c r="F58" s="1200">
        <v>0</v>
      </c>
      <c r="G58" s="1201">
        <f t="shared" si="4"/>
        <v>1509.69</v>
      </c>
      <c r="H58" s="1200">
        <v>0</v>
      </c>
      <c r="I58" s="1202">
        <f t="shared" si="6"/>
        <v>1509.69</v>
      </c>
      <c r="J58" s="908" t="s">
        <v>1016</v>
      </c>
    </row>
    <row r="59" spans="1:10">
      <c r="A59" s="880">
        <f t="shared" si="0"/>
        <v>41</v>
      </c>
      <c r="B59" s="908" t="str">
        <f>'4b - ADIT Beginning Ending'!B25</f>
        <v>6011 - PT CPI - NORM</v>
      </c>
      <c r="C59" s="1199">
        <f>'4b - ADIT Beginning Ending'!H25</f>
        <v>-2517.7649999999999</v>
      </c>
      <c r="D59" s="1200">
        <v>0</v>
      </c>
      <c r="E59" s="1200">
        <v>0</v>
      </c>
      <c r="F59" s="1200">
        <v>0</v>
      </c>
      <c r="G59" s="1201">
        <f t="shared" si="4"/>
        <v>-2517.7649999999999</v>
      </c>
      <c r="H59" s="1200">
        <v>0</v>
      </c>
      <c r="I59" s="1202">
        <f t="shared" si="6"/>
        <v>-2517.7649999999999</v>
      </c>
      <c r="J59" s="908" t="s">
        <v>1017</v>
      </c>
    </row>
    <row r="60" spans="1:10">
      <c r="A60" s="880">
        <f t="shared" si="0"/>
        <v>42</v>
      </c>
      <c r="B60" s="908" t="str">
        <f>'4b - ADIT Beginning Ending'!B26</f>
        <v>6018 - PT Method/Life - NORM</v>
      </c>
      <c r="C60" s="1199">
        <f>'4b - ADIT Beginning Ending'!H26</f>
        <v>2602331.33</v>
      </c>
      <c r="D60" s="1200">
        <v>0</v>
      </c>
      <c r="E60" s="1200">
        <v>0</v>
      </c>
      <c r="F60" s="1200">
        <v>0</v>
      </c>
      <c r="G60" s="1201">
        <f t="shared" si="4"/>
        <v>2602331.33</v>
      </c>
      <c r="H60" s="1200">
        <v>0</v>
      </c>
      <c r="I60" s="1202">
        <f t="shared" si="6"/>
        <v>2602331.33</v>
      </c>
      <c r="J60" s="906" t="s">
        <v>1003</v>
      </c>
    </row>
    <row r="61" spans="1:10">
      <c r="A61" s="880">
        <f t="shared" si="0"/>
        <v>43</v>
      </c>
      <c r="B61" s="908" t="str">
        <f>'4b - ADIT Beginning Ending'!B27</f>
        <v>6024 - PT Repairs UOP - NORM</v>
      </c>
      <c r="C61" s="1199">
        <f>'4b - ADIT Beginning Ending'!H27</f>
        <v>535879.89</v>
      </c>
      <c r="D61" s="1200">
        <v>0</v>
      </c>
      <c r="E61" s="1200">
        <v>0</v>
      </c>
      <c r="F61" s="1200">
        <v>0</v>
      </c>
      <c r="G61" s="1201">
        <f t="shared" si="4"/>
        <v>535879.89</v>
      </c>
      <c r="H61" s="1200">
        <v>0</v>
      </c>
      <c r="I61" s="1202">
        <f>H61+G61+F61</f>
        <v>535879.89</v>
      </c>
      <c r="J61" s="906" t="s">
        <v>1004</v>
      </c>
    </row>
    <row r="62" spans="1:10">
      <c r="A62" s="880">
        <f t="shared" si="0"/>
        <v>44</v>
      </c>
      <c r="B62" s="908" t="str">
        <f>'4b - ADIT Beginning Ending'!B28</f>
        <v>6523 - 2020 712L 481(a) Software</v>
      </c>
      <c r="C62" s="1199">
        <f>'4b - ADIT Beginning Ending'!H28</f>
        <v>-24585.33</v>
      </c>
      <c r="D62" s="1200">
        <v>0</v>
      </c>
      <c r="E62" s="1200">
        <v>0</v>
      </c>
      <c r="F62" s="1200">
        <v>0</v>
      </c>
      <c r="G62" s="1201">
        <f>+C62</f>
        <v>-24585.33</v>
      </c>
      <c r="H62" s="1200">
        <v>0</v>
      </c>
      <c r="I62" s="1202">
        <f>H62+G62+F62</f>
        <v>-24585.33</v>
      </c>
      <c r="J62" s="908" t="s">
        <v>884</v>
      </c>
    </row>
    <row r="63" spans="1:10">
      <c r="A63" s="880">
        <f t="shared" si="0"/>
        <v>45</v>
      </c>
      <c r="B63" s="892"/>
      <c r="C63" s="923"/>
      <c r="D63" s="925"/>
      <c r="E63" s="925"/>
      <c r="F63" s="925"/>
      <c r="G63" s="925"/>
      <c r="H63" s="925"/>
      <c r="I63" s="893"/>
      <c r="J63" s="892"/>
    </row>
    <row r="64" spans="1:10">
      <c r="A64" s="880">
        <f t="shared" si="0"/>
        <v>46</v>
      </c>
      <c r="B64" s="892"/>
      <c r="C64" s="923"/>
      <c r="D64" s="925"/>
      <c r="E64" s="925"/>
      <c r="F64" s="925"/>
      <c r="G64" s="925"/>
      <c r="H64" s="925"/>
      <c r="I64" s="893"/>
      <c r="J64" s="892"/>
    </row>
    <row r="65" spans="1:10">
      <c r="A65" s="880">
        <f t="shared" si="0"/>
        <v>47</v>
      </c>
      <c r="B65" s="892"/>
      <c r="C65" s="893"/>
      <c r="D65" s="925"/>
      <c r="E65" s="925"/>
      <c r="F65" s="925"/>
      <c r="G65" s="925"/>
      <c r="H65" s="925"/>
      <c r="I65" s="893"/>
      <c r="J65" s="892"/>
    </row>
    <row r="66" spans="1:10">
      <c r="A66" s="880">
        <f t="shared" si="0"/>
        <v>48</v>
      </c>
      <c r="B66" s="892"/>
      <c r="C66" s="893"/>
      <c r="D66" s="925"/>
      <c r="E66" s="925"/>
      <c r="F66" s="925"/>
      <c r="G66" s="925"/>
      <c r="H66" s="925"/>
      <c r="I66" s="893"/>
      <c r="J66" s="892"/>
    </row>
    <row r="67" spans="1:10">
      <c r="A67" s="880">
        <f t="shared" si="0"/>
        <v>49</v>
      </c>
      <c r="B67" s="892"/>
      <c r="C67" s="893"/>
      <c r="D67" s="925"/>
      <c r="E67" s="925"/>
      <c r="F67" s="925"/>
      <c r="G67" s="925"/>
      <c r="H67" s="925"/>
      <c r="I67" s="893"/>
      <c r="J67" s="892"/>
    </row>
    <row r="68" spans="1:10">
      <c r="A68" s="880">
        <f t="shared" si="0"/>
        <v>50</v>
      </c>
      <c r="B68" s="892"/>
      <c r="C68" s="893"/>
      <c r="D68" s="925"/>
      <c r="E68" s="925"/>
      <c r="F68" s="925"/>
      <c r="G68" s="925"/>
      <c r="H68" s="925"/>
      <c r="I68" s="893"/>
      <c r="J68" s="892"/>
    </row>
    <row r="69" spans="1:10">
      <c r="A69" s="880">
        <f t="shared" si="0"/>
        <v>51</v>
      </c>
      <c r="B69" s="892"/>
      <c r="C69" s="926"/>
      <c r="D69" s="927"/>
      <c r="E69" s="928"/>
      <c r="F69" s="928"/>
      <c r="G69" s="928"/>
      <c r="H69" s="928"/>
      <c r="I69" s="892"/>
      <c r="J69" s="892"/>
    </row>
    <row r="70" spans="1:10">
      <c r="A70" s="880">
        <f t="shared" si="0"/>
        <v>52</v>
      </c>
      <c r="B70" s="902" t="s">
        <v>885</v>
      </c>
      <c r="C70" s="903">
        <f>SUM(C49:C69)</f>
        <v>5881103.7700000005</v>
      </c>
      <c r="D70" s="903">
        <f>SUM(D49:D69)</f>
        <v>0</v>
      </c>
      <c r="E70" s="903">
        <f t="shared" ref="E70:H70" si="7">SUM(E49:E69)</f>
        <v>0</v>
      </c>
      <c r="F70" s="903">
        <f t="shared" si="7"/>
        <v>0</v>
      </c>
      <c r="G70" s="903">
        <f t="shared" si="7"/>
        <v>5881103.7700000005</v>
      </c>
      <c r="H70" s="903">
        <f t="shared" si="7"/>
        <v>0</v>
      </c>
      <c r="I70" s="904"/>
      <c r="J70" s="905"/>
    </row>
    <row r="71" spans="1:10">
      <c r="A71" s="880">
        <f t="shared" si="0"/>
        <v>53</v>
      </c>
      <c r="B71" s="902" t="str">
        <f>B35</f>
        <v>Less FASB 109 Above if not separately removed</v>
      </c>
      <c r="C71" s="903">
        <f>SUM(D71:H71)</f>
        <v>0</v>
      </c>
      <c r="D71" s="906">
        <v>0</v>
      </c>
      <c r="E71" s="906">
        <v>0</v>
      </c>
      <c r="F71" s="906">
        <v>0</v>
      </c>
      <c r="G71" s="906">
        <f>SUM(G56:G57)</f>
        <v>0</v>
      </c>
      <c r="H71" s="906">
        <v>0</v>
      </c>
      <c r="I71" s="907"/>
      <c r="J71" s="908" t="s">
        <v>1005</v>
      </c>
    </row>
    <row r="72" spans="1:10">
      <c r="A72" s="880">
        <f t="shared" si="0"/>
        <v>54</v>
      </c>
      <c r="B72" s="902" t="str">
        <f>B36</f>
        <v>Less FASB 106 and Other Excludable Items Above if not separately removed</v>
      </c>
      <c r="C72" s="903">
        <v>0</v>
      </c>
      <c r="D72" s="906">
        <v>0</v>
      </c>
      <c r="E72" s="906">
        <v>0</v>
      </c>
      <c r="F72" s="906">
        <v>0</v>
      </c>
      <c r="G72" s="906">
        <f>C72</f>
        <v>0</v>
      </c>
      <c r="H72" s="906">
        <v>0</v>
      </c>
      <c r="I72" s="907"/>
      <c r="J72" s="908"/>
    </row>
    <row r="73" spans="1:10">
      <c r="A73" s="880">
        <f t="shared" si="0"/>
        <v>55</v>
      </c>
      <c r="B73" s="902" t="str">
        <f>B37</f>
        <v>Less Proration Adjustment (from Worksheet 4c)</v>
      </c>
      <c r="C73" s="903">
        <f>'4c - ADIT Proration'!J33</f>
        <v>0</v>
      </c>
      <c r="D73" s="906">
        <v>0</v>
      </c>
      <c r="E73" s="906">
        <v>0</v>
      </c>
      <c r="F73" s="906">
        <v>0</v>
      </c>
      <c r="G73" s="906">
        <f>C73</f>
        <v>0</v>
      </c>
      <c r="H73" s="906">
        <v>0</v>
      </c>
      <c r="I73" s="907"/>
      <c r="J73" s="905"/>
    </row>
    <row r="74" spans="1:10">
      <c r="A74" s="880">
        <f t="shared" si="0"/>
        <v>56</v>
      </c>
      <c r="B74" s="902" t="str">
        <f>"Total Company  (ln "&amp;A70&amp;" - ln "&amp;A71&amp;" - ln "&amp;A72&amp;" + ln "&amp;A73&amp;")"</f>
        <v>Total Company  (ln 52 - ln 53 - ln 54 + ln 55)</v>
      </c>
      <c r="C74" s="903">
        <f>+C70-C71-C72-C73</f>
        <v>5881103.7700000005</v>
      </c>
      <c r="D74" s="903">
        <f t="shared" ref="D74:H74" si="8">+D70-D71-D72-D73</f>
        <v>0</v>
      </c>
      <c r="E74" s="903">
        <f t="shared" si="8"/>
        <v>0</v>
      </c>
      <c r="F74" s="903">
        <f t="shared" si="8"/>
        <v>0</v>
      </c>
      <c r="G74" s="903">
        <f>+G70-G71-G72-G73</f>
        <v>5881103.7700000005</v>
      </c>
      <c r="H74" s="903">
        <f t="shared" si="8"/>
        <v>0</v>
      </c>
      <c r="I74" s="904" t="s">
        <v>2</v>
      </c>
      <c r="J74" s="905"/>
    </row>
    <row r="75" spans="1:10" ht="13.5" thickBot="1">
      <c r="A75" s="880">
        <f t="shared" si="0"/>
        <v>57</v>
      </c>
      <c r="B75" s="902" t="str">
        <f>B39</f>
        <v>Transmission Allocator [ GP or W/S ]</v>
      </c>
      <c r="C75" s="910"/>
      <c r="D75" s="911">
        <v>0</v>
      </c>
      <c r="E75" s="911">
        <v>0</v>
      </c>
      <c r="F75" s="911">
        <v>1</v>
      </c>
      <c r="G75" s="911">
        <f>'Attachment H-26'!$G$82</f>
        <v>1</v>
      </c>
      <c r="H75" s="911">
        <f>'Attachment H-26'!$I$196</f>
        <v>1</v>
      </c>
      <c r="I75" s="912"/>
      <c r="J75" s="905"/>
    </row>
    <row r="76" spans="1:10" ht="13.5" thickBot="1">
      <c r="A76" s="880">
        <f t="shared" ref="A76" si="9">A75+1</f>
        <v>58</v>
      </c>
      <c r="B76" s="902" t="str">
        <f>"Total Transmission  (ln "&amp;A74&amp;" * ln "&amp;A75&amp;")"</f>
        <v>Total Transmission  (ln 56 * ln 57)</v>
      </c>
      <c r="C76" s="913"/>
      <c r="D76" s="904">
        <f>IF(D74&lt;&gt;0,D74*D75,0)</f>
        <v>0</v>
      </c>
      <c r="E76" s="904">
        <f>IF(E74&lt;&gt;0,E74*E75,0)</f>
        <v>0</v>
      </c>
      <c r="F76" s="904">
        <f>IF(F74&lt;&gt;0,F74*F75,0)</f>
        <v>0</v>
      </c>
      <c r="G76" s="904">
        <f>IF(G74&lt;&gt;0,G74*G75,0)</f>
        <v>5881103.7700000005</v>
      </c>
      <c r="H76" s="914">
        <f>IF(H74&lt;&gt;0,H74*H75,0)</f>
        <v>0</v>
      </c>
      <c r="I76" s="915">
        <f>SUM(F76:H76)</f>
        <v>5881103.7700000005</v>
      </c>
      <c r="J76" s="902"/>
    </row>
    <row r="77" spans="1:10" s="882" customFormat="1" ht="13.75" customHeight="1">
      <c r="A77" s="880"/>
      <c r="B77" s="889"/>
      <c r="C77" s="920"/>
      <c r="D77" s="921"/>
      <c r="E77" s="921"/>
      <c r="F77" s="921"/>
      <c r="G77" s="921"/>
      <c r="H77" s="921"/>
      <c r="I77" s="918"/>
    </row>
    <row r="78" spans="1:10" s="882" customFormat="1" ht="13.75" customHeight="1">
      <c r="A78" s="880"/>
      <c r="B78" s="917"/>
      <c r="C78" s="929"/>
      <c r="D78" s="921"/>
      <c r="E78" s="921"/>
      <c r="F78" s="921"/>
      <c r="G78" s="921"/>
      <c r="H78" s="921"/>
      <c r="I78" s="918"/>
    </row>
    <row r="79" spans="1:10" ht="20">
      <c r="A79" s="930"/>
      <c r="B79" s="931"/>
      <c r="C79" s="920"/>
      <c r="D79" s="921"/>
      <c r="E79" s="921"/>
      <c r="F79" s="921"/>
      <c r="G79" s="921"/>
      <c r="H79" s="921"/>
      <c r="I79" s="918"/>
      <c r="J79" s="879"/>
    </row>
    <row r="80" spans="1:10" ht="17.5" customHeight="1">
      <c r="B80" s="932"/>
      <c r="C80" s="920"/>
      <c r="F80" s="921"/>
      <c r="G80" s="921"/>
      <c r="H80" s="921"/>
      <c r="I80" s="918"/>
      <c r="J80" s="879" t="s">
        <v>153</v>
      </c>
    </row>
    <row r="81" spans="1:10" ht="15.5">
      <c r="A81" s="880"/>
      <c r="B81" s="881" t="s">
        <v>886</v>
      </c>
      <c r="C81" s="881"/>
      <c r="D81" s="933"/>
      <c r="E81" s="934"/>
      <c r="F81" s="935"/>
      <c r="G81" s="881"/>
      <c r="H81" s="881"/>
      <c r="I81" s="881"/>
    </row>
    <row r="82" spans="1:10" ht="15.5">
      <c r="A82" s="880"/>
      <c r="B82" s="881"/>
      <c r="C82" s="881"/>
      <c r="D82" s="933"/>
      <c r="E82" s="934"/>
      <c r="F82" s="935"/>
      <c r="G82" s="881"/>
      <c r="H82" s="881"/>
      <c r="I82" s="881"/>
      <c r="J82" s="879"/>
    </row>
    <row r="83" spans="1:10">
      <c r="A83" s="880"/>
      <c r="B83" s="885" t="str">
        <f t="shared" ref="B83:J83" si="10">B7</f>
        <v>(A)</v>
      </c>
      <c r="C83" s="885" t="str">
        <f t="shared" si="10"/>
        <v>(B)</v>
      </c>
      <c r="D83" s="885" t="str">
        <f t="shared" si="10"/>
        <v>(C)</v>
      </c>
      <c r="E83" s="885" t="str">
        <f t="shared" si="10"/>
        <v>(D)</v>
      </c>
      <c r="F83" s="885" t="str">
        <f t="shared" si="10"/>
        <v>(E)</v>
      </c>
      <c r="G83" s="885" t="str">
        <f t="shared" si="10"/>
        <v>(F)</v>
      </c>
      <c r="H83" s="885" t="str">
        <f t="shared" si="10"/>
        <v>(G)</v>
      </c>
      <c r="I83" s="885" t="str">
        <f t="shared" si="10"/>
        <v>(H)</v>
      </c>
      <c r="J83" s="885" t="str">
        <f t="shared" si="10"/>
        <v>(I)</v>
      </c>
    </row>
    <row r="84" spans="1:10">
      <c r="A84" s="880"/>
      <c r="B84" s="885"/>
      <c r="C84" s="886" t="s">
        <v>863</v>
      </c>
      <c r="D84" s="885" t="str">
        <f>D8</f>
        <v>100%</v>
      </c>
      <c r="E84" s="888">
        <v>1</v>
      </c>
      <c r="F84" s="885" t="str">
        <f>F8</f>
        <v>100%</v>
      </c>
      <c r="G84" s="885"/>
      <c r="H84" s="885"/>
      <c r="I84" s="885" t="str">
        <f>I8</f>
        <v>Total Included</v>
      </c>
      <c r="J84" s="882"/>
    </row>
    <row r="85" spans="1:10">
      <c r="A85" s="880" t="s">
        <v>8</v>
      </c>
      <c r="B85" s="885"/>
      <c r="C85" s="885" t="s">
        <v>866</v>
      </c>
      <c r="D85" s="885" t="str">
        <f>D9</f>
        <v>Non-Transmission</v>
      </c>
      <c r="E85" s="885" t="s">
        <v>868</v>
      </c>
      <c r="F85" s="885" t="str">
        <f>F9</f>
        <v>Transmission</v>
      </c>
      <c r="G85" s="885" t="str">
        <f>G9</f>
        <v xml:space="preserve">Plant </v>
      </c>
      <c r="H85" s="885" t="str">
        <f>H9</f>
        <v>Labor</v>
      </c>
      <c r="I85" s="885" t="str">
        <f>I9</f>
        <v>in Ratebase</v>
      </c>
      <c r="J85" s="882"/>
    </row>
    <row r="86" spans="1:10">
      <c r="A86" s="880" t="s">
        <v>10</v>
      </c>
      <c r="B86" s="891" t="str">
        <f>B10</f>
        <v>Identification</v>
      </c>
      <c r="C86" s="890" t="s">
        <v>958</v>
      </c>
      <c r="D86" s="891" t="str">
        <f>D10</f>
        <v>Related</v>
      </c>
      <c r="E86" s="891" t="s">
        <v>874</v>
      </c>
      <c r="F86" s="891" t="str">
        <f>F10</f>
        <v>Related</v>
      </c>
      <c r="G86" s="891" t="str">
        <f>G10</f>
        <v>Related</v>
      </c>
      <c r="H86" s="891" t="str">
        <f>H10</f>
        <v>Related</v>
      </c>
      <c r="I86" s="891" t="str">
        <f>I10</f>
        <v>(E)+(F)+(G)</v>
      </c>
      <c r="J86" s="891" t="str">
        <f>J10</f>
        <v>Description / Justification</v>
      </c>
    </row>
    <row r="87" spans="1:10">
      <c r="A87" s="880">
        <f>A76+1</f>
        <v>59</v>
      </c>
      <c r="B87" s="936" t="str">
        <f>'4b - ADIT Beginning Ending'!B35</f>
        <v>014C-MO - NOL-State C/F-Deferred Tax Asset</v>
      </c>
      <c r="C87" s="893">
        <f>'4b - ADIT Beginning Ending'!H35</f>
        <v>0</v>
      </c>
      <c r="D87" s="893">
        <v>0</v>
      </c>
      <c r="E87" s="893">
        <v>0</v>
      </c>
      <c r="F87" s="893">
        <f>C87</f>
        <v>0</v>
      </c>
      <c r="G87" s="893">
        <v>0</v>
      </c>
      <c r="H87" s="893">
        <v>0</v>
      </c>
      <c r="I87" s="893">
        <f t="shared" ref="I87:I110" si="11">H87+G87+F87</f>
        <v>0</v>
      </c>
      <c r="J87" s="940" t="s">
        <v>1010</v>
      </c>
    </row>
    <row r="88" spans="1:10">
      <c r="A88" s="880">
        <f t="shared" ref="A88:A118" si="12">A87+1</f>
        <v>60</v>
      </c>
      <c r="B88" s="936" t="str">
        <f>'4b - ADIT Beginning Ending'!B36</f>
        <v>911Q-DSIT  DSIT Entry-Normalized</v>
      </c>
      <c r="C88" s="893">
        <f>'4b - ADIT Beginning Ending'!H36</f>
        <v>0</v>
      </c>
      <c r="D88" s="893">
        <v>0</v>
      </c>
      <c r="E88" s="893">
        <v>0</v>
      </c>
      <c r="F88" s="893">
        <f t="shared" ref="F88:F90" si="13">C88</f>
        <v>0</v>
      </c>
      <c r="G88" s="893">
        <v>0</v>
      </c>
      <c r="H88" s="893">
        <v>0</v>
      </c>
      <c r="I88" s="893">
        <f t="shared" si="11"/>
        <v>0</v>
      </c>
      <c r="J88" s="940" t="s">
        <v>1011</v>
      </c>
    </row>
    <row r="89" spans="1:10">
      <c r="A89" s="880">
        <f t="shared" si="12"/>
        <v>61</v>
      </c>
      <c r="B89" s="936" t="str">
        <f>'4b - ADIT Beginning Ending'!B37</f>
        <v>629X-FERC Formula Rates- Under Recovery</v>
      </c>
      <c r="C89" s="893">
        <f>'4b - ADIT Beginning Ending'!H37</f>
        <v>5.0000000000000001E-3</v>
      </c>
      <c r="D89" s="893">
        <v>0</v>
      </c>
      <c r="E89" s="893">
        <v>0</v>
      </c>
      <c r="F89" s="893">
        <f t="shared" si="13"/>
        <v>5.0000000000000001E-3</v>
      </c>
      <c r="G89" s="893">
        <v>0</v>
      </c>
      <c r="H89" s="893">
        <v>0</v>
      </c>
      <c r="I89" s="893">
        <f t="shared" si="11"/>
        <v>5.0000000000000001E-3</v>
      </c>
      <c r="J89" s="940" t="s">
        <v>1012</v>
      </c>
    </row>
    <row r="90" spans="1:10">
      <c r="A90" s="880">
        <f t="shared" si="12"/>
        <v>62</v>
      </c>
      <c r="B90" s="936" t="str">
        <f>'4b - ADIT Beginning Ending'!B38</f>
        <v>671S Reg Asset - Pre Construction</v>
      </c>
      <c r="C90" s="893">
        <f>'4b - ADIT Beginning Ending'!H38</f>
        <v>-0.14000000000000001</v>
      </c>
      <c r="D90" s="893">
        <v>0</v>
      </c>
      <c r="E90" s="893">
        <v>0</v>
      </c>
      <c r="F90" s="893">
        <f t="shared" si="13"/>
        <v>-0.14000000000000001</v>
      </c>
      <c r="G90" s="893">
        <v>0</v>
      </c>
      <c r="H90" s="893">
        <v>0</v>
      </c>
      <c r="I90" s="893">
        <f t="shared" si="11"/>
        <v>-0.14000000000000001</v>
      </c>
      <c r="J90" s="1185" t="s">
        <v>1013</v>
      </c>
    </row>
    <row r="91" spans="1:10">
      <c r="A91" s="880">
        <f t="shared" si="12"/>
        <v>63</v>
      </c>
      <c r="B91" s="936" t="str">
        <f>'4b - ADIT Beginning Ending'!B39</f>
        <v>960F-XS Excess ADFIT 283.1 - Unprotected</v>
      </c>
      <c r="C91" s="893">
        <f>'4b - ADIT Beginning Ending'!H39</f>
        <v>0</v>
      </c>
      <c r="D91" s="893">
        <v>0</v>
      </c>
      <c r="E91" s="893">
        <v>0</v>
      </c>
      <c r="F91" s="893">
        <f t="shared" ref="F91:F97" si="14">C91</f>
        <v>0</v>
      </c>
      <c r="G91" s="893">
        <v>0</v>
      </c>
      <c r="H91" s="893">
        <v>0</v>
      </c>
      <c r="I91" s="893">
        <f t="shared" si="11"/>
        <v>0</v>
      </c>
      <c r="J91" s="908" t="s">
        <v>887</v>
      </c>
    </row>
    <row r="92" spans="1:10">
      <c r="A92" s="880">
        <f t="shared" si="12"/>
        <v>64</v>
      </c>
      <c r="B92" s="936" t="str">
        <f>'4b - ADIT Beginning Ending'!B40</f>
        <v>960F-XS Excess ADFIT 283.4 - Unprotected</v>
      </c>
      <c r="C92" s="893">
        <f>'4b - ADIT Beginning Ending'!H40</f>
        <v>0</v>
      </c>
      <c r="D92" s="893">
        <v>0</v>
      </c>
      <c r="E92" s="893">
        <v>0</v>
      </c>
      <c r="F92" s="893">
        <f t="shared" si="14"/>
        <v>0</v>
      </c>
      <c r="G92" s="893">
        <v>0</v>
      </c>
      <c r="H92" s="893">
        <v>0</v>
      </c>
      <c r="I92" s="893">
        <f t="shared" si="11"/>
        <v>0</v>
      </c>
      <c r="J92" s="908" t="s">
        <v>887</v>
      </c>
    </row>
    <row r="93" spans="1:10">
      <c r="A93" s="880">
        <f t="shared" si="12"/>
        <v>65</v>
      </c>
      <c r="B93" s="936" t="str">
        <f>'4b - ADIT Beginning Ending'!B41</f>
        <v>230A ACRS Benefit Normalized</v>
      </c>
      <c r="C93" s="893">
        <f>'4b - ADIT Beginning Ending'!H41</f>
        <v>696573.34</v>
      </c>
      <c r="D93" s="893">
        <v>0</v>
      </c>
      <c r="E93" s="893">
        <v>0</v>
      </c>
      <c r="F93" s="893">
        <f t="shared" si="14"/>
        <v>696573.34</v>
      </c>
      <c r="G93" s="893">
        <v>0</v>
      </c>
      <c r="H93" s="893">
        <v>0</v>
      </c>
      <c r="I93" s="893">
        <f>H93+G93+F93</f>
        <v>696573.34</v>
      </c>
      <c r="J93" s="908" t="s">
        <v>1003</v>
      </c>
    </row>
    <row r="94" spans="1:10">
      <c r="A94" s="880">
        <f t="shared" si="12"/>
        <v>66</v>
      </c>
      <c r="B94" s="936" t="str">
        <f>'4b - ADIT Beginning Ending'!B42</f>
        <v>532C- Book/Tax Unit of Property Adj</v>
      </c>
      <c r="C94" s="893">
        <f>'4b - ADIT Beginning Ending'!H42</f>
        <v>165867.58499999999</v>
      </c>
      <c r="D94" s="893">
        <v>0</v>
      </c>
      <c r="E94" s="893">
        <v>0</v>
      </c>
      <c r="F94" s="893">
        <f t="shared" si="14"/>
        <v>165867.58499999999</v>
      </c>
      <c r="G94" s="893">
        <v>0</v>
      </c>
      <c r="H94" s="893">
        <v>0</v>
      </c>
      <c r="I94" s="893">
        <f>H94+G94+F94</f>
        <v>165867.58499999999</v>
      </c>
      <c r="J94" s="908" t="s">
        <v>1004</v>
      </c>
    </row>
    <row r="95" spans="1:10">
      <c r="A95" s="880">
        <f t="shared" si="12"/>
        <v>67</v>
      </c>
      <c r="B95" s="936" t="str">
        <f>'4b - ADIT Beginning Ending'!B43</f>
        <v>380J Int Exp Capitalized</v>
      </c>
      <c r="C95" s="893">
        <f>'4b - ADIT Beginning Ending'!H43</f>
        <v>-18.07</v>
      </c>
      <c r="D95" s="893">
        <v>0</v>
      </c>
      <c r="E95" s="893">
        <v>0</v>
      </c>
      <c r="F95" s="893">
        <f t="shared" si="14"/>
        <v>-18.07</v>
      </c>
      <c r="G95" s="893">
        <v>0</v>
      </c>
      <c r="H95" s="893">
        <v>0</v>
      </c>
      <c r="I95" s="893">
        <f t="shared" ref="I95:I98" si="15">H95+G95+F95</f>
        <v>-18.07</v>
      </c>
      <c r="J95" s="908" t="s">
        <v>1014</v>
      </c>
    </row>
    <row r="96" spans="1:10" ht="12.75" customHeight="1">
      <c r="A96" s="880">
        <f t="shared" si="12"/>
        <v>68</v>
      </c>
      <c r="B96" s="936" t="str">
        <f>'4b - ADIT Beginning Ending'!B44</f>
        <v>712K- Capitalized Software Cost-Book</v>
      </c>
      <c r="C96" s="893">
        <f>'4b - ADIT Beginning Ending'!H44</f>
        <v>2099.21</v>
      </c>
      <c r="D96" s="893">
        <v>0</v>
      </c>
      <c r="E96" s="893">
        <v>0</v>
      </c>
      <c r="F96" s="893">
        <f t="shared" si="14"/>
        <v>2099.21</v>
      </c>
      <c r="G96" s="893">
        <v>0</v>
      </c>
      <c r="H96" s="893">
        <v>0</v>
      </c>
      <c r="I96" s="893">
        <f t="shared" si="15"/>
        <v>2099.21</v>
      </c>
      <c r="J96" s="908" t="s">
        <v>884</v>
      </c>
    </row>
    <row r="97" spans="1:10">
      <c r="A97" s="880">
        <f t="shared" si="12"/>
        <v>69</v>
      </c>
      <c r="B97" s="936" t="str">
        <f>'4b - ADIT Beginning Ending'!B45</f>
        <v>712L CAPITALIZED SOFTWARE COST-BOOKS</v>
      </c>
      <c r="C97" s="893">
        <f>'4b - ADIT Beginning Ending'!H45</f>
        <v>-7609.7449999999999</v>
      </c>
      <c r="D97" s="893">
        <v>0</v>
      </c>
      <c r="E97" s="893">
        <v>0</v>
      </c>
      <c r="F97" s="893">
        <f t="shared" si="14"/>
        <v>-7609.7449999999999</v>
      </c>
      <c r="G97" s="893">
        <v>0</v>
      </c>
      <c r="H97" s="893">
        <v>0</v>
      </c>
      <c r="I97" s="893">
        <f t="shared" si="15"/>
        <v>-7609.7449999999999</v>
      </c>
      <c r="J97" s="908" t="s">
        <v>884</v>
      </c>
    </row>
    <row r="98" spans="1:10" ht="12.75" customHeight="1">
      <c r="A98" s="880">
        <f t="shared" si="12"/>
        <v>70</v>
      </c>
      <c r="B98" s="936" t="str">
        <f>'4b - ADIT Beginning Ending'!B46</f>
        <v>601E- INSURANCE PREMIUMS ACCRUED</v>
      </c>
      <c r="C98" s="893">
        <f>'4b - ADIT Beginning Ending'!H46</f>
        <v>667.495</v>
      </c>
      <c r="D98" s="893">
        <v>0</v>
      </c>
      <c r="E98" s="893">
        <v>0</v>
      </c>
      <c r="F98" s="893">
        <f>C98</f>
        <v>667.495</v>
      </c>
      <c r="G98" s="893">
        <v>0</v>
      </c>
      <c r="H98" s="893">
        <v>0</v>
      </c>
      <c r="I98" s="893">
        <f t="shared" si="15"/>
        <v>667.495</v>
      </c>
      <c r="J98" s="908" t="s">
        <v>890</v>
      </c>
    </row>
    <row r="99" spans="1:10" ht="12.75" customHeight="1">
      <c r="A99" s="880">
        <f t="shared" si="12"/>
        <v>71</v>
      </c>
      <c r="B99" s="936" t="str">
        <f>'4b - ADIT Beginning Ending'!B47</f>
        <v>520A  Provision for Possible Revenue Refunds</v>
      </c>
      <c r="C99" s="893">
        <f>'4b - ADIT Beginning Ending'!H47</f>
        <v>-7742.36</v>
      </c>
      <c r="D99" s="893">
        <v>0</v>
      </c>
      <c r="E99" s="893">
        <v>0</v>
      </c>
      <c r="F99" s="893">
        <f>C99</f>
        <v>-7742.36</v>
      </c>
      <c r="G99" s="893">
        <v>0</v>
      </c>
      <c r="H99" s="893">
        <v>0</v>
      </c>
      <c r="I99" s="893">
        <f t="shared" si="11"/>
        <v>-7742.36</v>
      </c>
      <c r="J99" s="908" t="s">
        <v>952</v>
      </c>
    </row>
    <row r="100" spans="1:10" ht="12.75" customHeight="1">
      <c r="A100" s="880">
        <f t="shared" si="12"/>
        <v>72</v>
      </c>
      <c r="B100" s="1203" t="str">
        <f>'4b - ADIT Beginning Ending'!B48</f>
        <v>7080 - FERC FORMULA RATES-UNDER-RECOVERY</v>
      </c>
      <c r="C100" s="1202">
        <f>'4b - ADIT Beginning Ending'!H48</f>
        <v>0</v>
      </c>
      <c r="D100" s="1202">
        <v>0</v>
      </c>
      <c r="E100" s="1202">
        <f>C100</f>
        <v>0</v>
      </c>
      <c r="F100" s="1202">
        <v>0</v>
      </c>
      <c r="G100" s="1202">
        <v>0</v>
      </c>
      <c r="H100" s="1202">
        <v>0</v>
      </c>
      <c r="I100" s="1202">
        <f t="shared" si="11"/>
        <v>0</v>
      </c>
      <c r="J100" s="908" t="s">
        <v>1012</v>
      </c>
    </row>
    <row r="101" spans="1:10" ht="12.75" customHeight="1">
      <c r="A101" s="880">
        <f t="shared" si="12"/>
        <v>73</v>
      </c>
      <c r="B101" s="1203" t="str">
        <f>'4b - ADIT Beginning Ending'!B49</f>
        <v>7337 - REG ASSET-PRE CONSTRUCTION COSTS</v>
      </c>
      <c r="C101" s="1202">
        <f>'4b - ADIT Beginning Ending'!H49</f>
        <v>-0.14000000000000001</v>
      </c>
      <c r="D101" s="1202">
        <v>0</v>
      </c>
      <c r="E101" s="1202">
        <v>0</v>
      </c>
      <c r="F101" s="1202">
        <f>+C101</f>
        <v>-0.14000000000000001</v>
      </c>
      <c r="G101" s="1202">
        <v>0</v>
      </c>
      <c r="H101" s="1202">
        <v>0</v>
      </c>
      <c r="I101" s="1202">
        <f t="shared" si="11"/>
        <v>-0.14000000000000001</v>
      </c>
      <c r="J101" s="940" t="s">
        <v>1013</v>
      </c>
    </row>
    <row r="102" spans="1:10" ht="12.75" customHeight="1">
      <c r="A102" s="880">
        <f t="shared" si="12"/>
        <v>74</v>
      </c>
      <c r="B102" s="1203" t="str">
        <f>'4b - ADIT Beginning Ending'!B50</f>
        <v>6009 - PT COR - NORM</v>
      </c>
      <c r="C102" s="1202">
        <f>'4b - ADIT Beginning Ending'!H50</f>
        <v>467.28500000000003</v>
      </c>
      <c r="D102" s="1202">
        <v>0</v>
      </c>
      <c r="E102" s="1202">
        <v>0</v>
      </c>
      <c r="F102" s="1202">
        <f>C102</f>
        <v>467.28500000000003</v>
      </c>
      <c r="G102" s="1202">
        <v>0</v>
      </c>
      <c r="H102" s="1202">
        <v>0</v>
      </c>
      <c r="I102" s="1202">
        <f t="shared" si="11"/>
        <v>467.28500000000003</v>
      </c>
      <c r="J102" s="940" t="s">
        <v>1016</v>
      </c>
    </row>
    <row r="103" spans="1:10" ht="12.75" customHeight="1">
      <c r="A103" s="880">
        <f t="shared" si="12"/>
        <v>75</v>
      </c>
      <c r="B103" s="1203" t="str">
        <f>'4b - ADIT Beginning Ending'!B51</f>
        <v>6011 - PT CPI - NORM</v>
      </c>
      <c r="C103" s="1202">
        <f>'4b - ADIT Beginning Ending'!H51</f>
        <v>-779.31000000000006</v>
      </c>
      <c r="D103" s="1202">
        <v>0</v>
      </c>
      <c r="E103" s="1202">
        <v>0</v>
      </c>
      <c r="F103" s="1202">
        <f t="shared" ref="F103:F105" si="16">C103</f>
        <v>-779.31000000000006</v>
      </c>
      <c r="G103" s="1202">
        <v>0</v>
      </c>
      <c r="H103" s="1202">
        <v>0</v>
      </c>
      <c r="I103" s="1202">
        <f t="shared" si="11"/>
        <v>-779.31000000000006</v>
      </c>
      <c r="J103" s="940" t="s">
        <v>1017</v>
      </c>
    </row>
    <row r="104" spans="1:10" ht="12.75" customHeight="1">
      <c r="A104" s="880">
        <f t="shared" si="12"/>
        <v>76</v>
      </c>
      <c r="B104" s="1203" t="str">
        <f>'4b - ADIT Beginning Ending'!B52</f>
        <v>6018 - PT Method/Life - NORM</v>
      </c>
      <c r="C104" s="1202">
        <f>'4b - ADIT Beginning Ending'!H52</f>
        <v>805483.505</v>
      </c>
      <c r="D104" s="1202">
        <v>0</v>
      </c>
      <c r="E104" s="1202">
        <v>0</v>
      </c>
      <c r="F104" s="1202">
        <f t="shared" si="16"/>
        <v>805483.505</v>
      </c>
      <c r="G104" s="1202">
        <v>0</v>
      </c>
      <c r="H104" s="1202">
        <v>0</v>
      </c>
      <c r="I104" s="1202">
        <f t="shared" si="11"/>
        <v>805483.505</v>
      </c>
      <c r="J104" s="940" t="s">
        <v>1003</v>
      </c>
    </row>
    <row r="105" spans="1:10" ht="12.75" customHeight="1">
      <c r="A105" s="880">
        <f t="shared" si="12"/>
        <v>77</v>
      </c>
      <c r="B105" s="1203" t="str">
        <f>'4b - ADIT Beginning Ending'!B53</f>
        <v>6024 - PT Repairs UOP - NORM</v>
      </c>
      <c r="C105" s="1202">
        <f>'4b - ADIT Beginning Ending'!H53</f>
        <v>165867.58499999999</v>
      </c>
      <c r="D105" s="1202">
        <v>0</v>
      </c>
      <c r="E105" s="1202">
        <v>0</v>
      </c>
      <c r="F105" s="1202">
        <f t="shared" si="16"/>
        <v>165867.58499999999</v>
      </c>
      <c r="G105" s="1202">
        <v>0</v>
      </c>
      <c r="H105" s="1202">
        <v>0</v>
      </c>
      <c r="I105" s="1202">
        <f t="shared" si="11"/>
        <v>165867.58499999999</v>
      </c>
      <c r="J105" s="940" t="s">
        <v>1004</v>
      </c>
    </row>
    <row r="106" spans="1:10" ht="12.75" customHeight="1">
      <c r="A106" s="880">
        <f t="shared" si="12"/>
        <v>78</v>
      </c>
      <c r="B106" s="1203" t="str">
        <f>'4b - ADIT Beginning Ending'!B54</f>
        <v>6523 - 2020 712L 481(a) Software</v>
      </c>
      <c r="C106" s="1202">
        <f>'4b - ADIT Beginning Ending'!H54</f>
        <v>-7609.7449999999999</v>
      </c>
      <c r="D106" s="1202">
        <v>0</v>
      </c>
      <c r="E106" s="1202">
        <v>0</v>
      </c>
      <c r="F106" s="1202">
        <f>+C106</f>
        <v>-7609.7449999999999</v>
      </c>
      <c r="G106" s="1202">
        <v>0</v>
      </c>
      <c r="H106" s="1202">
        <v>0</v>
      </c>
      <c r="I106" s="1202">
        <f t="shared" si="11"/>
        <v>-7609.7449999999999</v>
      </c>
      <c r="J106" s="940" t="s">
        <v>884</v>
      </c>
    </row>
    <row r="107" spans="1:10" ht="12.75" customHeight="1">
      <c r="A107" s="880">
        <f t="shared" si="12"/>
        <v>79</v>
      </c>
      <c r="B107" s="1203" t="str">
        <f>'4b - ADIT Beginning Ending'!B55</f>
        <v>7021 - PROVS POSS REV REFDS-A/L</v>
      </c>
      <c r="C107" s="1202">
        <f>'4b - ADIT Beginning Ending'!H55</f>
        <v>-18720.465</v>
      </c>
      <c r="D107" s="1202">
        <v>0</v>
      </c>
      <c r="E107" s="1202">
        <v>0</v>
      </c>
      <c r="F107" s="1202">
        <f>+C107</f>
        <v>-18720.465</v>
      </c>
      <c r="G107" s="1202">
        <v>0</v>
      </c>
      <c r="H107" s="1202">
        <v>0</v>
      </c>
      <c r="I107" s="1202">
        <f t="shared" si="11"/>
        <v>-18720.465</v>
      </c>
      <c r="J107" s="940" t="s">
        <v>952</v>
      </c>
    </row>
    <row r="108" spans="1:10">
      <c r="A108" s="880">
        <f t="shared" si="12"/>
        <v>80</v>
      </c>
      <c r="B108" s="1203" t="str">
        <f>'4b - ADIT Beginning Ending'!B56</f>
        <v>7027 - INSURANCE PREMIUMS ACCRUED</v>
      </c>
      <c r="C108" s="1202">
        <f>'4b - ADIT Beginning Ending'!H56</f>
        <v>642.08000000000004</v>
      </c>
      <c r="D108" s="1202">
        <v>0</v>
      </c>
      <c r="E108" s="1202">
        <v>0</v>
      </c>
      <c r="F108" s="1202">
        <f>+C108</f>
        <v>642.08000000000004</v>
      </c>
      <c r="G108" s="1202">
        <v>0</v>
      </c>
      <c r="H108" s="1202">
        <v>0</v>
      </c>
      <c r="I108" s="1202">
        <f t="shared" si="11"/>
        <v>642.08000000000004</v>
      </c>
      <c r="J108" s="940" t="s">
        <v>890</v>
      </c>
    </row>
    <row r="109" spans="1:10">
      <c r="A109" s="880">
        <f t="shared" si="12"/>
        <v>81</v>
      </c>
      <c r="B109" s="1203" t="str">
        <f>'4b - ADIT Beginning Ending'!B57</f>
        <v>7048 - ACCRD COMPANYWIDE INCENTV PLAN</v>
      </c>
      <c r="C109" s="1202">
        <f>'4b - ADIT Beginning Ending'!H57</f>
        <v>-1.4999999999999999E-2</v>
      </c>
      <c r="D109" s="1202">
        <v>0</v>
      </c>
      <c r="E109" s="1202">
        <v>0</v>
      </c>
      <c r="F109" s="1202">
        <f t="shared" ref="F109:F110" si="17">+C109</f>
        <v>-1.4999999999999999E-2</v>
      </c>
      <c r="G109" s="1202">
        <v>0</v>
      </c>
      <c r="H109" s="1202">
        <v>0</v>
      </c>
      <c r="I109" s="1202">
        <f t="shared" si="11"/>
        <v>-1.4999999999999999E-2</v>
      </c>
      <c r="J109" s="940" t="s">
        <v>890</v>
      </c>
    </row>
    <row r="110" spans="1:10">
      <c r="A110" s="880">
        <f t="shared" si="12"/>
        <v>82</v>
      </c>
      <c r="B110" s="1203" t="str">
        <f>'4b - ADIT Beginning Ending'!B58</f>
        <v>7337 - REG ASSET-PRE CONSTRUCTION COSTS</v>
      </c>
      <c r="C110" s="1202">
        <f>'4b - ADIT Beginning Ending'!H58</f>
        <v>-0.14000000000000001</v>
      </c>
      <c r="D110" s="1202">
        <v>0</v>
      </c>
      <c r="E110" s="1202">
        <v>0</v>
      </c>
      <c r="F110" s="1202">
        <f t="shared" si="17"/>
        <v>-0.14000000000000001</v>
      </c>
      <c r="G110" s="1202">
        <v>0</v>
      </c>
      <c r="H110" s="1202">
        <v>0</v>
      </c>
      <c r="I110" s="1202">
        <f t="shared" si="11"/>
        <v>-0.14000000000000001</v>
      </c>
      <c r="J110" s="940" t="s">
        <v>1013</v>
      </c>
    </row>
    <row r="111" spans="1:10" ht="12.75" customHeight="1">
      <c r="A111" s="880">
        <f t="shared" si="12"/>
        <v>83</v>
      </c>
      <c r="B111" s="892"/>
      <c r="C111" s="893"/>
      <c r="D111" s="901"/>
      <c r="E111" s="901"/>
      <c r="F111" s="901"/>
      <c r="G111" s="901"/>
      <c r="H111" s="901"/>
      <c r="I111" s="901"/>
      <c r="J111" s="937"/>
    </row>
    <row r="112" spans="1:10" ht="12.75" customHeight="1">
      <c r="A112" s="880">
        <f t="shared" si="12"/>
        <v>84</v>
      </c>
      <c r="B112" s="902" t="s">
        <v>888</v>
      </c>
      <c r="C112" s="903">
        <f>SUM(C87:C111)</f>
        <v>1795187.96</v>
      </c>
      <c r="D112" s="903">
        <f t="shared" ref="D112:H112" si="18">SUM(D87:D111)</f>
        <v>0</v>
      </c>
      <c r="E112" s="903">
        <f t="shared" si="18"/>
        <v>0</v>
      </c>
      <c r="F112" s="903">
        <f t="shared" si="18"/>
        <v>1795187.96</v>
      </c>
      <c r="G112" s="903">
        <f t="shared" si="18"/>
        <v>0</v>
      </c>
      <c r="H112" s="903">
        <f t="shared" si="18"/>
        <v>0</v>
      </c>
      <c r="I112" s="903"/>
      <c r="J112" s="938"/>
    </row>
    <row r="113" spans="1:16" ht="12.75" customHeight="1">
      <c r="A113" s="880">
        <f t="shared" si="12"/>
        <v>85</v>
      </c>
      <c r="B113" s="902" t="str">
        <f>B71</f>
        <v>Less FASB 109 Above if not separately removed</v>
      </c>
      <c r="C113" s="903">
        <f>SUM(D113:H113)</f>
        <v>0</v>
      </c>
      <c r="D113" s="906">
        <v>0</v>
      </c>
      <c r="E113" s="906">
        <v>0</v>
      </c>
      <c r="F113" s="906">
        <f>F92</f>
        <v>0</v>
      </c>
      <c r="G113" s="906">
        <v>0</v>
      </c>
      <c r="H113" s="906">
        <v>0</v>
      </c>
      <c r="I113" s="939"/>
      <c r="J113" s="940" t="s">
        <v>1006</v>
      </c>
    </row>
    <row r="114" spans="1:16" ht="12.75" customHeight="1">
      <c r="A114" s="880">
        <f t="shared" si="12"/>
        <v>86</v>
      </c>
      <c r="B114" s="902" t="str">
        <f>B72</f>
        <v>Less FASB 106 and Other Excludable Items Above if not separately removed</v>
      </c>
      <c r="C114" s="903">
        <f>SUM(D114:H114)</f>
        <v>0</v>
      </c>
      <c r="D114" s="906">
        <v>0</v>
      </c>
      <c r="E114" s="906">
        <v>0</v>
      </c>
      <c r="F114" s="906">
        <v>0</v>
      </c>
      <c r="G114" s="906">
        <v>0</v>
      </c>
      <c r="H114" s="906">
        <v>0</v>
      </c>
      <c r="I114" s="939"/>
      <c r="J114" s="940"/>
    </row>
    <row r="115" spans="1:16" ht="12.75" customHeight="1">
      <c r="A115" s="880">
        <f>A114+1</f>
        <v>87</v>
      </c>
      <c r="B115" s="902" t="str">
        <f>B73</f>
        <v>Less Proration Adjustment (from Worksheet 4c)</v>
      </c>
      <c r="C115" s="903">
        <f>'4c - ADIT Proration'!J64</f>
        <v>0</v>
      </c>
      <c r="D115" s="906">
        <v>0</v>
      </c>
      <c r="E115" s="906">
        <v>0</v>
      </c>
      <c r="F115" s="906">
        <v>0</v>
      </c>
      <c r="G115" s="906">
        <v>0</v>
      </c>
      <c r="H115" s="906">
        <v>0</v>
      </c>
      <c r="I115" s="939"/>
      <c r="J115" s="938"/>
    </row>
    <row r="116" spans="1:16" ht="12.75" customHeight="1">
      <c r="A116" s="880">
        <f t="shared" si="12"/>
        <v>88</v>
      </c>
      <c r="B116" s="902" t="str">
        <f>"Total Company  (ln "&amp;A112&amp;" - ln "&amp;A113&amp;" - ln "&amp;A114&amp;" + ln "&amp;A115&amp;")"</f>
        <v>Total Company  (ln 84 - ln 85 - ln 86 + ln 87)</v>
      </c>
      <c r="C116" s="941">
        <f t="shared" ref="C116:H116" si="19">+C112-C113-C114+C115</f>
        <v>1795187.96</v>
      </c>
      <c r="D116" s="941">
        <f t="shared" si="19"/>
        <v>0</v>
      </c>
      <c r="E116" s="941">
        <f t="shared" si="19"/>
        <v>0</v>
      </c>
      <c r="F116" s="941">
        <f t="shared" si="19"/>
        <v>1795187.96</v>
      </c>
      <c r="G116" s="941">
        <f t="shared" si="19"/>
        <v>0</v>
      </c>
      <c r="H116" s="941">
        <f t="shared" si="19"/>
        <v>0</v>
      </c>
      <c r="I116" s="903"/>
      <c r="J116" s="938"/>
    </row>
    <row r="117" spans="1:16" ht="13.5" thickBot="1">
      <c r="A117" s="880">
        <f t="shared" si="12"/>
        <v>89</v>
      </c>
      <c r="B117" s="902" t="str">
        <f>B75</f>
        <v>Transmission Allocator [ GP or W/S ]</v>
      </c>
      <c r="C117" s="904"/>
      <c r="D117" s="911">
        <v>0</v>
      </c>
      <c r="E117" s="911">
        <v>0</v>
      </c>
      <c r="F117" s="911">
        <v>1</v>
      </c>
      <c r="G117" s="911">
        <f>'Attachment H-26'!$G$82</f>
        <v>1</v>
      </c>
      <c r="H117" s="911">
        <f>'Attachment H-26'!$I$196</f>
        <v>1</v>
      </c>
      <c r="I117" s="912"/>
      <c r="J117" s="938"/>
    </row>
    <row r="118" spans="1:16" ht="13.5" thickBot="1">
      <c r="A118" s="880">
        <f t="shared" si="12"/>
        <v>90</v>
      </c>
      <c r="B118" s="902" t="str">
        <f>"Total Transmission  (ln "&amp;A116&amp;" * ln "&amp;A117&amp;")"</f>
        <v>Total Transmission  (ln 88 * ln 89)</v>
      </c>
      <c r="C118" s="913"/>
      <c r="D118" s="904">
        <f>IF(D116&lt;&gt;0,D116*D117,0)</f>
        <v>0</v>
      </c>
      <c r="E118" s="904">
        <f>IF(E116&lt;&gt;0,E116*E117,0)</f>
        <v>0</v>
      </c>
      <c r="F118" s="904">
        <f>IF(F116&lt;&gt;0,F116*F117,0)</f>
        <v>1795187.96</v>
      </c>
      <c r="G118" s="904">
        <f>IF(G116&lt;&gt;0,G116*G117,0)</f>
        <v>0</v>
      </c>
      <c r="H118" s="914">
        <f>IF(H116&lt;&gt;0,H116*H117,0)</f>
        <v>0</v>
      </c>
      <c r="I118" s="915">
        <f>SUM(F118:H118)</f>
        <v>1795187.96</v>
      </c>
      <c r="J118" s="902"/>
    </row>
    <row r="119" spans="1:16">
      <c r="A119" s="880"/>
      <c r="B119" s="916"/>
      <c r="C119" s="917"/>
      <c r="D119" s="918"/>
      <c r="E119" s="918"/>
      <c r="F119" s="918"/>
      <c r="G119" s="918"/>
      <c r="H119" s="918"/>
      <c r="I119" s="918"/>
      <c r="J119" s="916"/>
    </row>
    <row r="120" spans="1:16" ht="12.75" customHeight="1">
      <c r="A120" s="880"/>
      <c r="B120" s="917"/>
      <c r="C120" s="920"/>
      <c r="D120" s="921"/>
      <c r="E120" s="921"/>
      <c r="F120" s="921"/>
      <c r="G120" s="921"/>
      <c r="H120" s="921"/>
      <c r="I120" s="918"/>
      <c r="J120" s="942"/>
    </row>
    <row r="121" spans="1:16" ht="15.5">
      <c r="A121" s="880"/>
      <c r="B121" s="881" t="s">
        <v>889</v>
      </c>
      <c r="C121" s="881"/>
      <c r="D121" s="933"/>
      <c r="E121" s="934"/>
      <c r="F121" s="935"/>
      <c r="G121" s="881"/>
      <c r="H121" s="881"/>
      <c r="I121" s="881"/>
      <c r="J121" s="942"/>
    </row>
    <row r="122" spans="1:16" ht="12.75" customHeight="1">
      <c r="A122" s="880"/>
      <c r="B122" s="920"/>
      <c r="C122" s="920"/>
      <c r="D122" s="920"/>
      <c r="E122" s="920"/>
      <c r="F122" s="920"/>
      <c r="G122" s="920"/>
      <c r="H122" s="943"/>
      <c r="I122" s="920"/>
      <c r="J122" s="942"/>
    </row>
    <row r="123" spans="1:16">
      <c r="A123" s="880"/>
      <c r="B123" s="885" t="str">
        <f t="shared" ref="B123:J123" si="20">B7</f>
        <v>(A)</v>
      </c>
      <c r="C123" s="885" t="str">
        <f t="shared" si="20"/>
        <v>(B)</v>
      </c>
      <c r="D123" s="885" t="str">
        <f t="shared" si="20"/>
        <v>(C)</v>
      </c>
      <c r="E123" s="885" t="str">
        <f t="shared" si="20"/>
        <v>(D)</v>
      </c>
      <c r="F123" s="885" t="str">
        <f t="shared" si="20"/>
        <v>(E)</v>
      </c>
      <c r="G123" s="885" t="str">
        <f t="shared" si="20"/>
        <v>(F)</v>
      </c>
      <c r="H123" s="885" t="str">
        <f t="shared" si="20"/>
        <v>(G)</v>
      </c>
      <c r="I123" s="885" t="str">
        <f t="shared" si="20"/>
        <v>(H)</v>
      </c>
      <c r="J123" s="944" t="str">
        <f t="shared" si="20"/>
        <v>(I)</v>
      </c>
    </row>
    <row r="124" spans="1:16">
      <c r="A124" s="880"/>
      <c r="B124" s="885"/>
      <c r="C124" s="886" t="s">
        <v>863</v>
      </c>
      <c r="D124" s="885" t="str">
        <f>D8</f>
        <v>100%</v>
      </c>
      <c r="E124" s="888">
        <v>1</v>
      </c>
      <c r="F124" s="885" t="str">
        <f>F8</f>
        <v>100%</v>
      </c>
      <c r="G124" s="885"/>
      <c r="H124" s="885"/>
      <c r="I124" s="885" t="str">
        <f>I8</f>
        <v>Total Included</v>
      </c>
      <c r="J124" s="942"/>
    </row>
    <row r="125" spans="1:16">
      <c r="A125" s="880" t="s">
        <v>8</v>
      </c>
      <c r="B125" s="885"/>
      <c r="C125" s="885" t="s">
        <v>866</v>
      </c>
      <c r="D125" s="885" t="str">
        <f>D9</f>
        <v>Non-Transmission</v>
      </c>
      <c r="E125" s="885" t="s">
        <v>868</v>
      </c>
      <c r="F125" s="885" t="str">
        <f>F9</f>
        <v>Transmission</v>
      </c>
      <c r="G125" s="885" t="str">
        <f>G9</f>
        <v xml:space="preserve">Plant </v>
      </c>
      <c r="H125" s="885" t="str">
        <f>H9</f>
        <v>Labor</v>
      </c>
      <c r="I125" s="885" t="str">
        <f>I9</f>
        <v>in Ratebase</v>
      </c>
      <c r="J125" s="942"/>
    </row>
    <row r="126" spans="1:16">
      <c r="A126" s="880" t="s">
        <v>10</v>
      </c>
      <c r="B126" s="891" t="str">
        <f>B10</f>
        <v>Identification</v>
      </c>
      <c r="C126" s="890" t="s">
        <v>958</v>
      </c>
      <c r="D126" s="891" t="str">
        <f>D10</f>
        <v>Related</v>
      </c>
      <c r="E126" s="891" t="s">
        <v>874</v>
      </c>
      <c r="F126" s="891" t="str">
        <f>F10</f>
        <v>Related</v>
      </c>
      <c r="G126" s="891" t="str">
        <f>G10</f>
        <v>Related</v>
      </c>
      <c r="H126" s="891" t="str">
        <f>H10</f>
        <v>Related</v>
      </c>
      <c r="I126" s="891" t="str">
        <f>I10</f>
        <v>(E)+(F)+(G)</v>
      </c>
      <c r="J126" s="945" t="str">
        <f>J10</f>
        <v>Description / Justification</v>
      </c>
    </row>
    <row r="127" spans="1:16">
      <c r="A127" s="880">
        <f>A118+1</f>
        <v>91</v>
      </c>
      <c r="B127" s="936" t="str">
        <f>'4b - ADIT Beginning Ending'!B66</f>
        <v>520A  Provision for Possible Revenue Refunds</v>
      </c>
      <c r="C127" s="893">
        <f>'4b - ADIT Beginning Ending'!H66</f>
        <v>23387.88</v>
      </c>
      <c r="D127" s="893">
        <v>0</v>
      </c>
      <c r="E127" s="893">
        <v>0</v>
      </c>
      <c r="F127" s="893">
        <f>C127</f>
        <v>23387.88</v>
      </c>
      <c r="G127" s="893">
        <v>0</v>
      </c>
      <c r="H127" s="893">
        <v>0</v>
      </c>
      <c r="I127" s="893">
        <f t="shared" ref="I127:I128" si="21">F127+G127+H127</f>
        <v>23387.88</v>
      </c>
      <c r="J127" s="940" t="s">
        <v>952</v>
      </c>
      <c r="K127" s="946"/>
      <c r="L127" s="946"/>
      <c r="M127" s="946"/>
      <c r="N127" s="946"/>
      <c r="O127" s="946"/>
      <c r="P127" s="946"/>
    </row>
    <row r="128" spans="1:16" ht="12.75" customHeight="1">
      <c r="A128" s="880">
        <f t="shared" ref="A128:A157" si="22">A127+1</f>
        <v>92</v>
      </c>
      <c r="B128" s="936" t="str">
        <f>'4b - ADIT Beginning Ending'!B67</f>
        <v>601E- Insurance Premiums Accrued</v>
      </c>
      <c r="C128" s="893">
        <f>'4b - ADIT Beginning Ending'!H67</f>
        <v>-2016.345</v>
      </c>
      <c r="D128" s="893">
        <v>0</v>
      </c>
      <c r="E128" s="893">
        <v>0</v>
      </c>
      <c r="F128" s="893">
        <v>0</v>
      </c>
      <c r="G128" s="893">
        <v>0</v>
      </c>
      <c r="H128" s="893">
        <f>C128</f>
        <v>-2016.345</v>
      </c>
      <c r="I128" s="893">
        <f t="shared" si="21"/>
        <v>-2016.345</v>
      </c>
      <c r="J128" s="940" t="s">
        <v>890</v>
      </c>
    </row>
    <row r="129" spans="1:10" ht="12.75" customHeight="1">
      <c r="A129" s="880">
        <f t="shared" si="22"/>
        <v>93</v>
      </c>
      <c r="B129" s="936" t="str">
        <f>'4b - ADIT Beginning Ending'!B68</f>
        <v>612Y  Accrued Companywide Incentive Plan</v>
      </c>
      <c r="C129" s="893">
        <f>'4b - ADIT Beginning Ending'!H68</f>
        <v>4.4999999999999998E-2</v>
      </c>
      <c r="D129" s="893">
        <v>0</v>
      </c>
      <c r="E129" s="893">
        <v>0</v>
      </c>
      <c r="F129" s="893">
        <f t="shared" ref="F129:F130" si="23">C129</f>
        <v>4.4999999999999998E-2</v>
      </c>
      <c r="G129" s="893">
        <v>0</v>
      </c>
      <c r="H129" s="893">
        <v>0</v>
      </c>
      <c r="I129" s="893">
        <f>F129+G129+H129</f>
        <v>4.4999999999999998E-2</v>
      </c>
      <c r="J129" s="940" t="s">
        <v>890</v>
      </c>
    </row>
    <row r="130" spans="1:10" ht="12.75" customHeight="1">
      <c r="A130" s="880">
        <f t="shared" si="22"/>
        <v>94</v>
      </c>
      <c r="B130" s="936" t="str">
        <f>'4b - ADIT Beginning Ending'!B69</f>
        <v>911Q-DSIT  DSIT Entry-Normalized</v>
      </c>
      <c r="C130" s="893">
        <f>'4b - ADIT Beginning Ending'!H69</f>
        <v>0</v>
      </c>
      <c r="D130" s="893">
        <v>0</v>
      </c>
      <c r="E130" s="893">
        <v>0</v>
      </c>
      <c r="F130" s="893">
        <f t="shared" si="23"/>
        <v>0</v>
      </c>
      <c r="G130" s="893">
        <v>0</v>
      </c>
      <c r="H130" s="893">
        <v>0</v>
      </c>
      <c r="I130" s="893">
        <f>F130+G130+H130</f>
        <v>0</v>
      </c>
      <c r="J130" s="940" t="s">
        <v>1007</v>
      </c>
    </row>
    <row r="131" spans="1:10" ht="12.75" customHeight="1">
      <c r="A131" s="880">
        <f t="shared" si="22"/>
        <v>95</v>
      </c>
      <c r="B131" s="936" t="str">
        <f>'4b - ADIT Beginning Ending'!B70</f>
        <v>960F-XS Excess ADFIT 282.4 - Protected</v>
      </c>
      <c r="C131" s="893">
        <f>'4b - ADIT Beginning Ending'!H70</f>
        <v>0</v>
      </c>
      <c r="D131" s="893">
        <v>0</v>
      </c>
      <c r="E131" s="893">
        <v>0</v>
      </c>
      <c r="F131" s="893">
        <f>C131</f>
        <v>0</v>
      </c>
      <c r="G131" s="893">
        <v>0</v>
      </c>
      <c r="H131" s="893">
        <v>0</v>
      </c>
      <c r="I131" s="893">
        <f t="shared" ref="I131" si="24">F131+G131+H131</f>
        <v>0</v>
      </c>
      <c r="J131" s="940" t="s">
        <v>1008</v>
      </c>
    </row>
    <row r="132" spans="1:10" ht="12.75" customHeight="1">
      <c r="A132" s="880">
        <f t="shared" si="22"/>
        <v>96</v>
      </c>
      <c r="B132" s="936" t="str">
        <f>'4b - ADIT Beginning Ending'!B71</f>
        <v>960F-XS Excess ADFIT 282.4 - Unprotected</v>
      </c>
      <c r="C132" s="893">
        <f>'4b - ADIT Beginning Ending'!H71</f>
        <v>0</v>
      </c>
      <c r="D132" s="893">
        <v>0</v>
      </c>
      <c r="E132" s="893">
        <v>0</v>
      </c>
      <c r="F132" s="893">
        <f t="shared" ref="F132:F133" si="25">C132</f>
        <v>0</v>
      </c>
      <c r="G132" s="893">
        <v>0</v>
      </c>
      <c r="H132" s="893">
        <v>0</v>
      </c>
      <c r="I132" s="893">
        <f t="shared" ref="I132:I150" si="26">F132+G132+H132</f>
        <v>0</v>
      </c>
      <c r="J132" s="940" t="s">
        <v>1009</v>
      </c>
    </row>
    <row r="133" spans="1:10" ht="12.75" customHeight="1">
      <c r="A133" s="880">
        <f t="shared" si="22"/>
        <v>97</v>
      </c>
      <c r="B133" s="936" t="str">
        <f>'4b - ADIT Beginning Ending'!B72</f>
        <v>960F-XS Excess ADFIT 283.4 - Unprotected</v>
      </c>
      <c r="C133" s="893">
        <f>'4b - ADIT Beginning Ending'!H72</f>
        <v>0</v>
      </c>
      <c r="D133" s="893">
        <v>0</v>
      </c>
      <c r="E133" s="893">
        <v>0</v>
      </c>
      <c r="F133" s="893">
        <f t="shared" si="25"/>
        <v>0</v>
      </c>
      <c r="G133" s="893">
        <v>0</v>
      </c>
      <c r="H133" s="893">
        <v>0</v>
      </c>
      <c r="I133" s="893">
        <f t="shared" si="26"/>
        <v>0</v>
      </c>
      <c r="J133" s="940" t="s">
        <v>887</v>
      </c>
    </row>
    <row r="134" spans="1:10" ht="12.75" customHeight="1">
      <c r="A134" s="880">
        <f t="shared" si="22"/>
        <v>98</v>
      </c>
      <c r="B134" s="936" t="str">
        <f>'4b - ADIT Beginning Ending'!B73</f>
        <v>230A ACRS Benefit Normalized</v>
      </c>
      <c r="C134" s="893">
        <f>'4b - ADIT Beginning Ending'!H73</f>
        <v>146280.4</v>
      </c>
      <c r="D134" s="893">
        <v>0</v>
      </c>
      <c r="E134" s="893">
        <v>0</v>
      </c>
      <c r="F134" s="893">
        <v>0</v>
      </c>
      <c r="G134" s="893">
        <f>C134</f>
        <v>146280.4</v>
      </c>
      <c r="H134" s="893">
        <v>0</v>
      </c>
      <c r="I134" s="893">
        <f>H134+G134+F134</f>
        <v>146280.4</v>
      </c>
      <c r="J134" s="940" t="s">
        <v>1003</v>
      </c>
    </row>
    <row r="135" spans="1:10" ht="12.75" customHeight="1">
      <c r="A135" s="880">
        <f t="shared" si="22"/>
        <v>99</v>
      </c>
      <c r="B135" s="936" t="str">
        <f>'4b - ADIT Beginning Ending'!B74</f>
        <v>380J Int Exp Capitalized</v>
      </c>
      <c r="C135" s="893">
        <f>'4b - ADIT Beginning Ending'!H74</f>
        <v>-3.7949999999999999</v>
      </c>
      <c r="D135" s="893">
        <v>0</v>
      </c>
      <c r="E135" s="893">
        <v>0</v>
      </c>
      <c r="F135" s="893">
        <v>0</v>
      </c>
      <c r="G135" s="893">
        <f t="shared" ref="G135" si="27">C135</f>
        <v>-3.7949999999999999</v>
      </c>
      <c r="H135" s="893">
        <v>0</v>
      </c>
      <c r="I135" s="893">
        <f t="shared" ref="I135" si="28">H135+G135+F135</f>
        <v>-3.7949999999999999</v>
      </c>
      <c r="J135" s="940" t="s">
        <v>1014</v>
      </c>
    </row>
    <row r="136" spans="1:10" ht="12.75" customHeight="1">
      <c r="A136" s="880">
        <f t="shared" si="22"/>
        <v>100</v>
      </c>
      <c r="B136" s="936" t="str">
        <f>'4b - ADIT Beginning Ending'!B75</f>
        <v>532C- Book/Tax Unit of Property Adj</v>
      </c>
      <c r="C136" s="893">
        <f>'4b - ADIT Beginning Ending'!H75</f>
        <v>34832.195</v>
      </c>
      <c r="D136" s="893">
        <v>0</v>
      </c>
      <c r="E136" s="893">
        <v>0</v>
      </c>
      <c r="F136" s="893">
        <v>0</v>
      </c>
      <c r="G136" s="893">
        <f>C136</f>
        <v>34832.195</v>
      </c>
      <c r="H136" s="893">
        <v>0</v>
      </c>
      <c r="I136" s="893">
        <f>H136+G136+F136</f>
        <v>34832.195</v>
      </c>
      <c r="J136" s="940" t="s">
        <v>1004</v>
      </c>
    </row>
    <row r="137" spans="1:10" ht="12.75" customHeight="1">
      <c r="A137" s="880">
        <f t="shared" si="22"/>
        <v>101</v>
      </c>
      <c r="B137" s="936" t="str">
        <f>'4b - ADIT Beginning Ending'!B76</f>
        <v>671S Reg Asset - Pre Construction</v>
      </c>
      <c r="C137" s="893">
        <f>'4b - ADIT Beginning Ending'!H76</f>
        <v>-5.0000000000000001E-3</v>
      </c>
      <c r="D137" s="893">
        <v>0</v>
      </c>
      <c r="E137" s="893">
        <v>0</v>
      </c>
      <c r="F137" s="893">
        <f t="shared" ref="F137" si="29">C137</f>
        <v>-5.0000000000000001E-3</v>
      </c>
      <c r="G137" s="893">
        <v>0</v>
      </c>
      <c r="H137" s="893">
        <v>0</v>
      </c>
      <c r="I137" s="893">
        <f t="shared" ref="I137" si="30">H137+G137+F137</f>
        <v>-5.0000000000000001E-3</v>
      </c>
      <c r="J137" s="940" t="s">
        <v>1013</v>
      </c>
    </row>
    <row r="138" spans="1:10" ht="12.75" customHeight="1">
      <c r="A138" s="880">
        <f t="shared" si="22"/>
        <v>102</v>
      </c>
      <c r="B138" s="936" t="str">
        <f>'4b - ADIT Beginning Ending'!B77</f>
        <v>712K- Capitalized Software Cost-Book</v>
      </c>
      <c r="C138" s="893">
        <f>'4b - ADIT Beginning Ending'!H77</f>
        <v>440.83499999999998</v>
      </c>
      <c r="D138" s="893">
        <v>0</v>
      </c>
      <c r="E138" s="893">
        <v>0</v>
      </c>
      <c r="F138" s="893">
        <v>0</v>
      </c>
      <c r="G138" s="893">
        <f t="shared" ref="G138:G139" si="31">C138</f>
        <v>440.83499999999998</v>
      </c>
      <c r="H138" s="893">
        <v>0</v>
      </c>
      <c r="I138" s="893">
        <f t="shared" ref="I138:I139" si="32">H138+G138+F138</f>
        <v>440.83499999999998</v>
      </c>
      <c r="J138" s="940" t="s">
        <v>884</v>
      </c>
    </row>
    <row r="139" spans="1:10" ht="12.75" customHeight="1">
      <c r="A139" s="880">
        <f t="shared" si="22"/>
        <v>103</v>
      </c>
      <c r="B139" s="936" t="str">
        <f>'4b - ADIT Beginning Ending'!B78</f>
        <v>712L CAPITALIZED SOFTWARE COST-BOOKS</v>
      </c>
      <c r="C139" s="893">
        <f>'4b - ADIT Beginning Ending'!H78</f>
        <v>-1598.0450000000001</v>
      </c>
      <c r="D139" s="893">
        <v>0</v>
      </c>
      <c r="E139" s="893">
        <v>0</v>
      </c>
      <c r="F139" s="893">
        <v>0</v>
      </c>
      <c r="G139" s="893">
        <f t="shared" si="31"/>
        <v>-1598.0450000000001</v>
      </c>
      <c r="H139" s="893">
        <v>0</v>
      </c>
      <c r="I139" s="893">
        <f t="shared" si="32"/>
        <v>-1598.0450000000001</v>
      </c>
      <c r="J139" s="940" t="s">
        <v>884</v>
      </c>
    </row>
    <row r="140" spans="1:10">
      <c r="A140" s="880">
        <f t="shared" si="22"/>
        <v>104</v>
      </c>
      <c r="B140" s="936" t="str">
        <f>'4b - ADIT Beginning Ending'!B79</f>
        <v>960Z - NOL-Deferred Tax Asset Reclass</v>
      </c>
      <c r="C140" s="893">
        <f>'4b - ADIT Beginning Ending'!H79</f>
        <v>-985.82500000000005</v>
      </c>
      <c r="D140" s="893">
        <v>0</v>
      </c>
      <c r="E140" s="893">
        <v>0</v>
      </c>
      <c r="F140" s="893">
        <f t="shared" ref="F140" si="33">C140</f>
        <v>-985.82500000000005</v>
      </c>
      <c r="G140" s="893">
        <v>0</v>
      </c>
      <c r="H140" s="893">
        <v>0</v>
      </c>
      <c r="I140" s="893">
        <f t="shared" si="26"/>
        <v>-985.82500000000005</v>
      </c>
      <c r="J140" s="940" t="s">
        <v>1015</v>
      </c>
    </row>
    <row r="141" spans="1:10" ht="12.75" customHeight="1">
      <c r="A141" s="880">
        <f t="shared" si="22"/>
        <v>105</v>
      </c>
      <c r="B141" s="1203" t="str">
        <f>'4b - ADIT Beginning Ending'!B80</f>
        <v>4041 - NOL - DEFERRED TAX ASSET RECLASS</v>
      </c>
      <c r="C141" s="1202">
        <f>'4b - ADIT Beginning Ending'!H80</f>
        <v>0</v>
      </c>
      <c r="D141" s="1202">
        <f>C141</f>
        <v>0</v>
      </c>
      <c r="E141" s="1202">
        <v>0</v>
      </c>
      <c r="F141" s="1202">
        <v>0</v>
      </c>
      <c r="G141" s="1202">
        <v>0</v>
      </c>
      <c r="H141" s="1202">
        <v>0</v>
      </c>
      <c r="I141" s="1202">
        <f t="shared" si="26"/>
        <v>0</v>
      </c>
      <c r="J141" s="940" t="s">
        <v>1015</v>
      </c>
    </row>
    <row r="142" spans="1:10" ht="12.75" customHeight="1">
      <c r="A142" s="880">
        <f t="shared" si="22"/>
        <v>106</v>
      </c>
      <c r="B142" s="1204" t="str">
        <f>'4b - ADIT Beginning Ending'!B81</f>
        <v>6009 - PT COR - NORM</v>
      </c>
      <c r="C142" s="1202">
        <f>'4b - ADIT Beginning Ending'!H81</f>
        <v>98.13</v>
      </c>
      <c r="D142" s="1202">
        <v>0</v>
      </c>
      <c r="E142" s="1202">
        <v>0</v>
      </c>
      <c r="F142" s="1202">
        <v>0</v>
      </c>
      <c r="G142" s="1202">
        <f>+C142</f>
        <v>98.13</v>
      </c>
      <c r="H142" s="1202">
        <v>0</v>
      </c>
      <c r="I142" s="1202">
        <f t="shared" si="26"/>
        <v>98.13</v>
      </c>
      <c r="J142" s="940" t="s">
        <v>1016</v>
      </c>
    </row>
    <row r="143" spans="1:10" ht="12.75" customHeight="1">
      <c r="A143" s="880">
        <f t="shared" si="22"/>
        <v>107</v>
      </c>
      <c r="B143" s="1204" t="str">
        <f>'4b - ADIT Beginning Ending'!B82</f>
        <v>6011 - PT CPI - NORM</v>
      </c>
      <c r="C143" s="1202">
        <f>'4b - ADIT Beginning Ending'!H82</f>
        <v>-163.655</v>
      </c>
      <c r="D143" s="1202">
        <v>0</v>
      </c>
      <c r="E143" s="1202">
        <v>0</v>
      </c>
      <c r="F143" s="1202">
        <v>0</v>
      </c>
      <c r="G143" s="1202">
        <f>+C143</f>
        <v>-163.655</v>
      </c>
      <c r="H143" s="1202">
        <v>0</v>
      </c>
      <c r="I143" s="1202">
        <f t="shared" si="26"/>
        <v>-163.655</v>
      </c>
      <c r="J143" s="1205" t="s">
        <v>1017</v>
      </c>
    </row>
    <row r="144" spans="1:10" ht="12.75" customHeight="1">
      <c r="A144" s="880">
        <f t="shared" si="22"/>
        <v>108</v>
      </c>
      <c r="B144" s="1203" t="str">
        <f>'4b - ADIT Beginning Ending'!B83</f>
        <v>6018 - PT Method/Life - NORM</v>
      </c>
      <c r="C144" s="1202">
        <f>'4b - ADIT Beginning Ending'!H83</f>
        <v>169151.535</v>
      </c>
      <c r="D144" s="1202">
        <v>0</v>
      </c>
      <c r="E144" s="1202">
        <v>0</v>
      </c>
      <c r="F144" s="1202">
        <v>0</v>
      </c>
      <c r="G144" s="1202">
        <f>+C144</f>
        <v>169151.535</v>
      </c>
      <c r="H144" s="1202">
        <v>0</v>
      </c>
      <c r="I144" s="1202">
        <f t="shared" si="26"/>
        <v>169151.535</v>
      </c>
      <c r="J144" s="940" t="s">
        <v>1003</v>
      </c>
    </row>
    <row r="145" spans="1:10" ht="12.75" customHeight="1">
      <c r="A145" s="880">
        <f t="shared" si="22"/>
        <v>109</v>
      </c>
      <c r="B145" s="908" t="str">
        <f>'4b - ADIT Beginning Ending'!B84</f>
        <v>6024 - PT Repairs UOP - NORM</v>
      </c>
      <c r="C145" s="1202">
        <f>'4b - ADIT Beginning Ending'!H84</f>
        <v>34832.195</v>
      </c>
      <c r="D145" s="1202">
        <v>0</v>
      </c>
      <c r="E145" s="1202">
        <v>0</v>
      </c>
      <c r="F145" s="1202">
        <v>0</v>
      </c>
      <c r="G145" s="1202">
        <f>+C145</f>
        <v>34832.195</v>
      </c>
      <c r="H145" s="1202">
        <v>0</v>
      </c>
      <c r="I145" s="1202">
        <f t="shared" si="26"/>
        <v>34832.195</v>
      </c>
      <c r="J145" s="940" t="s">
        <v>1004</v>
      </c>
    </row>
    <row r="146" spans="1:10" ht="12.75" customHeight="1">
      <c r="A146" s="880">
        <f t="shared" si="22"/>
        <v>110</v>
      </c>
      <c r="B146" s="908" t="str">
        <f>'4b - ADIT Beginning Ending'!B85</f>
        <v>6523 - 2020 712L 481(a) Software</v>
      </c>
      <c r="C146" s="1202">
        <f>'4b - ADIT Beginning Ending'!H85</f>
        <v>-1598.0450000000001</v>
      </c>
      <c r="D146" s="1202">
        <v>0</v>
      </c>
      <c r="E146" s="1202">
        <v>0</v>
      </c>
      <c r="F146" s="1202">
        <v>0</v>
      </c>
      <c r="G146" s="1202">
        <f>C146</f>
        <v>-1598.0450000000001</v>
      </c>
      <c r="H146" s="1202">
        <v>0</v>
      </c>
      <c r="I146" s="1202">
        <f t="shared" si="26"/>
        <v>-1598.0450000000001</v>
      </c>
      <c r="J146" s="940" t="s">
        <v>884</v>
      </c>
    </row>
    <row r="147" spans="1:10" ht="12.75" customHeight="1">
      <c r="A147" s="880">
        <f t="shared" si="22"/>
        <v>111</v>
      </c>
      <c r="B147" s="908" t="str">
        <f>'4b - ADIT Beginning Ending'!B86</f>
        <v>7021 - PROVS POSS REV REFDS-A/L</v>
      </c>
      <c r="C147" s="1202">
        <f>'4b - ADIT Beginning Ending'!H86</f>
        <v>56550.200000000004</v>
      </c>
      <c r="D147" s="1202">
        <v>0</v>
      </c>
      <c r="E147" s="1202">
        <v>0</v>
      </c>
      <c r="F147" s="1202">
        <f>+C147</f>
        <v>56550.200000000004</v>
      </c>
      <c r="G147" s="1202">
        <v>0</v>
      </c>
      <c r="H147" s="1202">
        <v>0</v>
      </c>
      <c r="I147" s="1202">
        <f t="shared" si="26"/>
        <v>56550.200000000004</v>
      </c>
      <c r="J147" s="940" t="s">
        <v>952</v>
      </c>
    </row>
    <row r="148" spans="1:10" ht="12.75" customHeight="1">
      <c r="A148" s="880">
        <f t="shared" si="22"/>
        <v>112</v>
      </c>
      <c r="B148" s="908" t="str">
        <f>'4b - ADIT Beginning Ending'!B87</f>
        <v>7027 - INSURANCE PREMIUMS ACCRUED</v>
      </c>
      <c r="C148" s="1202">
        <f>'4b - ADIT Beginning Ending'!H87</f>
        <v>-1939.575</v>
      </c>
      <c r="D148" s="1202">
        <v>0</v>
      </c>
      <c r="E148" s="1202">
        <v>0</v>
      </c>
      <c r="F148" s="1202">
        <v>0</v>
      </c>
      <c r="G148" s="1202">
        <v>0</v>
      </c>
      <c r="H148" s="1202">
        <f>C148</f>
        <v>-1939.575</v>
      </c>
      <c r="I148" s="1202">
        <f t="shared" si="26"/>
        <v>-1939.575</v>
      </c>
      <c r="J148" s="940" t="s">
        <v>890</v>
      </c>
    </row>
    <row r="149" spans="1:10" ht="12.75" customHeight="1">
      <c r="A149" s="880">
        <f t="shared" si="22"/>
        <v>113</v>
      </c>
      <c r="B149" s="1203" t="str">
        <f>'4b - ADIT Beginning Ending'!B88</f>
        <v>7048 - ACCRD COMPANYWIDE INCENTV PLAN</v>
      </c>
      <c r="C149" s="1202">
        <f>'4b - ADIT Beginning Ending'!H88</f>
        <v>4.4999999999999998E-2</v>
      </c>
      <c r="D149" s="1202">
        <v>0</v>
      </c>
      <c r="E149" s="1202">
        <v>0</v>
      </c>
      <c r="F149" s="1202">
        <f>+C149</f>
        <v>4.4999999999999998E-2</v>
      </c>
      <c r="G149" s="1202">
        <v>0</v>
      </c>
      <c r="H149" s="1202">
        <v>0</v>
      </c>
      <c r="I149" s="1202">
        <f t="shared" si="26"/>
        <v>4.4999999999999998E-2</v>
      </c>
      <c r="J149" s="940" t="s">
        <v>890</v>
      </c>
    </row>
    <row r="150" spans="1:10" ht="12.75" customHeight="1">
      <c r="A150" s="880">
        <f t="shared" si="22"/>
        <v>114</v>
      </c>
      <c r="B150" s="1203" t="str">
        <f>'4b - ADIT Beginning Ending'!B89</f>
        <v>7337 - REG ASSET-PRE CONSTRUCTION COSTS</v>
      </c>
      <c r="C150" s="1202">
        <f>'4b - ADIT Beginning Ending'!H89</f>
        <v>-5.0000000000000001E-3</v>
      </c>
      <c r="D150" s="1202">
        <v>0</v>
      </c>
      <c r="E150" s="1202">
        <v>0</v>
      </c>
      <c r="F150" s="1202">
        <f>+C150</f>
        <v>-5.0000000000000001E-3</v>
      </c>
      <c r="G150" s="1202">
        <v>0</v>
      </c>
      <c r="H150" s="1202">
        <v>0</v>
      </c>
      <c r="I150" s="908">
        <f t="shared" si="26"/>
        <v>-5.0000000000000001E-3</v>
      </c>
      <c r="J150" s="940" t="s">
        <v>1013</v>
      </c>
    </row>
    <row r="151" spans="1:10" ht="12.75" customHeight="1">
      <c r="A151" s="880">
        <f t="shared" si="22"/>
        <v>115</v>
      </c>
      <c r="B151" s="902" t="s">
        <v>891</v>
      </c>
      <c r="C151" s="903">
        <f t="shared" ref="C151:H151" si="34">SUM(C127:C150)</f>
        <v>457268.16499999998</v>
      </c>
      <c r="D151" s="903">
        <f>SUM(D127:D150)</f>
        <v>0</v>
      </c>
      <c r="E151" s="903">
        <f t="shared" si="34"/>
        <v>0</v>
      </c>
      <c r="F151" s="903">
        <f>SUM(F127:F150)</f>
        <v>78952.334999999992</v>
      </c>
      <c r="G151" s="903">
        <f t="shared" si="34"/>
        <v>382271.75</v>
      </c>
      <c r="H151" s="903">
        <f t="shared" si="34"/>
        <v>-3955.92</v>
      </c>
      <c r="I151" s="904"/>
      <c r="J151" s="938"/>
    </row>
    <row r="152" spans="1:10" ht="12.75" customHeight="1">
      <c r="A152" s="880">
        <f t="shared" si="22"/>
        <v>116</v>
      </c>
      <c r="B152" s="902" t="str">
        <f>B113</f>
        <v>Less FASB 109 Above if not separately removed</v>
      </c>
      <c r="C152" s="903">
        <f>SUM(D152:H152)</f>
        <v>0</v>
      </c>
      <c r="D152" s="906">
        <v>0</v>
      </c>
      <c r="E152" s="906">
        <v>0</v>
      </c>
      <c r="F152" s="906">
        <f>SUM(F131:F133)+F141</f>
        <v>0</v>
      </c>
      <c r="G152" s="906">
        <f>SUM(G131:G133)+G141</f>
        <v>0</v>
      </c>
      <c r="H152" s="906">
        <f t="shared" ref="H152" si="35">SUM(H131:H133)+H141</f>
        <v>0</v>
      </c>
      <c r="I152" s="947" t="s">
        <v>2</v>
      </c>
      <c r="J152" s="940" t="s">
        <v>1018</v>
      </c>
    </row>
    <row r="153" spans="1:10" ht="12.75" customHeight="1">
      <c r="A153" s="880">
        <f t="shared" si="22"/>
        <v>117</v>
      </c>
      <c r="B153" s="902" t="str">
        <f>B114</f>
        <v>Less FASB 106 and Other Excludable Items Above if not separately removed</v>
      </c>
      <c r="C153" s="903">
        <f>SUM(D153:H153)</f>
        <v>0</v>
      </c>
      <c r="D153" s="906">
        <v>0</v>
      </c>
      <c r="E153" s="906">
        <v>0</v>
      </c>
      <c r="F153" s="906">
        <v>0</v>
      </c>
      <c r="G153" s="906">
        <v>0</v>
      </c>
      <c r="H153" s="906">
        <v>0</v>
      </c>
      <c r="I153" s="947" t="s">
        <v>2</v>
      </c>
      <c r="J153" s="940"/>
    </row>
    <row r="154" spans="1:10" ht="12.75" customHeight="1">
      <c r="A154" s="880">
        <f t="shared" si="22"/>
        <v>118</v>
      </c>
      <c r="B154" s="902" t="str">
        <f>B115</f>
        <v>Less Proration Adjustment (from Worksheet 4c)</v>
      </c>
      <c r="C154" s="903">
        <f>'4c - ADIT Proration'!J96</f>
        <v>0</v>
      </c>
      <c r="D154" s="906">
        <v>0</v>
      </c>
      <c r="E154" s="906">
        <v>0</v>
      </c>
      <c r="F154" s="906">
        <v>0</v>
      </c>
      <c r="G154" s="906">
        <v>0</v>
      </c>
      <c r="H154" s="906">
        <v>0</v>
      </c>
      <c r="I154" s="947"/>
      <c r="J154" s="938"/>
    </row>
    <row r="155" spans="1:10" ht="12.75" customHeight="1">
      <c r="A155" s="880">
        <f t="shared" si="22"/>
        <v>119</v>
      </c>
      <c r="B155" s="902" t="str">
        <f>"Total Company  (ln "&amp;A151&amp;" - ln "&amp;A152&amp;" - ln "&amp;A153&amp;" + ln "&amp;A154&amp;")"</f>
        <v>Total Company  (ln 115 - ln 116 - ln 117 + ln 118)</v>
      </c>
      <c r="C155" s="903">
        <f>+C151-C152-C153+C154</f>
        <v>457268.16499999998</v>
      </c>
      <c r="D155" s="903">
        <f t="shared" ref="D155:H155" si="36">+D151-D152-D153+D154</f>
        <v>0</v>
      </c>
      <c r="E155" s="903">
        <f t="shared" si="36"/>
        <v>0</v>
      </c>
      <c r="F155" s="903">
        <f t="shared" si="36"/>
        <v>78952.334999999992</v>
      </c>
      <c r="G155" s="903">
        <f t="shared" si="36"/>
        <v>382271.75</v>
      </c>
      <c r="H155" s="903">
        <f t="shared" si="36"/>
        <v>-3955.92</v>
      </c>
      <c r="I155" s="904" t="s">
        <v>2</v>
      </c>
      <c r="J155" s="938"/>
    </row>
    <row r="156" spans="1:10" ht="12.75" customHeight="1" thickBot="1">
      <c r="A156" s="880">
        <f t="shared" si="22"/>
        <v>120</v>
      </c>
      <c r="B156" s="902" t="str">
        <f>B117</f>
        <v>Transmission Allocator [ GP or W/S ]</v>
      </c>
      <c r="C156" s="948"/>
      <c r="D156" s="911">
        <v>0</v>
      </c>
      <c r="E156" s="911">
        <v>0</v>
      </c>
      <c r="F156" s="911">
        <v>1</v>
      </c>
      <c r="G156" s="911">
        <f>'Attachment H-26'!$G$82</f>
        <v>1</v>
      </c>
      <c r="H156" s="911">
        <f>'Attachment H-26'!$I$196</f>
        <v>1</v>
      </c>
      <c r="I156" s="912"/>
      <c r="J156" s="938"/>
    </row>
    <row r="157" spans="1:10" ht="12.75" customHeight="1" thickBot="1">
      <c r="A157" s="880">
        <f t="shared" si="22"/>
        <v>121</v>
      </c>
      <c r="B157" s="902" t="str">
        <f>"Total Transmission  (ln "&amp;A155&amp;" * ln "&amp;A156&amp;")"</f>
        <v>Total Transmission  (ln 119 * ln 120)</v>
      </c>
      <c r="C157" s="913"/>
      <c r="D157" s="904">
        <f>IF(D155&lt;&gt;0,D155*D156,0)</f>
        <v>0</v>
      </c>
      <c r="E157" s="904">
        <f>IF(E155&lt;&gt;0,E155*E156,0)</f>
        <v>0</v>
      </c>
      <c r="F157" s="904">
        <f>IF(F155&lt;&gt;0,F155*F156,0)</f>
        <v>78952.334999999992</v>
      </c>
      <c r="G157" s="904">
        <f>IF(G155&lt;&gt;0,G155*G156,0)</f>
        <v>382271.75</v>
      </c>
      <c r="H157" s="914">
        <f>IF(H155&lt;&gt;0,H155*H156,0)</f>
        <v>-3955.92</v>
      </c>
      <c r="I157" s="915">
        <f>SUM(F157:H157)</f>
        <v>457268.16499999998</v>
      </c>
      <c r="J157" s="902"/>
    </row>
    <row r="158" spans="1:10" ht="12.75" customHeight="1">
      <c r="A158" s="880"/>
      <c r="B158" s="889"/>
      <c r="C158" s="920"/>
      <c r="D158" s="921"/>
      <c r="E158" s="921"/>
      <c r="F158" s="921"/>
      <c r="G158" s="921"/>
      <c r="H158" s="921"/>
      <c r="I158" s="918"/>
      <c r="J158" s="942"/>
    </row>
  </sheetData>
  <mergeCells count="3">
    <mergeCell ref="A1:J1"/>
    <mergeCell ref="A2:J2"/>
    <mergeCell ref="A3:J3"/>
  </mergeCells>
  <pageMargins left="0.24" right="0.24" top="0.5" bottom="0.5" header="0.5" footer="0.5"/>
  <pageSetup scale="47" fitToHeight="0" orientation="landscape" r:id="rId1"/>
  <headerFooter alignWithMargins="0"/>
  <rowBreaks count="1" manualBreakCount="1">
    <brk id="78" max="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47"/>
  <sheetViews>
    <sheetView view="pageBreakPreview" zoomScale="80" zoomScaleNormal="90" zoomScaleSheetLayoutView="80" workbookViewId="0">
      <selection activeCell="A4" sqref="A4"/>
    </sheetView>
  </sheetViews>
  <sheetFormatPr defaultRowHeight="12.5"/>
  <cols>
    <col min="1" max="1" width="3.84375" style="1075" customWidth="1"/>
    <col min="2" max="2" width="49.69140625" style="1042" customWidth="1"/>
    <col min="3" max="3" width="15.53515625" style="1042" customWidth="1"/>
    <col min="4" max="4" width="7.07421875" style="1042" customWidth="1"/>
    <col min="5" max="5" width="50.07421875" style="1042" customWidth="1"/>
    <col min="6" max="6" width="15.07421875" style="1042" customWidth="1"/>
    <col min="7" max="7" width="3" style="1042" customWidth="1"/>
    <col min="8" max="8" width="16.4609375" style="1042" customWidth="1"/>
    <col min="9" max="9" width="3.84375" style="1042" customWidth="1"/>
    <col min="10" max="257" width="8.69140625" style="1042"/>
    <col min="258" max="258" width="43.07421875" style="1042" customWidth="1"/>
    <col min="259" max="259" width="15.07421875" style="1042" customWidth="1"/>
    <col min="260" max="260" width="9.84375" style="1042" customWidth="1"/>
    <col min="261" max="261" width="44.07421875" style="1042" customWidth="1"/>
    <col min="262" max="262" width="14.07421875" style="1042" customWidth="1"/>
    <col min="263" max="263" width="3" style="1042" customWidth="1"/>
    <col min="264" max="264" width="16.4609375" style="1042" customWidth="1"/>
    <col min="265" max="265" width="3.84375" style="1042" customWidth="1"/>
    <col min="266" max="513" width="8.69140625" style="1042"/>
    <col min="514" max="514" width="43.07421875" style="1042" customWidth="1"/>
    <col min="515" max="515" width="15.07421875" style="1042" customWidth="1"/>
    <col min="516" max="516" width="9.84375" style="1042" customWidth="1"/>
    <col min="517" max="517" width="44.07421875" style="1042" customWidth="1"/>
    <col min="518" max="518" width="14.07421875" style="1042" customWidth="1"/>
    <col min="519" max="519" width="3" style="1042" customWidth="1"/>
    <col min="520" max="520" width="16.4609375" style="1042" customWidth="1"/>
    <col min="521" max="521" width="3.84375" style="1042" customWidth="1"/>
    <col min="522" max="769" width="8.69140625" style="1042"/>
    <col min="770" max="770" width="43.07421875" style="1042" customWidth="1"/>
    <col min="771" max="771" width="15.07421875" style="1042" customWidth="1"/>
    <col min="772" max="772" width="9.84375" style="1042" customWidth="1"/>
    <col min="773" max="773" width="44.07421875" style="1042" customWidth="1"/>
    <col min="774" max="774" width="14.07421875" style="1042" customWidth="1"/>
    <col min="775" max="775" width="3" style="1042" customWidth="1"/>
    <col min="776" max="776" width="16.4609375" style="1042" customWidth="1"/>
    <col min="777" max="777" width="3.84375" style="1042" customWidth="1"/>
    <col min="778" max="1025" width="8.69140625" style="1042"/>
    <col min="1026" max="1026" width="43.07421875" style="1042" customWidth="1"/>
    <col min="1027" max="1027" width="15.07421875" style="1042" customWidth="1"/>
    <col min="1028" max="1028" width="9.84375" style="1042" customWidth="1"/>
    <col min="1029" max="1029" width="44.07421875" style="1042" customWidth="1"/>
    <col min="1030" max="1030" width="14.07421875" style="1042" customWidth="1"/>
    <col min="1031" max="1031" width="3" style="1042" customWidth="1"/>
    <col min="1032" max="1032" width="16.4609375" style="1042" customWidth="1"/>
    <col min="1033" max="1033" width="3.84375" style="1042" customWidth="1"/>
    <col min="1034" max="1281" width="8.69140625" style="1042"/>
    <col min="1282" max="1282" width="43.07421875" style="1042" customWidth="1"/>
    <col min="1283" max="1283" width="15.07421875" style="1042" customWidth="1"/>
    <col min="1284" max="1284" width="9.84375" style="1042" customWidth="1"/>
    <col min="1285" max="1285" width="44.07421875" style="1042" customWidth="1"/>
    <col min="1286" max="1286" width="14.07421875" style="1042" customWidth="1"/>
    <col min="1287" max="1287" width="3" style="1042" customWidth="1"/>
    <col min="1288" max="1288" width="16.4609375" style="1042" customWidth="1"/>
    <col min="1289" max="1289" width="3.84375" style="1042" customWidth="1"/>
    <col min="1290" max="1537" width="8.69140625" style="1042"/>
    <col min="1538" max="1538" width="43.07421875" style="1042" customWidth="1"/>
    <col min="1539" max="1539" width="15.07421875" style="1042" customWidth="1"/>
    <col min="1540" max="1540" width="9.84375" style="1042" customWidth="1"/>
    <col min="1541" max="1541" width="44.07421875" style="1042" customWidth="1"/>
    <col min="1542" max="1542" width="14.07421875" style="1042" customWidth="1"/>
    <col min="1543" max="1543" width="3" style="1042" customWidth="1"/>
    <col min="1544" max="1544" width="16.4609375" style="1042" customWidth="1"/>
    <col min="1545" max="1545" width="3.84375" style="1042" customWidth="1"/>
    <col min="1546" max="1793" width="8.69140625" style="1042"/>
    <col min="1794" max="1794" width="43.07421875" style="1042" customWidth="1"/>
    <col min="1795" max="1795" width="15.07421875" style="1042" customWidth="1"/>
    <col min="1796" max="1796" width="9.84375" style="1042" customWidth="1"/>
    <col min="1797" max="1797" width="44.07421875" style="1042" customWidth="1"/>
    <col min="1798" max="1798" width="14.07421875" style="1042" customWidth="1"/>
    <col min="1799" max="1799" width="3" style="1042" customWidth="1"/>
    <col min="1800" max="1800" width="16.4609375" style="1042" customWidth="1"/>
    <col min="1801" max="1801" width="3.84375" style="1042" customWidth="1"/>
    <col min="1802" max="2049" width="8.69140625" style="1042"/>
    <col min="2050" max="2050" width="43.07421875" style="1042" customWidth="1"/>
    <col min="2051" max="2051" width="15.07421875" style="1042" customWidth="1"/>
    <col min="2052" max="2052" width="9.84375" style="1042" customWidth="1"/>
    <col min="2053" max="2053" width="44.07421875" style="1042" customWidth="1"/>
    <col min="2054" max="2054" width="14.07421875" style="1042" customWidth="1"/>
    <col min="2055" max="2055" width="3" style="1042" customWidth="1"/>
    <col min="2056" max="2056" width="16.4609375" style="1042" customWidth="1"/>
    <col min="2057" max="2057" width="3.84375" style="1042" customWidth="1"/>
    <col min="2058" max="2305" width="8.69140625" style="1042"/>
    <col min="2306" max="2306" width="43.07421875" style="1042" customWidth="1"/>
    <col min="2307" max="2307" width="15.07421875" style="1042" customWidth="1"/>
    <col min="2308" max="2308" width="9.84375" style="1042" customWidth="1"/>
    <col min="2309" max="2309" width="44.07421875" style="1042" customWidth="1"/>
    <col min="2310" max="2310" width="14.07421875" style="1042" customWidth="1"/>
    <col min="2311" max="2311" width="3" style="1042" customWidth="1"/>
    <col min="2312" max="2312" width="16.4609375" style="1042" customWidth="1"/>
    <col min="2313" max="2313" width="3.84375" style="1042" customWidth="1"/>
    <col min="2314" max="2561" width="8.69140625" style="1042"/>
    <col min="2562" max="2562" width="43.07421875" style="1042" customWidth="1"/>
    <col min="2563" max="2563" width="15.07421875" style="1042" customWidth="1"/>
    <col min="2564" max="2564" width="9.84375" style="1042" customWidth="1"/>
    <col min="2565" max="2565" width="44.07421875" style="1042" customWidth="1"/>
    <col min="2566" max="2566" width="14.07421875" style="1042" customWidth="1"/>
    <col min="2567" max="2567" width="3" style="1042" customWidth="1"/>
    <col min="2568" max="2568" width="16.4609375" style="1042" customWidth="1"/>
    <col min="2569" max="2569" width="3.84375" style="1042" customWidth="1"/>
    <col min="2570" max="2817" width="8.69140625" style="1042"/>
    <col min="2818" max="2818" width="43.07421875" style="1042" customWidth="1"/>
    <col min="2819" max="2819" width="15.07421875" style="1042" customWidth="1"/>
    <col min="2820" max="2820" width="9.84375" style="1042" customWidth="1"/>
    <col min="2821" max="2821" width="44.07421875" style="1042" customWidth="1"/>
    <col min="2822" max="2822" width="14.07421875" style="1042" customWidth="1"/>
    <col min="2823" max="2823" width="3" style="1042" customWidth="1"/>
    <col min="2824" max="2824" width="16.4609375" style="1042" customWidth="1"/>
    <col min="2825" max="2825" width="3.84375" style="1042" customWidth="1"/>
    <col min="2826" max="3073" width="8.69140625" style="1042"/>
    <col min="3074" max="3074" width="43.07421875" style="1042" customWidth="1"/>
    <col min="3075" max="3075" width="15.07421875" style="1042" customWidth="1"/>
    <col min="3076" max="3076" width="9.84375" style="1042" customWidth="1"/>
    <col min="3077" max="3077" width="44.07421875" style="1042" customWidth="1"/>
    <col min="3078" max="3078" width="14.07421875" style="1042" customWidth="1"/>
    <col min="3079" max="3079" width="3" style="1042" customWidth="1"/>
    <col min="3080" max="3080" width="16.4609375" style="1042" customWidth="1"/>
    <col min="3081" max="3081" width="3.84375" style="1042" customWidth="1"/>
    <col min="3082" max="3329" width="8.69140625" style="1042"/>
    <col min="3330" max="3330" width="43.07421875" style="1042" customWidth="1"/>
    <col min="3331" max="3331" width="15.07421875" style="1042" customWidth="1"/>
    <col min="3332" max="3332" width="9.84375" style="1042" customWidth="1"/>
    <col min="3333" max="3333" width="44.07421875" style="1042" customWidth="1"/>
    <col min="3334" max="3334" width="14.07421875" style="1042" customWidth="1"/>
    <col min="3335" max="3335" width="3" style="1042" customWidth="1"/>
    <col min="3336" max="3336" width="16.4609375" style="1042" customWidth="1"/>
    <col min="3337" max="3337" width="3.84375" style="1042" customWidth="1"/>
    <col min="3338" max="3585" width="8.69140625" style="1042"/>
    <col min="3586" max="3586" width="43.07421875" style="1042" customWidth="1"/>
    <col min="3587" max="3587" width="15.07421875" style="1042" customWidth="1"/>
    <col min="3588" max="3588" width="9.84375" style="1042" customWidth="1"/>
    <col min="3589" max="3589" width="44.07421875" style="1042" customWidth="1"/>
    <col min="3590" max="3590" width="14.07421875" style="1042" customWidth="1"/>
    <col min="3591" max="3591" width="3" style="1042" customWidth="1"/>
    <col min="3592" max="3592" width="16.4609375" style="1042" customWidth="1"/>
    <col min="3593" max="3593" width="3.84375" style="1042" customWidth="1"/>
    <col min="3594" max="3841" width="8.69140625" style="1042"/>
    <col min="3842" max="3842" width="43.07421875" style="1042" customWidth="1"/>
    <col min="3843" max="3843" width="15.07421875" style="1042" customWidth="1"/>
    <col min="3844" max="3844" width="9.84375" style="1042" customWidth="1"/>
    <col min="3845" max="3845" width="44.07421875" style="1042" customWidth="1"/>
    <col min="3846" max="3846" width="14.07421875" style="1042" customWidth="1"/>
    <col min="3847" max="3847" width="3" style="1042" customWidth="1"/>
    <col min="3848" max="3848" width="16.4609375" style="1042" customWidth="1"/>
    <col min="3849" max="3849" width="3.84375" style="1042" customWidth="1"/>
    <col min="3850" max="4097" width="8.69140625" style="1042"/>
    <col min="4098" max="4098" width="43.07421875" style="1042" customWidth="1"/>
    <col min="4099" max="4099" width="15.07421875" style="1042" customWidth="1"/>
    <col min="4100" max="4100" width="9.84375" style="1042" customWidth="1"/>
    <col min="4101" max="4101" width="44.07421875" style="1042" customWidth="1"/>
    <col min="4102" max="4102" width="14.07421875" style="1042" customWidth="1"/>
    <col min="4103" max="4103" width="3" style="1042" customWidth="1"/>
    <col min="4104" max="4104" width="16.4609375" style="1042" customWidth="1"/>
    <col min="4105" max="4105" width="3.84375" style="1042" customWidth="1"/>
    <col min="4106" max="4353" width="8.69140625" style="1042"/>
    <col min="4354" max="4354" width="43.07421875" style="1042" customWidth="1"/>
    <col min="4355" max="4355" width="15.07421875" style="1042" customWidth="1"/>
    <col min="4356" max="4356" width="9.84375" style="1042" customWidth="1"/>
    <col min="4357" max="4357" width="44.07421875" style="1042" customWidth="1"/>
    <col min="4358" max="4358" width="14.07421875" style="1042" customWidth="1"/>
    <col min="4359" max="4359" width="3" style="1042" customWidth="1"/>
    <col min="4360" max="4360" width="16.4609375" style="1042" customWidth="1"/>
    <col min="4361" max="4361" width="3.84375" style="1042" customWidth="1"/>
    <col min="4362" max="4609" width="8.69140625" style="1042"/>
    <col min="4610" max="4610" width="43.07421875" style="1042" customWidth="1"/>
    <col min="4611" max="4611" width="15.07421875" style="1042" customWidth="1"/>
    <col min="4612" max="4612" width="9.84375" style="1042" customWidth="1"/>
    <col min="4613" max="4613" width="44.07421875" style="1042" customWidth="1"/>
    <col min="4614" max="4614" width="14.07421875" style="1042" customWidth="1"/>
    <col min="4615" max="4615" width="3" style="1042" customWidth="1"/>
    <col min="4616" max="4616" width="16.4609375" style="1042" customWidth="1"/>
    <col min="4617" max="4617" width="3.84375" style="1042" customWidth="1"/>
    <col min="4618" max="4865" width="8.69140625" style="1042"/>
    <col min="4866" max="4866" width="43.07421875" style="1042" customWidth="1"/>
    <col min="4867" max="4867" width="15.07421875" style="1042" customWidth="1"/>
    <col min="4868" max="4868" width="9.84375" style="1042" customWidth="1"/>
    <col min="4869" max="4869" width="44.07421875" style="1042" customWidth="1"/>
    <col min="4870" max="4870" width="14.07421875" style="1042" customWidth="1"/>
    <col min="4871" max="4871" width="3" style="1042" customWidth="1"/>
    <col min="4872" max="4872" width="16.4609375" style="1042" customWidth="1"/>
    <col min="4873" max="4873" width="3.84375" style="1042" customWidth="1"/>
    <col min="4874" max="5121" width="8.69140625" style="1042"/>
    <col min="5122" max="5122" width="43.07421875" style="1042" customWidth="1"/>
    <col min="5123" max="5123" width="15.07421875" style="1042" customWidth="1"/>
    <col min="5124" max="5124" width="9.84375" style="1042" customWidth="1"/>
    <col min="5125" max="5125" width="44.07421875" style="1042" customWidth="1"/>
    <col min="5126" max="5126" width="14.07421875" style="1042" customWidth="1"/>
    <col min="5127" max="5127" width="3" style="1042" customWidth="1"/>
    <col min="5128" max="5128" width="16.4609375" style="1042" customWidth="1"/>
    <col min="5129" max="5129" width="3.84375" style="1042" customWidth="1"/>
    <col min="5130" max="5377" width="8.69140625" style="1042"/>
    <col min="5378" max="5378" width="43.07421875" style="1042" customWidth="1"/>
    <col min="5379" max="5379" width="15.07421875" style="1042" customWidth="1"/>
    <col min="5380" max="5380" width="9.84375" style="1042" customWidth="1"/>
    <col min="5381" max="5381" width="44.07421875" style="1042" customWidth="1"/>
    <col min="5382" max="5382" width="14.07421875" style="1042" customWidth="1"/>
    <col min="5383" max="5383" width="3" style="1042" customWidth="1"/>
    <col min="5384" max="5384" width="16.4609375" style="1042" customWidth="1"/>
    <col min="5385" max="5385" width="3.84375" style="1042" customWidth="1"/>
    <col min="5386" max="5633" width="8.69140625" style="1042"/>
    <col min="5634" max="5634" width="43.07421875" style="1042" customWidth="1"/>
    <col min="5635" max="5635" width="15.07421875" style="1042" customWidth="1"/>
    <col min="5636" max="5636" width="9.84375" style="1042" customWidth="1"/>
    <col min="5637" max="5637" width="44.07421875" style="1042" customWidth="1"/>
    <col min="5638" max="5638" width="14.07421875" style="1042" customWidth="1"/>
    <col min="5639" max="5639" width="3" style="1042" customWidth="1"/>
    <col min="5640" max="5640" width="16.4609375" style="1042" customWidth="1"/>
    <col min="5641" max="5641" width="3.84375" style="1042" customWidth="1"/>
    <col min="5642" max="5889" width="8.69140625" style="1042"/>
    <col min="5890" max="5890" width="43.07421875" style="1042" customWidth="1"/>
    <col min="5891" max="5891" width="15.07421875" style="1042" customWidth="1"/>
    <col min="5892" max="5892" width="9.84375" style="1042" customWidth="1"/>
    <col min="5893" max="5893" width="44.07421875" style="1042" customWidth="1"/>
    <col min="5894" max="5894" width="14.07421875" style="1042" customWidth="1"/>
    <col min="5895" max="5895" width="3" style="1042" customWidth="1"/>
    <col min="5896" max="5896" width="16.4609375" style="1042" customWidth="1"/>
    <col min="5897" max="5897" width="3.84375" style="1042" customWidth="1"/>
    <col min="5898" max="6145" width="8.69140625" style="1042"/>
    <col min="6146" max="6146" width="43.07421875" style="1042" customWidth="1"/>
    <col min="6147" max="6147" width="15.07421875" style="1042" customWidth="1"/>
    <col min="6148" max="6148" width="9.84375" style="1042" customWidth="1"/>
    <col min="6149" max="6149" width="44.07421875" style="1042" customWidth="1"/>
    <col min="6150" max="6150" width="14.07421875" style="1042" customWidth="1"/>
    <col min="6151" max="6151" width="3" style="1042" customWidth="1"/>
    <col min="6152" max="6152" width="16.4609375" style="1042" customWidth="1"/>
    <col min="6153" max="6153" width="3.84375" style="1042" customWidth="1"/>
    <col min="6154" max="6401" width="8.69140625" style="1042"/>
    <col min="6402" max="6402" width="43.07421875" style="1042" customWidth="1"/>
    <col min="6403" max="6403" width="15.07421875" style="1042" customWidth="1"/>
    <col min="6404" max="6404" width="9.84375" style="1042" customWidth="1"/>
    <col min="6405" max="6405" width="44.07421875" style="1042" customWidth="1"/>
    <col min="6406" max="6406" width="14.07421875" style="1042" customWidth="1"/>
    <col min="6407" max="6407" width="3" style="1042" customWidth="1"/>
    <col min="6408" max="6408" width="16.4609375" style="1042" customWidth="1"/>
    <col min="6409" max="6409" width="3.84375" style="1042" customWidth="1"/>
    <col min="6410" max="6657" width="8.69140625" style="1042"/>
    <col min="6658" max="6658" width="43.07421875" style="1042" customWidth="1"/>
    <col min="6659" max="6659" width="15.07421875" style="1042" customWidth="1"/>
    <col min="6660" max="6660" width="9.84375" style="1042" customWidth="1"/>
    <col min="6661" max="6661" width="44.07421875" style="1042" customWidth="1"/>
    <col min="6662" max="6662" width="14.07421875" style="1042" customWidth="1"/>
    <col min="6663" max="6663" width="3" style="1042" customWidth="1"/>
    <col min="6664" max="6664" width="16.4609375" style="1042" customWidth="1"/>
    <col min="6665" max="6665" width="3.84375" style="1042" customWidth="1"/>
    <col min="6666" max="6913" width="8.69140625" style="1042"/>
    <col min="6914" max="6914" width="43.07421875" style="1042" customWidth="1"/>
    <col min="6915" max="6915" width="15.07421875" style="1042" customWidth="1"/>
    <col min="6916" max="6916" width="9.84375" style="1042" customWidth="1"/>
    <col min="6917" max="6917" width="44.07421875" style="1042" customWidth="1"/>
    <col min="6918" max="6918" width="14.07421875" style="1042" customWidth="1"/>
    <col min="6919" max="6919" width="3" style="1042" customWidth="1"/>
    <col min="6920" max="6920" width="16.4609375" style="1042" customWidth="1"/>
    <col min="6921" max="6921" width="3.84375" style="1042" customWidth="1"/>
    <col min="6922" max="7169" width="8.69140625" style="1042"/>
    <col min="7170" max="7170" width="43.07421875" style="1042" customWidth="1"/>
    <col min="7171" max="7171" width="15.07421875" style="1042" customWidth="1"/>
    <col min="7172" max="7172" width="9.84375" style="1042" customWidth="1"/>
    <col min="7173" max="7173" width="44.07421875" style="1042" customWidth="1"/>
    <col min="7174" max="7174" width="14.07421875" style="1042" customWidth="1"/>
    <col min="7175" max="7175" width="3" style="1042" customWidth="1"/>
    <col min="7176" max="7176" width="16.4609375" style="1042" customWidth="1"/>
    <col min="7177" max="7177" width="3.84375" style="1042" customWidth="1"/>
    <col min="7178" max="7425" width="8.69140625" style="1042"/>
    <col min="7426" max="7426" width="43.07421875" style="1042" customWidth="1"/>
    <col min="7427" max="7427" width="15.07421875" style="1042" customWidth="1"/>
    <col min="7428" max="7428" width="9.84375" style="1042" customWidth="1"/>
    <col min="7429" max="7429" width="44.07421875" style="1042" customWidth="1"/>
    <col min="7430" max="7430" width="14.07421875" style="1042" customWidth="1"/>
    <col min="7431" max="7431" width="3" style="1042" customWidth="1"/>
    <col min="7432" max="7432" width="16.4609375" style="1042" customWidth="1"/>
    <col min="7433" max="7433" width="3.84375" style="1042" customWidth="1"/>
    <col min="7434" max="7681" width="8.69140625" style="1042"/>
    <col min="7682" max="7682" width="43.07421875" style="1042" customWidth="1"/>
    <col min="7683" max="7683" width="15.07421875" style="1042" customWidth="1"/>
    <col min="7684" max="7684" width="9.84375" style="1042" customWidth="1"/>
    <col min="7685" max="7685" width="44.07421875" style="1042" customWidth="1"/>
    <col min="7686" max="7686" width="14.07421875" style="1042" customWidth="1"/>
    <col min="7687" max="7687" width="3" style="1042" customWidth="1"/>
    <col min="7688" max="7688" width="16.4609375" style="1042" customWidth="1"/>
    <col min="7689" max="7689" width="3.84375" style="1042" customWidth="1"/>
    <col min="7690" max="7937" width="8.69140625" style="1042"/>
    <col min="7938" max="7938" width="43.07421875" style="1042" customWidth="1"/>
    <col min="7939" max="7939" width="15.07421875" style="1042" customWidth="1"/>
    <col min="7940" max="7940" width="9.84375" style="1042" customWidth="1"/>
    <col min="7941" max="7941" width="44.07421875" style="1042" customWidth="1"/>
    <col min="7942" max="7942" width="14.07421875" style="1042" customWidth="1"/>
    <col min="7943" max="7943" width="3" style="1042" customWidth="1"/>
    <col min="7944" max="7944" width="16.4609375" style="1042" customWidth="1"/>
    <col min="7945" max="7945" width="3.84375" style="1042" customWidth="1"/>
    <col min="7946" max="8193" width="8.69140625" style="1042"/>
    <col min="8194" max="8194" width="43.07421875" style="1042" customWidth="1"/>
    <col min="8195" max="8195" width="15.07421875" style="1042" customWidth="1"/>
    <col min="8196" max="8196" width="9.84375" style="1042" customWidth="1"/>
    <col min="8197" max="8197" width="44.07421875" style="1042" customWidth="1"/>
    <col min="8198" max="8198" width="14.07421875" style="1042" customWidth="1"/>
    <col min="8199" max="8199" width="3" style="1042" customWidth="1"/>
    <col min="8200" max="8200" width="16.4609375" style="1042" customWidth="1"/>
    <col min="8201" max="8201" width="3.84375" style="1042" customWidth="1"/>
    <col min="8202" max="8449" width="8.69140625" style="1042"/>
    <col min="8450" max="8450" width="43.07421875" style="1042" customWidth="1"/>
    <col min="8451" max="8451" width="15.07421875" style="1042" customWidth="1"/>
    <col min="8452" max="8452" width="9.84375" style="1042" customWidth="1"/>
    <col min="8453" max="8453" width="44.07421875" style="1042" customWidth="1"/>
    <col min="8454" max="8454" width="14.07421875" style="1042" customWidth="1"/>
    <col min="8455" max="8455" width="3" style="1042" customWidth="1"/>
    <col min="8456" max="8456" width="16.4609375" style="1042" customWidth="1"/>
    <col min="8457" max="8457" width="3.84375" style="1042" customWidth="1"/>
    <col min="8458" max="8705" width="8.69140625" style="1042"/>
    <col min="8706" max="8706" width="43.07421875" style="1042" customWidth="1"/>
    <col min="8707" max="8707" width="15.07421875" style="1042" customWidth="1"/>
    <col min="8708" max="8708" width="9.84375" style="1042" customWidth="1"/>
    <col min="8709" max="8709" width="44.07421875" style="1042" customWidth="1"/>
    <col min="8710" max="8710" width="14.07421875" style="1042" customWidth="1"/>
    <col min="8711" max="8711" width="3" style="1042" customWidth="1"/>
    <col min="8712" max="8712" width="16.4609375" style="1042" customWidth="1"/>
    <col min="8713" max="8713" width="3.84375" style="1042" customWidth="1"/>
    <col min="8714" max="8961" width="8.69140625" style="1042"/>
    <col min="8962" max="8962" width="43.07421875" style="1042" customWidth="1"/>
    <col min="8963" max="8963" width="15.07421875" style="1042" customWidth="1"/>
    <col min="8964" max="8964" width="9.84375" style="1042" customWidth="1"/>
    <col min="8965" max="8965" width="44.07421875" style="1042" customWidth="1"/>
    <col min="8966" max="8966" width="14.07421875" style="1042" customWidth="1"/>
    <col min="8967" max="8967" width="3" style="1042" customWidth="1"/>
    <col min="8968" max="8968" width="16.4609375" style="1042" customWidth="1"/>
    <col min="8969" max="8969" width="3.84375" style="1042" customWidth="1"/>
    <col min="8970" max="9217" width="8.69140625" style="1042"/>
    <col min="9218" max="9218" width="43.07421875" style="1042" customWidth="1"/>
    <col min="9219" max="9219" width="15.07421875" style="1042" customWidth="1"/>
    <col min="9220" max="9220" width="9.84375" style="1042" customWidth="1"/>
    <col min="9221" max="9221" width="44.07421875" style="1042" customWidth="1"/>
    <col min="9222" max="9222" width="14.07421875" style="1042" customWidth="1"/>
    <col min="9223" max="9223" width="3" style="1042" customWidth="1"/>
    <col min="9224" max="9224" width="16.4609375" style="1042" customWidth="1"/>
    <col min="9225" max="9225" width="3.84375" style="1042" customWidth="1"/>
    <col min="9226" max="9473" width="8.69140625" style="1042"/>
    <col min="9474" max="9474" width="43.07421875" style="1042" customWidth="1"/>
    <col min="9475" max="9475" width="15.07421875" style="1042" customWidth="1"/>
    <col min="9476" max="9476" width="9.84375" style="1042" customWidth="1"/>
    <col min="9477" max="9477" width="44.07421875" style="1042" customWidth="1"/>
    <col min="9478" max="9478" width="14.07421875" style="1042" customWidth="1"/>
    <col min="9479" max="9479" width="3" style="1042" customWidth="1"/>
    <col min="9480" max="9480" width="16.4609375" style="1042" customWidth="1"/>
    <col min="9481" max="9481" width="3.84375" style="1042" customWidth="1"/>
    <col min="9482" max="9729" width="8.69140625" style="1042"/>
    <col min="9730" max="9730" width="43.07421875" style="1042" customWidth="1"/>
    <col min="9731" max="9731" width="15.07421875" style="1042" customWidth="1"/>
    <col min="9732" max="9732" width="9.84375" style="1042" customWidth="1"/>
    <col min="9733" max="9733" width="44.07421875" style="1042" customWidth="1"/>
    <col min="9734" max="9734" width="14.07421875" style="1042" customWidth="1"/>
    <col min="9735" max="9735" width="3" style="1042" customWidth="1"/>
    <col min="9736" max="9736" width="16.4609375" style="1042" customWidth="1"/>
    <col min="9737" max="9737" width="3.84375" style="1042" customWidth="1"/>
    <col min="9738" max="9985" width="8.69140625" style="1042"/>
    <col min="9986" max="9986" width="43.07421875" style="1042" customWidth="1"/>
    <col min="9987" max="9987" width="15.07421875" style="1042" customWidth="1"/>
    <col min="9988" max="9988" width="9.84375" style="1042" customWidth="1"/>
    <col min="9989" max="9989" width="44.07421875" style="1042" customWidth="1"/>
    <col min="9990" max="9990" width="14.07421875" style="1042" customWidth="1"/>
    <col min="9991" max="9991" width="3" style="1042" customWidth="1"/>
    <col min="9992" max="9992" width="16.4609375" style="1042" customWidth="1"/>
    <col min="9993" max="9993" width="3.84375" style="1042" customWidth="1"/>
    <col min="9994" max="10241" width="8.69140625" style="1042"/>
    <col min="10242" max="10242" width="43.07421875" style="1042" customWidth="1"/>
    <col min="10243" max="10243" width="15.07421875" style="1042" customWidth="1"/>
    <col min="10244" max="10244" width="9.84375" style="1042" customWidth="1"/>
    <col min="10245" max="10245" width="44.07421875" style="1042" customWidth="1"/>
    <col min="10246" max="10246" width="14.07421875" style="1042" customWidth="1"/>
    <col min="10247" max="10247" width="3" style="1042" customWidth="1"/>
    <col min="10248" max="10248" width="16.4609375" style="1042" customWidth="1"/>
    <col min="10249" max="10249" width="3.84375" style="1042" customWidth="1"/>
    <col min="10250" max="10497" width="8.69140625" style="1042"/>
    <col min="10498" max="10498" width="43.07421875" style="1042" customWidth="1"/>
    <col min="10499" max="10499" width="15.07421875" style="1042" customWidth="1"/>
    <col min="10500" max="10500" width="9.84375" style="1042" customWidth="1"/>
    <col min="10501" max="10501" width="44.07421875" style="1042" customWidth="1"/>
    <col min="10502" max="10502" width="14.07421875" style="1042" customWidth="1"/>
    <col min="10503" max="10503" width="3" style="1042" customWidth="1"/>
    <col min="10504" max="10504" width="16.4609375" style="1042" customWidth="1"/>
    <col min="10505" max="10505" width="3.84375" style="1042" customWidth="1"/>
    <col min="10506" max="10753" width="8.69140625" style="1042"/>
    <col min="10754" max="10754" width="43.07421875" style="1042" customWidth="1"/>
    <col min="10755" max="10755" width="15.07421875" style="1042" customWidth="1"/>
    <col min="10756" max="10756" width="9.84375" style="1042" customWidth="1"/>
    <col min="10757" max="10757" width="44.07421875" style="1042" customWidth="1"/>
    <col min="10758" max="10758" width="14.07421875" style="1042" customWidth="1"/>
    <col min="10759" max="10759" width="3" style="1042" customWidth="1"/>
    <col min="10760" max="10760" width="16.4609375" style="1042" customWidth="1"/>
    <col min="10761" max="10761" width="3.84375" style="1042" customWidth="1"/>
    <col min="10762" max="11009" width="8.69140625" style="1042"/>
    <col min="11010" max="11010" width="43.07421875" style="1042" customWidth="1"/>
    <col min="11011" max="11011" width="15.07421875" style="1042" customWidth="1"/>
    <col min="11012" max="11012" width="9.84375" style="1042" customWidth="1"/>
    <col min="11013" max="11013" width="44.07421875" style="1042" customWidth="1"/>
    <col min="11014" max="11014" width="14.07421875" style="1042" customWidth="1"/>
    <col min="11015" max="11015" width="3" style="1042" customWidth="1"/>
    <col min="11016" max="11016" width="16.4609375" style="1042" customWidth="1"/>
    <col min="11017" max="11017" width="3.84375" style="1042" customWidth="1"/>
    <col min="11018" max="11265" width="8.69140625" style="1042"/>
    <col min="11266" max="11266" width="43.07421875" style="1042" customWidth="1"/>
    <col min="11267" max="11267" width="15.07421875" style="1042" customWidth="1"/>
    <col min="11268" max="11268" width="9.84375" style="1042" customWidth="1"/>
    <col min="11269" max="11269" width="44.07421875" style="1042" customWidth="1"/>
    <col min="11270" max="11270" width="14.07421875" style="1042" customWidth="1"/>
    <col min="11271" max="11271" width="3" style="1042" customWidth="1"/>
    <col min="11272" max="11272" width="16.4609375" style="1042" customWidth="1"/>
    <col min="11273" max="11273" width="3.84375" style="1042" customWidth="1"/>
    <col min="11274" max="11521" width="8.69140625" style="1042"/>
    <col min="11522" max="11522" width="43.07421875" style="1042" customWidth="1"/>
    <col min="11523" max="11523" width="15.07421875" style="1042" customWidth="1"/>
    <col min="11524" max="11524" width="9.84375" style="1042" customWidth="1"/>
    <col min="11525" max="11525" width="44.07421875" style="1042" customWidth="1"/>
    <col min="11526" max="11526" width="14.07421875" style="1042" customWidth="1"/>
    <col min="11527" max="11527" width="3" style="1042" customWidth="1"/>
    <col min="11528" max="11528" width="16.4609375" style="1042" customWidth="1"/>
    <col min="11529" max="11529" width="3.84375" style="1042" customWidth="1"/>
    <col min="11530" max="11777" width="8.69140625" style="1042"/>
    <col min="11778" max="11778" width="43.07421875" style="1042" customWidth="1"/>
    <col min="11779" max="11779" width="15.07421875" style="1042" customWidth="1"/>
    <col min="11780" max="11780" width="9.84375" style="1042" customWidth="1"/>
    <col min="11781" max="11781" width="44.07421875" style="1042" customWidth="1"/>
    <col min="11782" max="11782" width="14.07421875" style="1042" customWidth="1"/>
    <col min="11783" max="11783" width="3" style="1042" customWidth="1"/>
    <col min="11784" max="11784" width="16.4609375" style="1042" customWidth="1"/>
    <col min="11785" max="11785" width="3.84375" style="1042" customWidth="1"/>
    <col min="11786" max="12033" width="8.69140625" style="1042"/>
    <col min="12034" max="12034" width="43.07421875" style="1042" customWidth="1"/>
    <col min="12035" max="12035" width="15.07421875" style="1042" customWidth="1"/>
    <col min="12036" max="12036" width="9.84375" style="1042" customWidth="1"/>
    <col min="12037" max="12037" width="44.07421875" style="1042" customWidth="1"/>
    <col min="12038" max="12038" width="14.07421875" style="1042" customWidth="1"/>
    <col min="12039" max="12039" width="3" style="1042" customWidth="1"/>
    <col min="12040" max="12040" width="16.4609375" style="1042" customWidth="1"/>
    <col min="12041" max="12041" width="3.84375" style="1042" customWidth="1"/>
    <col min="12042" max="12289" width="8.69140625" style="1042"/>
    <col min="12290" max="12290" width="43.07421875" style="1042" customWidth="1"/>
    <col min="12291" max="12291" width="15.07421875" style="1042" customWidth="1"/>
    <col min="12292" max="12292" width="9.84375" style="1042" customWidth="1"/>
    <col min="12293" max="12293" width="44.07421875" style="1042" customWidth="1"/>
    <col min="12294" max="12294" width="14.07421875" style="1042" customWidth="1"/>
    <col min="12295" max="12295" width="3" style="1042" customWidth="1"/>
    <col min="12296" max="12296" width="16.4609375" style="1042" customWidth="1"/>
    <col min="12297" max="12297" width="3.84375" style="1042" customWidth="1"/>
    <col min="12298" max="12545" width="8.69140625" style="1042"/>
    <col min="12546" max="12546" width="43.07421875" style="1042" customWidth="1"/>
    <col min="12547" max="12547" width="15.07421875" style="1042" customWidth="1"/>
    <col min="12548" max="12548" width="9.84375" style="1042" customWidth="1"/>
    <col min="12549" max="12549" width="44.07421875" style="1042" customWidth="1"/>
    <col min="12550" max="12550" width="14.07421875" style="1042" customWidth="1"/>
    <col min="12551" max="12551" width="3" style="1042" customWidth="1"/>
    <col min="12552" max="12552" width="16.4609375" style="1042" customWidth="1"/>
    <col min="12553" max="12553" width="3.84375" style="1042" customWidth="1"/>
    <col min="12554" max="12801" width="8.69140625" style="1042"/>
    <col min="12802" max="12802" width="43.07421875" style="1042" customWidth="1"/>
    <col min="12803" max="12803" width="15.07421875" style="1042" customWidth="1"/>
    <col min="12804" max="12804" width="9.84375" style="1042" customWidth="1"/>
    <col min="12805" max="12805" width="44.07421875" style="1042" customWidth="1"/>
    <col min="12806" max="12806" width="14.07421875" style="1042" customWidth="1"/>
    <col min="12807" max="12807" width="3" style="1042" customWidth="1"/>
    <col min="12808" max="12808" width="16.4609375" style="1042" customWidth="1"/>
    <col min="12809" max="12809" width="3.84375" style="1042" customWidth="1"/>
    <col min="12810" max="13057" width="8.69140625" style="1042"/>
    <col min="13058" max="13058" width="43.07421875" style="1042" customWidth="1"/>
    <col min="13059" max="13059" width="15.07421875" style="1042" customWidth="1"/>
    <col min="13060" max="13060" width="9.84375" style="1042" customWidth="1"/>
    <col min="13061" max="13061" width="44.07421875" style="1042" customWidth="1"/>
    <col min="13062" max="13062" width="14.07421875" style="1042" customWidth="1"/>
    <col min="13063" max="13063" width="3" style="1042" customWidth="1"/>
    <col min="13064" max="13064" width="16.4609375" style="1042" customWidth="1"/>
    <col min="13065" max="13065" width="3.84375" style="1042" customWidth="1"/>
    <col min="13066" max="13313" width="8.69140625" style="1042"/>
    <col min="13314" max="13314" width="43.07421875" style="1042" customWidth="1"/>
    <col min="13315" max="13315" width="15.07421875" style="1042" customWidth="1"/>
    <col min="13316" max="13316" width="9.84375" style="1042" customWidth="1"/>
    <col min="13317" max="13317" width="44.07421875" style="1042" customWidth="1"/>
    <col min="13318" max="13318" width="14.07421875" style="1042" customWidth="1"/>
    <col min="13319" max="13319" width="3" style="1042" customWidth="1"/>
    <col min="13320" max="13320" width="16.4609375" style="1042" customWidth="1"/>
    <col min="13321" max="13321" width="3.84375" style="1042" customWidth="1"/>
    <col min="13322" max="13569" width="8.69140625" style="1042"/>
    <col min="13570" max="13570" width="43.07421875" style="1042" customWidth="1"/>
    <col min="13571" max="13571" width="15.07421875" style="1042" customWidth="1"/>
    <col min="13572" max="13572" width="9.84375" style="1042" customWidth="1"/>
    <col min="13573" max="13573" width="44.07421875" style="1042" customWidth="1"/>
    <col min="13574" max="13574" width="14.07421875" style="1042" customWidth="1"/>
    <col min="13575" max="13575" width="3" style="1042" customWidth="1"/>
    <col min="13576" max="13576" width="16.4609375" style="1042" customWidth="1"/>
    <col min="13577" max="13577" width="3.84375" style="1042" customWidth="1"/>
    <col min="13578" max="13825" width="8.69140625" style="1042"/>
    <col min="13826" max="13826" width="43.07421875" style="1042" customWidth="1"/>
    <col min="13827" max="13827" width="15.07421875" style="1042" customWidth="1"/>
    <col min="13828" max="13828" width="9.84375" style="1042" customWidth="1"/>
    <col min="13829" max="13829" width="44.07421875" style="1042" customWidth="1"/>
    <col min="13830" max="13830" width="14.07421875" style="1042" customWidth="1"/>
    <col min="13831" max="13831" width="3" style="1042" customWidth="1"/>
    <col min="13832" max="13832" width="16.4609375" style="1042" customWidth="1"/>
    <col min="13833" max="13833" width="3.84375" style="1042" customWidth="1"/>
    <col min="13834" max="14081" width="8.69140625" style="1042"/>
    <col min="14082" max="14082" width="43.07421875" style="1042" customWidth="1"/>
    <col min="14083" max="14083" width="15.07421875" style="1042" customWidth="1"/>
    <col min="14084" max="14084" width="9.84375" style="1042" customWidth="1"/>
    <col min="14085" max="14085" width="44.07421875" style="1042" customWidth="1"/>
    <col min="14086" max="14086" width="14.07421875" style="1042" customWidth="1"/>
    <col min="14087" max="14087" width="3" style="1042" customWidth="1"/>
    <col min="14088" max="14088" width="16.4609375" style="1042" customWidth="1"/>
    <col min="14089" max="14089" width="3.84375" style="1042" customWidth="1"/>
    <col min="14090" max="14337" width="8.69140625" style="1042"/>
    <col min="14338" max="14338" width="43.07421875" style="1042" customWidth="1"/>
    <col min="14339" max="14339" width="15.07421875" style="1042" customWidth="1"/>
    <col min="14340" max="14340" width="9.84375" style="1042" customWidth="1"/>
    <col min="14341" max="14341" width="44.07421875" style="1042" customWidth="1"/>
    <col min="14342" max="14342" width="14.07421875" style="1042" customWidth="1"/>
    <col min="14343" max="14343" width="3" style="1042" customWidth="1"/>
    <col min="14344" max="14344" width="16.4609375" style="1042" customWidth="1"/>
    <col min="14345" max="14345" width="3.84375" style="1042" customWidth="1"/>
    <col min="14346" max="14593" width="8.69140625" style="1042"/>
    <col min="14594" max="14594" width="43.07421875" style="1042" customWidth="1"/>
    <col min="14595" max="14595" width="15.07421875" style="1042" customWidth="1"/>
    <col min="14596" max="14596" width="9.84375" style="1042" customWidth="1"/>
    <col min="14597" max="14597" width="44.07421875" style="1042" customWidth="1"/>
    <col min="14598" max="14598" width="14.07421875" style="1042" customWidth="1"/>
    <col min="14599" max="14599" width="3" style="1042" customWidth="1"/>
    <col min="14600" max="14600" width="16.4609375" style="1042" customWidth="1"/>
    <col min="14601" max="14601" width="3.84375" style="1042" customWidth="1"/>
    <col min="14602" max="14849" width="8.69140625" style="1042"/>
    <col min="14850" max="14850" width="43.07421875" style="1042" customWidth="1"/>
    <col min="14851" max="14851" width="15.07421875" style="1042" customWidth="1"/>
    <col min="14852" max="14852" width="9.84375" style="1042" customWidth="1"/>
    <col min="14853" max="14853" width="44.07421875" style="1042" customWidth="1"/>
    <col min="14854" max="14854" width="14.07421875" style="1042" customWidth="1"/>
    <col min="14855" max="14855" width="3" style="1042" customWidth="1"/>
    <col min="14856" max="14856" width="16.4609375" style="1042" customWidth="1"/>
    <col min="14857" max="14857" width="3.84375" style="1042" customWidth="1"/>
    <col min="14858" max="15105" width="8.69140625" style="1042"/>
    <col min="15106" max="15106" width="43.07421875" style="1042" customWidth="1"/>
    <col min="15107" max="15107" width="15.07421875" style="1042" customWidth="1"/>
    <col min="15108" max="15108" width="9.84375" style="1042" customWidth="1"/>
    <col min="15109" max="15109" width="44.07421875" style="1042" customWidth="1"/>
    <col min="15110" max="15110" width="14.07421875" style="1042" customWidth="1"/>
    <col min="15111" max="15111" width="3" style="1042" customWidth="1"/>
    <col min="15112" max="15112" width="16.4609375" style="1042" customWidth="1"/>
    <col min="15113" max="15113" width="3.84375" style="1042" customWidth="1"/>
    <col min="15114" max="15361" width="8.69140625" style="1042"/>
    <col min="15362" max="15362" width="43.07421875" style="1042" customWidth="1"/>
    <col min="15363" max="15363" width="15.07421875" style="1042" customWidth="1"/>
    <col min="15364" max="15364" width="9.84375" style="1042" customWidth="1"/>
    <col min="15365" max="15365" width="44.07421875" style="1042" customWidth="1"/>
    <col min="15366" max="15366" width="14.07421875" style="1042" customWidth="1"/>
    <col min="15367" max="15367" width="3" style="1042" customWidth="1"/>
    <col min="15368" max="15368" width="16.4609375" style="1042" customWidth="1"/>
    <col min="15369" max="15369" width="3.84375" style="1042" customWidth="1"/>
    <col min="15370" max="15617" width="8.69140625" style="1042"/>
    <col min="15618" max="15618" width="43.07421875" style="1042" customWidth="1"/>
    <col min="15619" max="15619" width="15.07421875" style="1042" customWidth="1"/>
    <col min="15620" max="15620" width="9.84375" style="1042" customWidth="1"/>
    <col min="15621" max="15621" width="44.07421875" style="1042" customWidth="1"/>
    <col min="15622" max="15622" width="14.07421875" style="1042" customWidth="1"/>
    <col min="15623" max="15623" width="3" style="1042" customWidth="1"/>
    <col min="15624" max="15624" width="16.4609375" style="1042" customWidth="1"/>
    <col min="15625" max="15625" width="3.84375" style="1042" customWidth="1"/>
    <col min="15626" max="15873" width="8.69140625" style="1042"/>
    <col min="15874" max="15874" width="43.07421875" style="1042" customWidth="1"/>
    <col min="15875" max="15875" width="15.07421875" style="1042" customWidth="1"/>
    <col min="15876" max="15876" width="9.84375" style="1042" customWidth="1"/>
    <col min="15877" max="15877" width="44.07421875" style="1042" customWidth="1"/>
    <col min="15878" max="15878" width="14.07421875" style="1042" customWidth="1"/>
    <col min="15879" max="15879" width="3" style="1042" customWidth="1"/>
    <col min="15880" max="15880" width="16.4609375" style="1042" customWidth="1"/>
    <col min="15881" max="15881" width="3.84375" style="1042" customWidth="1"/>
    <col min="15882" max="16129" width="8.69140625" style="1042"/>
    <col min="16130" max="16130" width="43.07421875" style="1042" customWidth="1"/>
    <col min="16131" max="16131" width="15.07421875" style="1042" customWidth="1"/>
    <col min="16132" max="16132" width="9.84375" style="1042" customWidth="1"/>
    <col min="16133" max="16133" width="44.07421875" style="1042" customWidth="1"/>
    <col min="16134" max="16134" width="14.07421875" style="1042" customWidth="1"/>
    <col min="16135" max="16135" width="3" style="1042" customWidth="1"/>
    <col min="16136" max="16136" width="16.4609375" style="1042" customWidth="1"/>
    <col min="16137" max="16137" width="3.84375" style="1042" customWidth="1"/>
    <col min="16138" max="16384" width="8.69140625" style="1042"/>
  </cols>
  <sheetData>
    <row r="1" spans="1:8" ht="20">
      <c r="A1" s="1242" t="s">
        <v>954</v>
      </c>
      <c r="B1" s="1242"/>
      <c r="C1" s="1242"/>
      <c r="D1" s="1242"/>
      <c r="E1" s="1242"/>
      <c r="F1" s="1242"/>
      <c r="G1" s="1242"/>
      <c r="H1" s="1242"/>
    </row>
    <row r="2" spans="1:8" ht="20">
      <c r="A2" s="1242" t="str">
        <f>'Attachment H-26'!D5</f>
        <v>Transource West Virginia, LLC</v>
      </c>
      <c r="B2" s="1242"/>
      <c r="C2" s="1242"/>
      <c r="D2" s="1242"/>
      <c r="E2" s="1242"/>
      <c r="F2" s="1242"/>
      <c r="G2" s="1242"/>
      <c r="H2" s="1242"/>
    </row>
    <row r="3" spans="1:8" ht="20">
      <c r="A3" s="1242" t="s">
        <v>1067</v>
      </c>
      <c r="B3" s="1242"/>
      <c r="C3" s="1242"/>
      <c r="D3" s="1242"/>
      <c r="E3" s="1242"/>
      <c r="F3" s="1242"/>
      <c r="G3" s="1242"/>
      <c r="H3" s="1242"/>
    </row>
    <row r="4" spans="1:8" ht="20">
      <c r="A4" s="1040"/>
      <c r="B4" s="1040"/>
      <c r="C4" s="1040"/>
      <c r="D4" s="1040"/>
      <c r="E4" s="1040"/>
      <c r="F4" s="1040"/>
      <c r="G4" s="1040"/>
      <c r="H4" s="1043" t="s">
        <v>678</v>
      </c>
    </row>
    <row r="5" spans="1:8" s="1048" customFormat="1" ht="18">
      <c r="A5" s="1044"/>
      <c r="B5" s="1045"/>
      <c r="C5" s="1046"/>
      <c r="D5" s="1046"/>
      <c r="E5" s="1047"/>
      <c r="F5" s="1046"/>
      <c r="G5" s="1046"/>
      <c r="H5" s="1046"/>
    </row>
    <row r="6" spans="1:8" ht="13">
      <c r="A6" s="1049" t="s">
        <v>8</v>
      </c>
      <c r="B6" s="1243" t="s">
        <v>960</v>
      </c>
      <c r="C6" s="1243"/>
      <c r="D6" s="1050"/>
      <c r="E6" s="1243" t="s">
        <v>961</v>
      </c>
      <c r="F6" s="1243"/>
      <c r="G6" s="1050"/>
      <c r="H6" s="1049" t="s">
        <v>892</v>
      </c>
    </row>
    <row r="7" spans="1:8" ht="13">
      <c r="A7" s="1049" t="s">
        <v>10</v>
      </c>
      <c r="B7" s="1244">
        <v>2023</v>
      </c>
      <c r="C7" s="1245"/>
      <c r="D7" s="1051" t="s">
        <v>893</v>
      </c>
      <c r="E7" s="1246">
        <v>2024</v>
      </c>
      <c r="F7" s="1247"/>
      <c r="G7" s="1050"/>
      <c r="H7" s="1052" t="s">
        <v>962</v>
      </c>
    </row>
    <row r="8" spans="1:8" ht="13">
      <c r="A8" s="1049">
        <v>1</v>
      </c>
      <c r="B8" s="1053" t="s">
        <v>964</v>
      </c>
      <c r="C8" s="1054" t="s">
        <v>196</v>
      </c>
      <c r="D8" s="1050"/>
      <c r="E8" s="1050"/>
      <c r="F8" s="1054" t="s">
        <v>197</v>
      </c>
      <c r="G8" s="1050"/>
    </row>
    <row r="9" spans="1:8" ht="13">
      <c r="A9" s="1049"/>
      <c r="B9" s="1053"/>
      <c r="C9" s="1054"/>
      <c r="D9" s="1050"/>
      <c r="E9" s="1050"/>
      <c r="F9" s="1054"/>
      <c r="G9" s="1050"/>
    </row>
    <row r="10" spans="1:8">
      <c r="A10" s="1049">
        <f>A8+1</f>
        <v>2</v>
      </c>
      <c r="B10" s="1055"/>
      <c r="C10" s="950"/>
      <c r="D10" s="1050"/>
      <c r="E10" s="1055"/>
      <c r="F10" s="950"/>
      <c r="G10" s="1056"/>
      <c r="H10" s="1056"/>
    </row>
    <row r="11" spans="1:8">
      <c r="A11" s="1049">
        <f>A10+1</f>
        <v>3</v>
      </c>
      <c r="B11" s="1055"/>
      <c r="C11" s="950"/>
      <c r="D11" s="1057"/>
      <c r="E11" s="1055"/>
      <c r="F11" s="950"/>
      <c r="G11" s="1056"/>
      <c r="H11" s="1056"/>
    </row>
    <row r="12" spans="1:8" ht="13" thickBot="1">
      <c r="A12" s="1049">
        <f>A11+1</f>
        <v>4</v>
      </c>
      <c r="B12" s="1058" t="s">
        <v>965</v>
      </c>
      <c r="C12" s="1059">
        <f>SUM(C10:C11)</f>
        <v>0</v>
      </c>
      <c r="D12" s="1173"/>
      <c r="E12" s="1058" t="s">
        <v>966</v>
      </c>
      <c r="F12" s="1059">
        <f>SUM(F10:F11)</f>
        <v>0</v>
      </c>
      <c r="G12" s="1057"/>
      <c r="H12" s="1059">
        <f>AVERAGE(C12,F12)</f>
        <v>0</v>
      </c>
    </row>
    <row r="13" spans="1:8" ht="14.5" customHeight="1" thickTop="1">
      <c r="A13" s="1049"/>
      <c r="B13" s="1050"/>
      <c r="C13" s="1050"/>
      <c r="D13" s="1050"/>
      <c r="E13" s="1050"/>
      <c r="F13" s="1060" t="s">
        <v>2</v>
      </c>
      <c r="G13" s="1057"/>
      <c r="H13" s="1050"/>
    </row>
    <row r="14" spans="1:8" ht="14.5" customHeight="1">
      <c r="A14" s="1049">
        <f>A12+1</f>
        <v>5</v>
      </c>
      <c r="B14" s="1053" t="s">
        <v>894</v>
      </c>
      <c r="C14" s="1050"/>
      <c r="D14" s="1050"/>
      <c r="E14" s="1050"/>
      <c r="F14" s="1060"/>
      <c r="G14" s="1057"/>
      <c r="H14" s="1050"/>
    </row>
    <row r="15" spans="1:8">
      <c r="A15" s="1049">
        <f>A14+1</f>
        <v>6</v>
      </c>
      <c r="B15" s="1055" t="s">
        <v>1020</v>
      </c>
      <c r="C15" s="950">
        <v>4500935.4400000004</v>
      </c>
      <c r="D15" s="1050"/>
      <c r="E15" s="1055" t="s">
        <v>1020</v>
      </c>
      <c r="F15" s="950">
        <v>0</v>
      </c>
      <c r="G15" s="1174"/>
      <c r="H15" s="1056">
        <f>AVERAGE(C15,F15)</f>
        <v>2250467.7200000002</v>
      </c>
    </row>
    <row r="16" spans="1:8">
      <c r="A16" s="1049">
        <f>A15+1</f>
        <v>7</v>
      </c>
      <c r="B16" s="1055" t="s">
        <v>1021</v>
      </c>
      <c r="C16" s="950">
        <v>1071759.78</v>
      </c>
      <c r="D16" s="1057"/>
      <c r="E16" s="1055" t="s">
        <v>1021</v>
      </c>
      <c r="F16" s="950">
        <v>0</v>
      </c>
      <c r="G16" s="1174"/>
      <c r="H16" s="1056">
        <f t="shared" ref="H16:H28" si="0">AVERAGE(C16,F16)</f>
        <v>535879.89</v>
      </c>
    </row>
    <row r="17" spans="1:8">
      <c r="A17" s="1049">
        <f>A16+1</f>
        <v>8</v>
      </c>
      <c r="B17" s="1055" t="s">
        <v>1022</v>
      </c>
      <c r="C17" s="950">
        <v>-116.76</v>
      </c>
      <c r="D17" s="1057"/>
      <c r="E17" s="1055" t="s">
        <v>1022</v>
      </c>
      <c r="F17" s="950">
        <v>0</v>
      </c>
      <c r="G17" s="1174"/>
      <c r="H17" s="1056">
        <f t="shared" si="0"/>
        <v>-58.38</v>
      </c>
    </row>
    <row r="18" spans="1:8">
      <c r="A18" s="1049">
        <f>A17+1</f>
        <v>9</v>
      </c>
      <c r="B18" s="1055" t="s">
        <v>1023</v>
      </c>
      <c r="C18" s="950">
        <v>13564.11</v>
      </c>
      <c r="D18" s="1057"/>
      <c r="E18" s="1055" t="s">
        <v>1023</v>
      </c>
      <c r="F18" s="950">
        <v>0</v>
      </c>
      <c r="G18" s="1174"/>
      <c r="H18" s="1056">
        <f t="shared" si="0"/>
        <v>6782.0550000000003</v>
      </c>
    </row>
    <row r="19" spans="1:8">
      <c r="A19" s="1049">
        <f t="shared" ref="A19:A31" si="1">A18+1</f>
        <v>10</v>
      </c>
      <c r="B19" s="1055" t="s">
        <v>1024</v>
      </c>
      <c r="C19" s="950">
        <v>-49170.66</v>
      </c>
      <c r="D19" s="1057"/>
      <c r="E19" s="1055" t="s">
        <v>1024</v>
      </c>
      <c r="F19" s="950">
        <v>0</v>
      </c>
      <c r="G19" s="1174"/>
      <c r="H19" s="1056">
        <f t="shared" si="0"/>
        <v>-24585.33</v>
      </c>
    </row>
    <row r="20" spans="1:8">
      <c r="A20" s="1049">
        <f t="shared" si="1"/>
        <v>11</v>
      </c>
      <c r="B20" s="1055" t="s">
        <v>1025</v>
      </c>
      <c r="C20" s="950">
        <v>0</v>
      </c>
      <c r="D20" s="1057"/>
      <c r="E20" s="1055" t="s">
        <v>1025</v>
      </c>
      <c r="F20" s="950">
        <v>0</v>
      </c>
      <c r="G20" s="1174"/>
      <c r="H20" s="1056">
        <f t="shared" si="0"/>
        <v>0</v>
      </c>
    </row>
    <row r="21" spans="1:8">
      <c r="A21" s="1049">
        <f t="shared" si="1"/>
        <v>12</v>
      </c>
      <c r="B21" s="1055" t="s">
        <v>1026</v>
      </c>
      <c r="C21" s="950">
        <v>0</v>
      </c>
      <c r="D21" s="1057"/>
      <c r="E21" s="1055" t="s">
        <v>1026</v>
      </c>
      <c r="F21" s="950">
        <v>0</v>
      </c>
      <c r="G21" s="1174"/>
      <c r="H21" s="1056">
        <f t="shared" si="0"/>
        <v>0</v>
      </c>
    </row>
    <row r="22" spans="1:8">
      <c r="A22" s="1049">
        <f t="shared" si="1"/>
        <v>13</v>
      </c>
      <c r="B22" s="1055" t="s">
        <v>1027</v>
      </c>
      <c r="C22" s="950">
        <v>0</v>
      </c>
      <c r="D22" s="1057"/>
      <c r="E22" s="1055" t="s">
        <v>1027</v>
      </c>
      <c r="F22" s="950">
        <v>0</v>
      </c>
      <c r="G22" s="1174"/>
      <c r="H22" s="1056">
        <f t="shared" si="0"/>
        <v>0</v>
      </c>
    </row>
    <row r="23" spans="1:8">
      <c r="A23" s="1049">
        <f t="shared" si="1"/>
        <v>14</v>
      </c>
      <c r="B23" s="1055" t="s">
        <v>1028</v>
      </c>
      <c r="C23" s="950">
        <v>0</v>
      </c>
      <c r="D23" s="1057"/>
      <c r="E23" s="1055" t="s">
        <v>1028</v>
      </c>
      <c r="F23" s="950">
        <v>0</v>
      </c>
      <c r="G23" s="1174"/>
      <c r="H23" s="1056">
        <f t="shared" si="0"/>
        <v>0</v>
      </c>
    </row>
    <row r="24" spans="1:8">
      <c r="A24" s="1049">
        <f t="shared" si="1"/>
        <v>15</v>
      </c>
      <c r="B24" s="1055" t="s">
        <v>1029</v>
      </c>
      <c r="C24" s="950">
        <v>0</v>
      </c>
      <c r="D24" s="1057"/>
      <c r="E24" s="1055" t="s">
        <v>1029</v>
      </c>
      <c r="F24" s="950">
        <v>3019.38</v>
      </c>
      <c r="G24" s="1174"/>
      <c r="H24" s="1056">
        <f t="shared" si="0"/>
        <v>1509.69</v>
      </c>
    </row>
    <row r="25" spans="1:8">
      <c r="A25" s="1049">
        <f t="shared" si="1"/>
        <v>16</v>
      </c>
      <c r="B25" s="1055" t="s">
        <v>1030</v>
      </c>
      <c r="C25" s="950">
        <v>0</v>
      </c>
      <c r="D25" s="1057"/>
      <c r="E25" s="1055" t="s">
        <v>1030</v>
      </c>
      <c r="F25" s="950">
        <v>-5035.53</v>
      </c>
      <c r="G25" s="1174"/>
      <c r="H25" s="1056">
        <f t="shared" si="0"/>
        <v>-2517.7649999999999</v>
      </c>
    </row>
    <row r="26" spans="1:8">
      <c r="A26" s="1049">
        <f t="shared" si="1"/>
        <v>17</v>
      </c>
      <c r="B26" s="1055" t="s">
        <v>1031</v>
      </c>
      <c r="C26" s="950">
        <v>0</v>
      </c>
      <c r="D26" s="1057"/>
      <c r="E26" s="1055" t="s">
        <v>1031</v>
      </c>
      <c r="F26" s="950">
        <v>5204662.66</v>
      </c>
      <c r="G26" s="1174"/>
      <c r="H26" s="1056">
        <f t="shared" si="0"/>
        <v>2602331.33</v>
      </c>
    </row>
    <row r="27" spans="1:8">
      <c r="A27" s="1049">
        <f t="shared" si="1"/>
        <v>18</v>
      </c>
      <c r="B27" s="1055" t="s">
        <v>1032</v>
      </c>
      <c r="C27" s="950">
        <v>0</v>
      </c>
      <c r="D27" s="1057"/>
      <c r="E27" s="1055" t="s">
        <v>1032</v>
      </c>
      <c r="F27" s="950">
        <v>1071759.78</v>
      </c>
      <c r="G27" s="1174"/>
      <c r="H27" s="1056">
        <f t="shared" si="0"/>
        <v>535879.89</v>
      </c>
    </row>
    <row r="28" spans="1:8">
      <c r="A28" s="1049">
        <f t="shared" si="1"/>
        <v>19</v>
      </c>
      <c r="B28" s="1055" t="s">
        <v>1033</v>
      </c>
      <c r="C28" s="950">
        <v>0</v>
      </c>
      <c r="D28" s="1057"/>
      <c r="E28" s="1055" t="s">
        <v>1033</v>
      </c>
      <c r="F28" s="950">
        <v>-49170.66</v>
      </c>
      <c r="G28" s="1174"/>
      <c r="H28" s="1056">
        <f t="shared" si="0"/>
        <v>-24585.33</v>
      </c>
    </row>
    <row r="29" spans="1:8">
      <c r="A29" s="1049">
        <f t="shared" si="1"/>
        <v>20</v>
      </c>
      <c r="B29" s="1055"/>
      <c r="C29" s="950"/>
      <c r="D29" s="1057"/>
      <c r="E29" s="1055"/>
      <c r="F29" s="950"/>
      <c r="G29" s="1174"/>
      <c r="H29" s="1056"/>
    </row>
    <row r="30" spans="1:8">
      <c r="A30" s="1049">
        <f t="shared" si="1"/>
        <v>21</v>
      </c>
      <c r="B30" s="1061"/>
      <c r="C30" s="950"/>
      <c r="D30" s="1057"/>
      <c r="E30" s="1055"/>
      <c r="F30" s="950"/>
      <c r="G30" s="1057"/>
      <c r="H30" s="1056"/>
    </row>
    <row r="31" spans="1:8" ht="13" thickBot="1">
      <c r="A31" s="1049">
        <f t="shared" si="1"/>
        <v>22</v>
      </c>
      <c r="B31" s="1058" t="s">
        <v>895</v>
      </c>
      <c r="C31" s="1059">
        <f>SUM(C15:C30)</f>
        <v>5536971.9100000011</v>
      </c>
      <c r="D31" s="1173"/>
      <c r="E31" s="1058" t="s">
        <v>896</v>
      </c>
      <c r="F31" s="1059">
        <f>SUM(F15:F30)</f>
        <v>6225235.6299999999</v>
      </c>
      <c r="G31" s="1057"/>
      <c r="H31" s="1059">
        <f>AVERAGE(C31,F31)</f>
        <v>5881103.7700000005</v>
      </c>
    </row>
    <row r="32" spans="1:8" ht="16" thickTop="1">
      <c r="A32" s="1049"/>
      <c r="B32" s="1050"/>
      <c r="C32"/>
      <c r="D32"/>
      <c r="E32"/>
      <c r="F32"/>
      <c r="G32" s="1057"/>
      <c r="H32" s="1050"/>
    </row>
    <row r="33" spans="1:8" ht="13">
      <c r="A33" s="1049">
        <f>A31+1</f>
        <v>23</v>
      </c>
      <c r="B33" s="1053" t="s">
        <v>897</v>
      </c>
      <c r="C33" s="1050"/>
      <c r="D33" s="1050"/>
      <c r="E33" s="1050"/>
      <c r="F33" s="1056"/>
      <c r="G33" s="1050"/>
      <c r="H33" s="1050"/>
    </row>
    <row r="34" spans="1:8" ht="11.5" customHeight="1">
      <c r="A34" s="1049"/>
      <c r="B34" s="1050"/>
      <c r="C34" s="1051" t="s">
        <v>2</v>
      </c>
      <c r="D34" s="1050"/>
      <c r="E34" s="1050"/>
      <c r="F34" s="1051" t="s">
        <v>2</v>
      </c>
      <c r="G34" s="1050"/>
      <c r="H34" s="1050"/>
    </row>
    <row r="35" spans="1:8">
      <c r="A35" s="1049">
        <f>A33+1</f>
        <v>24</v>
      </c>
      <c r="B35" s="1061" t="s">
        <v>1034</v>
      </c>
      <c r="C35" s="950">
        <v>0</v>
      </c>
      <c r="D35" s="1050"/>
      <c r="E35" s="1061" t="s">
        <v>1034</v>
      </c>
      <c r="F35" s="950">
        <v>0</v>
      </c>
      <c r="G35" s="1050"/>
      <c r="H35" s="1056">
        <f>AVERAGE(C35,F35)</f>
        <v>0</v>
      </c>
    </row>
    <row r="36" spans="1:8">
      <c r="A36" s="1049">
        <f>A35+1</f>
        <v>25</v>
      </c>
      <c r="B36" s="1061" t="s">
        <v>1035</v>
      </c>
      <c r="C36" s="950">
        <v>0</v>
      </c>
      <c r="D36" s="1050"/>
      <c r="E36" s="1061" t="s">
        <v>1035</v>
      </c>
      <c r="F36" s="950">
        <v>0</v>
      </c>
      <c r="G36" s="1050"/>
      <c r="H36" s="1056">
        <f t="shared" ref="H36:H58" si="2">AVERAGE(C36,F36)</f>
        <v>0</v>
      </c>
    </row>
    <row r="37" spans="1:8">
      <c r="A37" s="1049">
        <f>A36+1</f>
        <v>26</v>
      </c>
      <c r="B37" s="1061" t="s">
        <v>1036</v>
      </c>
      <c r="C37" s="950">
        <v>0.01</v>
      </c>
      <c r="D37" s="1050"/>
      <c r="E37" s="1061" t="s">
        <v>1036</v>
      </c>
      <c r="F37" s="950">
        <v>0</v>
      </c>
      <c r="G37" s="1050"/>
      <c r="H37" s="1056">
        <f t="shared" si="2"/>
        <v>5.0000000000000001E-3</v>
      </c>
    </row>
    <row r="38" spans="1:8">
      <c r="A38" s="1049">
        <f t="shared" ref="A38:A61" si="3">A37+1</f>
        <v>27</v>
      </c>
      <c r="B38" s="1061" t="s">
        <v>1037</v>
      </c>
      <c r="C38" s="950">
        <v>-0.28000000000000003</v>
      </c>
      <c r="D38" s="1050"/>
      <c r="E38" s="1061" t="s">
        <v>1037</v>
      </c>
      <c r="F38" s="950">
        <v>0</v>
      </c>
      <c r="G38" s="1050"/>
      <c r="H38" s="1056">
        <f t="shared" si="2"/>
        <v>-0.14000000000000001</v>
      </c>
    </row>
    <row r="39" spans="1:8">
      <c r="A39" s="1049">
        <f t="shared" si="3"/>
        <v>28</v>
      </c>
      <c r="B39" s="1061" t="s">
        <v>1038</v>
      </c>
      <c r="C39" s="950">
        <v>0</v>
      </c>
      <c r="D39" s="1050"/>
      <c r="E39" s="1061" t="s">
        <v>1038</v>
      </c>
      <c r="F39" s="950">
        <v>0</v>
      </c>
      <c r="G39" s="1050"/>
      <c r="H39" s="1056">
        <f t="shared" si="2"/>
        <v>0</v>
      </c>
    </row>
    <row r="40" spans="1:8">
      <c r="A40" s="1049">
        <f t="shared" si="3"/>
        <v>29</v>
      </c>
      <c r="B40" s="1061" t="s">
        <v>1039</v>
      </c>
      <c r="C40" s="950">
        <v>0</v>
      </c>
      <c r="D40" s="1050"/>
      <c r="E40" s="1061" t="s">
        <v>1039</v>
      </c>
      <c r="F40" s="950">
        <v>0</v>
      </c>
      <c r="G40" s="1050"/>
      <c r="H40" s="1056">
        <f t="shared" si="2"/>
        <v>0</v>
      </c>
    </row>
    <row r="41" spans="1:8">
      <c r="A41" s="1049">
        <f t="shared" si="3"/>
        <v>30</v>
      </c>
      <c r="B41" s="1061" t="s">
        <v>1020</v>
      </c>
      <c r="C41" s="950">
        <v>1393146.68</v>
      </c>
      <c r="D41" s="1050"/>
      <c r="E41" s="1061" t="s">
        <v>1020</v>
      </c>
      <c r="F41" s="950">
        <v>0</v>
      </c>
      <c r="G41" s="1050"/>
      <c r="H41" s="1056">
        <f t="shared" si="2"/>
        <v>696573.34</v>
      </c>
    </row>
    <row r="42" spans="1:8">
      <c r="A42" s="1049">
        <f t="shared" si="3"/>
        <v>31</v>
      </c>
      <c r="B42" s="1061" t="s">
        <v>1021</v>
      </c>
      <c r="C42" s="950">
        <v>331735.17</v>
      </c>
      <c r="D42" s="1050"/>
      <c r="E42" s="1061" t="s">
        <v>1021</v>
      </c>
      <c r="F42" s="950">
        <v>0</v>
      </c>
      <c r="G42" s="1050"/>
      <c r="H42" s="1056">
        <f t="shared" si="2"/>
        <v>165867.58499999999</v>
      </c>
    </row>
    <row r="43" spans="1:8">
      <c r="A43" s="1049">
        <f t="shared" si="3"/>
        <v>32</v>
      </c>
      <c r="B43" s="1061" t="s">
        <v>1022</v>
      </c>
      <c r="C43" s="950">
        <v>-36.14</v>
      </c>
      <c r="D43" s="1050"/>
      <c r="E43" s="1061" t="s">
        <v>1022</v>
      </c>
      <c r="F43" s="950">
        <v>0</v>
      </c>
      <c r="G43" s="1050"/>
      <c r="H43" s="1056">
        <f t="shared" si="2"/>
        <v>-18.07</v>
      </c>
    </row>
    <row r="44" spans="1:8">
      <c r="A44" s="1049">
        <f t="shared" si="3"/>
        <v>33</v>
      </c>
      <c r="B44" s="1061" t="s">
        <v>1023</v>
      </c>
      <c r="C44" s="950">
        <v>4198.42</v>
      </c>
      <c r="D44" s="1050"/>
      <c r="E44" s="1061" t="s">
        <v>1023</v>
      </c>
      <c r="F44" s="950">
        <v>0</v>
      </c>
      <c r="G44" s="1050"/>
      <c r="H44" s="1056">
        <f t="shared" si="2"/>
        <v>2099.21</v>
      </c>
    </row>
    <row r="45" spans="1:8">
      <c r="A45" s="1049">
        <f t="shared" si="3"/>
        <v>34</v>
      </c>
      <c r="B45" s="1061" t="s">
        <v>1024</v>
      </c>
      <c r="C45" s="950">
        <v>-15219.49</v>
      </c>
      <c r="D45" s="1050"/>
      <c r="E45" s="1061" t="s">
        <v>1024</v>
      </c>
      <c r="F45" s="950">
        <v>0</v>
      </c>
      <c r="G45" s="1050"/>
      <c r="H45" s="1056">
        <f t="shared" si="2"/>
        <v>-7609.7449999999999</v>
      </c>
    </row>
    <row r="46" spans="1:8">
      <c r="A46" s="1049">
        <f t="shared" si="3"/>
        <v>35</v>
      </c>
      <c r="B46" s="1061" t="s">
        <v>1040</v>
      </c>
      <c r="C46" s="950">
        <v>1334.99</v>
      </c>
      <c r="D46" s="1050"/>
      <c r="E46" s="1061" t="s">
        <v>1040</v>
      </c>
      <c r="F46" s="950">
        <v>0</v>
      </c>
      <c r="G46" s="1050"/>
      <c r="H46" s="1056">
        <f t="shared" si="2"/>
        <v>667.495</v>
      </c>
    </row>
    <row r="47" spans="1:8">
      <c r="A47" s="1049">
        <f t="shared" si="3"/>
        <v>36</v>
      </c>
      <c r="B47" s="1061" t="s">
        <v>1041</v>
      </c>
      <c r="C47" s="950">
        <v>-15484.72</v>
      </c>
      <c r="D47" s="1050"/>
      <c r="E47" s="1061" t="s">
        <v>1041</v>
      </c>
      <c r="F47" s="950">
        <v>0</v>
      </c>
      <c r="G47" s="1050"/>
      <c r="H47" s="1056">
        <f t="shared" si="2"/>
        <v>-7742.36</v>
      </c>
    </row>
    <row r="48" spans="1:8">
      <c r="A48" s="1049">
        <f t="shared" si="3"/>
        <v>37</v>
      </c>
      <c r="B48" s="1061" t="s">
        <v>1042</v>
      </c>
      <c r="C48" s="950">
        <v>0</v>
      </c>
      <c r="D48" s="1050"/>
      <c r="E48" s="1061" t="s">
        <v>1042</v>
      </c>
      <c r="F48" s="950">
        <v>0</v>
      </c>
      <c r="G48" s="1050"/>
      <c r="H48" s="1056">
        <f t="shared" si="2"/>
        <v>0</v>
      </c>
    </row>
    <row r="49" spans="1:8">
      <c r="A49" s="1049">
        <f t="shared" si="3"/>
        <v>38</v>
      </c>
      <c r="B49" s="1061" t="s">
        <v>1043</v>
      </c>
      <c r="C49" s="950">
        <v>0</v>
      </c>
      <c r="D49" s="1050"/>
      <c r="E49" s="1061" t="s">
        <v>1043</v>
      </c>
      <c r="F49" s="950">
        <v>-0.28000000000000003</v>
      </c>
      <c r="G49" s="1050"/>
      <c r="H49" s="1056">
        <f t="shared" si="2"/>
        <v>-0.14000000000000001</v>
      </c>
    </row>
    <row r="50" spans="1:8" s="1062" customFormat="1">
      <c r="A50" s="1049">
        <f t="shared" si="3"/>
        <v>39</v>
      </c>
      <c r="B50" s="1061" t="s">
        <v>1029</v>
      </c>
      <c r="C50" s="950">
        <v>0</v>
      </c>
      <c r="D50" s="1050"/>
      <c r="E50" s="1061" t="s">
        <v>1029</v>
      </c>
      <c r="F50" s="950">
        <v>934.57</v>
      </c>
      <c r="G50" s="1057"/>
      <c r="H50" s="1056">
        <f t="shared" si="2"/>
        <v>467.28500000000003</v>
      </c>
    </row>
    <row r="51" spans="1:8" s="1062" customFormat="1">
      <c r="A51" s="1049">
        <f t="shared" si="3"/>
        <v>40</v>
      </c>
      <c r="B51" s="1061" t="s">
        <v>1030</v>
      </c>
      <c r="C51" s="950">
        <v>0</v>
      </c>
      <c r="D51" s="1050"/>
      <c r="E51" s="1061" t="s">
        <v>1030</v>
      </c>
      <c r="F51" s="950">
        <v>-1558.6200000000001</v>
      </c>
      <c r="G51" s="1057"/>
      <c r="H51" s="1056">
        <f t="shared" si="2"/>
        <v>-779.31000000000006</v>
      </c>
    </row>
    <row r="52" spans="1:8" s="1062" customFormat="1">
      <c r="A52" s="1049">
        <f t="shared" si="3"/>
        <v>41</v>
      </c>
      <c r="B52" s="1061" t="s">
        <v>1031</v>
      </c>
      <c r="C52" s="950">
        <v>0</v>
      </c>
      <c r="D52" s="1050"/>
      <c r="E52" s="1061" t="s">
        <v>1031</v>
      </c>
      <c r="F52" s="950">
        <v>1610967.01</v>
      </c>
      <c r="G52" s="1057"/>
      <c r="H52" s="1056">
        <f t="shared" si="2"/>
        <v>805483.505</v>
      </c>
    </row>
    <row r="53" spans="1:8" s="1062" customFormat="1">
      <c r="A53" s="1049">
        <f t="shared" si="3"/>
        <v>42</v>
      </c>
      <c r="B53" s="1061" t="s">
        <v>1032</v>
      </c>
      <c r="C53" s="950">
        <v>0</v>
      </c>
      <c r="D53" s="1050"/>
      <c r="E53" s="1061" t="s">
        <v>1032</v>
      </c>
      <c r="F53" s="950">
        <v>331735.17</v>
      </c>
      <c r="G53" s="1057"/>
      <c r="H53" s="1056">
        <f t="shared" si="2"/>
        <v>165867.58499999999</v>
      </c>
    </row>
    <row r="54" spans="1:8" s="1062" customFormat="1">
      <c r="A54" s="1049">
        <f t="shared" si="3"/>
        <v>43</v>
      </c>
      <c r="B54" s="1061" t="s">
        <v>1033</v>
      </c>
      <c r="C54" s="950">
        <v>0</v>
      </c>
      <c r="D54" s="1050"/>
      <c r="E54" s="1061" t="s">
        <v>1033</v>
      </c>
      <c r="F54" s="950">
        <v>-15219.49</v>
      </c>
      <c r="G54" s="1057"/>
      <c r="H54" s="1056">
        <f t="shared" si="2"/>
        <v>-7609.7449999999999</v>
      </c>
    </row>
    <row r="55" spans="1:8" s="1062" customFormat="1">
      <c r="A55" s="1049">
        <f t="shared" si="3"/>
        <v>44</v>
      </c>
      <c r="B55" s="1061" t="s">
        <v>1044</v>
      </c>
      <c r="C55" s="950">
        <v>0</v>
      </c>
      <c r="D55" s="1050"/>
      <c r="E55" s="1061" t="s">
        <v>1044</v>
      </c>
      <c r="F55" s="950">
        <v>-37440.93</v>
      </c>
      <c r="G55" s="1057"/>
      <c r="H55" s="1056">
        <f t="shared" si="2"/>
        <v>-18720.465</v>
      </c>
    </row>
    <row r="56" spans="1:8" s="1062" customFormat="1">
      <c r="A56" s="1049">
        <f t="shared" si="3"/>
        <v>45</v>
      </c>
      <c r="B56" s="1061" t="s">
        <v>1045</v>
      </c>
      <c r="C56" s="950">
        <v>0</v>
      </c>
      <c r="D56" s="1050"/>
      <c r="E56" s="1061" t="s">
        <v>1045</v>
      </c>
      <c r="F56" s="950">
        <v>1284.1600000000001</v>
      </c>
      <c r="G56" s="1057"/>
      <c r="H56" s="1056">
        <f t="shared" si="2"/>
        <v>642.08000000000004</v>
      </c>
    </row>
    <row r="57" spans="1:8" s="1062" customFormat="1">
      <c r="A57" s="1049">
        <f t="shared" si="3"/>
        <v>46</v>
      </c>
      <c r="B57" s="1061" t="s">
        <v>1046</v>
      </c>
      <c r="C57" s="950">
        <v>0</v>
      </c>
      <c r="D57" s="1050"/>
      <c r="E57" s="1061" t="s">
        <v>1046</v>
      </c>
      <c r="F57" s="950">
        <v>-0.03</v>
      </c>
      <c r="G57" s="1057"/>
      <c r="H57" s="1056">
        <f t="shared" si="2"/>
        <v>-1.4999999999999999E-2</v>
      </c>
    </row>
    <row r="58" spans="1:8" s="1062" customFormat="1">
      <c r="A58" s="1049">
        <f t="shared" si="3"/>
        <v>47</v>
      </c>
      <c r="B58" s="1061" t="s">
        <v>1043</v>
      </c>
      <c r="C58" s="950">
        <v>0</v>
      </c>
      <c r="D58" s="1050"/>
      <c r="E58" s="1061" t="s">
        <v>1043</v>
      </c>
      <c r="F58" s="950">
        <v>-0.28000000000000003</v>
      </c>
      <c r="G58" s="1057"/>
      <c r="H58" s="1056">
        <f t="shared" si="2"/>
        <v>-0.14000000000000001</v>
      </c>
    </row>
    <row r="59" spans="1:8" s="1062" customFormat="1">
      <c r="A59" s="1049">
        <f t="shared" si="3"/>
        <v>48</v>
      </c>
      <c r="B59" s="1061"/>
      <c r="C59" s="950"/>
      <c r="D59" s="1050"/>
      <c r="E59" s="1061"/>
      <c r="F59" s="950"/>
      <c r="G59" s="1057"/>
      <c r="H59" s="1056"/>
    </row>
    <row r="60" spans="1:8" s="1062" customFormat="1">
      <c r="A60" s="1049">
        <f t="shared" si="3"/>
        <v>49</v>
      </c>
      <c r="B60" s="1061"/>
      <c r="C60" s="950"/>
      <c r="D60" s="1050"/>
      <c r="E60" s="1061"/>
      <c r="F60" s="950"/>
      <c r="G60" s="1057"/>
      <c r="H60" s="1056"/>
    </row>
    <row r="61" spans="1:8" s="1062" customFormat="1">
      <c r="A61" s="1049">
        <f t="shared" si="3"/>
        <v>50</v>
      </c>
      <c r="B61" s="1061"/>
      <c r="C61" s="950"/>
      <c r="D61" s="1050"/>
      <c r="E61" s="1061"/>
      <c r="F61" s="950"/>
      <c r="G61" s="1057"/>
      <c r="H61" s="1056"/>
    </row>
    <row r="62" spans="1:8" ht="13" thickBot="1">
      <c r="A62" s="1049">
        <f>A61+1</f>
        <v>51</v>
      </c>
      <c r="B62" s="1058" t="s">
        <v>898</v>
      </c>
      <c r="C62" s="1059">
        <f>SUM(C35:C61)</f>
        <v>1699674.64</v>
      </c>
      <c r="D62" s="1173"/>
      <c r="E62" s="1058" t="s">
        <v>899</v>
      </c>
      <c r="F62" s="1059">
        <f>SUM(F35:F61)</f>
        <v>1890701.2799999998</v>
      </c>
      <c r="G62" s="1057"/>
      <c r="H62" s="1059">
        <f>AVERAGE(C62,F62)</f>
        <v>1795187.96</v>
      </c>
    </row>
    <row r="63" spans="1:8" ht="16" thickTop="1">
      <c r="A63" s="1049"/>
      <c r="B63" s="1050"/>
      <c r="C63"/>
      <c r="D63"/>
      <c r="E63"/>
      <c r="F63"/>
      <c r="G63" s="1050"/>
      <c r="H63" s="1050"/>
    </row>
    <row r="64" spans="1:8" ht="13">
      <c r="A64" s="1049">
        <f>A62+1</f>
        <v>52</v>
      </c>
      <c r="B64" s="1053" t="s">
        <v>900</v>
      </c>
      <c r="C64" s="1050"/>
      <c r="D64" s="1050"/>
      <c r="E64" s="1050"/>
      <c r="F64" s="1050"/>
      <c r="G64" s="1050"/>
      <c r="H64" s="1050"/>
    </row>
    <row r="65" spans="1:8">
      <c r="A65" s="1049"/>
      <c r="B65" s="1050"/>
      <c r="C65" s="1050"/>
      <c r="D65" s="1050"/>
      <c r="E65" s="1050"/>
      <c r="F65" s="1050"/>
      <c r="G65" s="1050"/>
      <c r="H65" s="1050"/>
    </row>
    <row r="66" spans="1:8">
      <c r="A66" s="1049">
        <f>A64+1</f>
        <v>53</v>
      </c>
      <c r="B66" s="1063" t="s">
        <v>1041</v>
      </c>
      <c r="C66" s="950">
        <v>46775.76</v>
      </c>
      <c r="D66" s="1050"/>
      <c r="E66" s="1063" t="s">
        <v>1041</v>
      </c>
      <c r="F66" s="950">
        <v>0</v>
      </c>
      <c r="G66" s="1050"/>
      <c r="H66" s="1056">
        <f t="shared" ref="H66:H89" si="4">AVERAGE(C66,F66)</f>
        <v>23387.88</v>
      </c>
    </row>
    <row r="67" spans="1:8">
      <c r="A67" s="1049">
        <f>A66+1</f>
        <v>54</v>
      </c>
      <c r="B67" s="1063" t="s">
        <v>1047</v>
      </c>
      <c r="C67" s="950">
        <v>-4032.69</v>
      </c>
      <c r="D67" s="1050"/>
      <c r="E67" s="1063" t="s">
        <v>1047</v>
      </c>
      <c r="F67" s="950">
        <v>0</v>
      </c>
      <c r="G67" s="1050"/>
      <c r="H67" s="1056">
        <f t="shared" si="4"/>
        <v>-2016.345</v>
      </c>
    </row>
    <row r="68" spans="1:8">
      <c r="A68" s="1049">
        <f t="shared" ref="A68:A92" si="5">A67+1</f>
        <v>55</v>
      </c>
      <c r="B68" s="1063" t="s">
        <v>1048</v>
      </c>
      <c r="C68" s="950">
        <v>0.09</v>
      </c>
      <c r="D68" s="1050"/>
      <c r="E68" s="1063" t="s">
        <v>1048</v>
      </c>
      <c r="F68" s="950">
        <v>0</v>
      </c>
      <c r="G68" s="1050"/>
      <c r="H68" s="1056">
        <f t="shared" si="4"/>
        <v>4.4999999999999998E-2</v>
      </c>
    </row>
    <row r="69" spans="1:8">
      <c r="A69" s="1049">
        <f t="shared" si="5"/>
        <v>56</v>
      </c>
      <c r="B69" s="1063" t="s">
        <v>1035</v>
      </c>
      <c r="C69" s="950">
        <v>0</v>
      </c>
      <c r="D69" s="1050"/>
      <c r="E69" s="1063" t="s">
        <v>1035</v>
      </c>
      <c r="F69" s="950">
        <v>0</v>
      </c>
      <c r="G69" s="1050"/>
      <c r="H69" s="1056">
        <f t="shared" si="4"/>
        <v>0</v>
      </c>
    </row>
    <row r="70" spans="1:8">
      <c r="A70" s="1049">
        <f t="shared" si="5"/>
        <v>57</v>
      </c>
      <c r="B70" s="1063" t="s">
        <v>1049</v>
      </c>
      <c r="C70" s="950">
        <v>0</v>
      </c>
      <c r="D70" s="1050"/>
      <c r="E70" s="1063" t="s">
        <v>1049</v>
      </c>
      <c r="F70" s="950">
        <v>0</v>
      </c>
      <c r="G70" s="1050"/>
      <c r="H70" s="1056">
        <f t="shared" si="4"/>
        <v>0</v>
      </c>
    </row>
    <row r="71" spans="1:8">
      <c r="A71" s="1049">
        <f t="shared" si="5"/>
        <v>58</v>
      </c>
      <c r="B71" s="1063" t="s">
        <v>1050</v>
      </c>
      <c r="C71" s="950">
        <v>0</v>
      </c>
      <c r="D71" s="1050"/>
      <c r="E71" s="1063" t="s">
        <v>1050</v>
      </c>
      <c r="F71" s="950">
        <v>0</v>
      </c>
      <c r="G71" s="1050"/>
      <c r="H71" s="1056">
        <f t="shared" si="4"/>
        <v>0</v>
      </c>
    </row>
    <row r="72" spans="1:8">
      <c r="A72" s="1049">
        <f t="shared" si="5"/>
        <v>59</v>
      </c>
      <c r="B72" s="1063" t="s">
        <v>1039</v>
      </c>
      <c r="C72" s="950">
        <v>0</v>
      </c>
      <c r="D72" s="1050"/>
      <c r="E72" s="1063" t="s">
        <v>1039</v>
      </c>
      <c r="F72" s="950">
        <v>0</v>
      </c>
      <c r="G72" s="1050"/>
      <c r="H72" s="1056">
        <f t="shared" si="4"/>
        <v>0</v>
      </c>
    </row>
    <row r="73" spans="1:8">
      <c r="A73" s="1049">
        <f t="shared" si="5"/>
        <v>60</v>
      </c>
      <c r="B73" s="1063" t="s">
        <v>1020</v>
      </c>
      <c r="C73" s="950">
        <v>292560.8</v>
      </c>
      <c r="D73" s="1050"/>
      <c r="E73" s="1063" t="s">
        <v>1020</v>
      </c>
      <c r="F73" s="950">
        <v>0</v>
      </c>
      <c r="G73" s="1050"/>
      <c r="H73" s="1056">
        <f t="shared" si="4"/>
        <v>146280.4</v>
      </c>
    </row>
    <row r="74" spans="1:8">
      <c r="A74" s="1049">
        <f t="shared" si="5"/>
        <v>61</v>
      </c>
      <c r="B74" s="1063" t="s">
        <v>1022</v>
      </c>
      <c r="C74" s="950">
        <v>-7.59</v>
      </c>
      <c r="D74" s="1050"/>
      <c r="E74" s="1063" t="s">
        <v>1022</v>
      </c>
      <c r="F74" s="950">
        <v>0</v>
      </c>
      <c r="G74" s="1050"/>
      <c r="H74" s="1056">
        <f t="shared" si="4"/>
        <v>-3.7949999999999999</v>
      </c>
    </row>
    <row r="75" spans="1:8">
      <c r="A75" s="1049">
        <f t="shared" si="5"/>
        <v>62</v>
      </c>
      <c r="B75" s="1063" t="s">
        <v>1021</v>
      </c>
      <c r="C75" s="950">
        <v>69664.39</v>
      </c>
      <c r="D75" s="1050"/>
      <c r="E75" s="1063" t="s">
        <v>1021</v>
      </c>
      <c r="F75" s="950">
        <v>0</v>
      </c>
      <c r="G75" s="1050"/>
      <c r="H75" s="1056">
        <f t="shared" si="4"/>
        <v>34832.195</v>
      </c>
    </row>
    <row r="76" spans="1:8">
      <c r="A76" s="1049">
        <f t="shared" si="5"/>
        <v>63</v>
      </c>
      <c r="B76" s="1063" t="s">
        <v>1037</v>
      </c>
      <c r="C76" s="950">
        <v>-0.01</v>
      </c>
      <c r="D76" s="1050"/>
      <c r="E76" s="1063" t="s">
        <v>1037</v>
      </c>
      <c r="F76" s="950">
        <v>0</v>
      </c>
      <c r="G76" s="1050"/>
      <c r="H76" s="1056">
        <f t="shared" si="4"/>
        <v>-5.0000000000000001E-3</v>
      </c>
    </row>
    <row r="77" spans="1:8">
      <c r="A77" s="1049">
        <f t="shared" si="5"/>
        <v>64</v>
      </c>
      <c r="B77" s="1063" t="s">
        <v>1023</v>
      </c>
      <c r="C77" s="950">
        <v>881.67</v>
      </c>
      <c r="D77" s="1050"/>
      <c r="E77" s="1063" t="s">
        <v>1023</v>
      </c>
      <c r="F77" s="950">
        <v>0</v>
      </c>
      <c r="G77" s="1050"/>
      <c r="H77" s="1056">
        <f t="shared" si="4"/>
        <v>440.83499999999998</v>
      </c>
    </row>
    <row r="78" spans="1:8">
      <c r="A78" s="1049">
        <f t="shared" si="5"/>
        <v>65</v>
      </c>
      <c r="B78" s="1063" t="s">
        <v>1024</v>
      </c>
      <c r="C78" s="950">
        <v>-3196.09</v>
      </c>
      <c r="D78" s="1050"/>
      <c r="E78" s="1063" t="s">
        <v>1024</v>
      </c>
      <c r="F78" s="950">
        <v>0</v>
      </c>
      <c r="G78" s="1050"/>
      <c r="H78" s="1056">
        <f t="shared" si="4"/>
        <v>-1598.0450000000001</v>
      </c>
    </row>
    <row r="79" spans="1:8">
      <c r="A79" s="1049">
        <f t="shared" si="5"/>
        <v>66</v>
      </c>
      <c r="B79" s="1063" t="s">
        <v>1051</v>
      </c>
      <c r="C79" s="950">
        <v>-1971.65</v>
      </c>
      <c r="D79" s="1050"/>
      <c r="E79" s="1063" t="s">
        <v>1051</v>
      </c>
      <c r="F79" s="950">
        <v>0</v>
      </c>
      <c r="G79" s="1050"/>
      <c r="H79" s="1056">
        <f t="shared" si="4"/>
        <v>-985.82500000000005</v>
      </c>
    </row>
    <row r="80" spans="1:8">
      <c r="A80" s="1049">
        <f t="shared" si="5"/>
        <v>67</v>
      </c>
      <c r="B80" s="1063" t="s">
        <v>1052</v>
      </c>
      <c r="C80" s="950">
        <v>0</v>
      </c>
      <c r="D80" s="1050"/>
      <c r="E80" s="1063" t="s">
        <v>1052</v>
      </c>
      <c r="F80" s="950">
        <v>0</v>
      </c>
      <c r="G80" s="1050"/>
      <c r="H80" s="1056">
        <f t="shared" si="4"/>
        <v>0</v>
      </c>
    </row>
    <row r="81" spans="1:9">
      <c r="A81" s="1049">
        <f t="shared" si="5"/>
        <v>68</v>
      </c>
      <c r="B81" s="1063" t="s">
        <v>1029</v>
      </c>
      <c r="C81" s="950">
        <v>0</v>
      </c>
      <c r="D81" s="1050"/>
      <c r="E81" s="1063" t="s">
        <v>1029</v>
      </c>
      <c r="F81" s="950">
        <v>196.26</v>
      </c>
      <c r="G81" s="1050"/>
      <c r="H81" s="1056">
        <f t="shared" si="4"/>
        <v>98.13</v>
      </c>
    </row>
    <row r="82" spans="1:9">
      <c r="A82" s="1049">
        <f t="shared" si="5"/>
        <v>69</v>
      </c>
      <c r="B82" s="1063" t="s">
        <v>1030</v>
      </c>
      <c r="C82" s="950">
        <v>0</v>
      </c>
      <c r="D82" s="1050"/>
      <c r="E82" s="1063" t="s">
        <v>1030</v>
      </c>
      <c r="F82" s="950">
        <v>-327.31</v>
      </c>
      <c r="G82" s="1050"/>
      <c r="H82" s="1056">
        <f t="shared" si="4"/>
        <v>-163.655</v>
      </c>
    </row>
    <row r="83" spans="1:9">
      <c r="A83" s="1049">
        <f t="shared" si="5"/>
        <v>70</v>
      </c>
      <c r="B83" s="1063" t="s">
        <v>1031</v>
      </c>
      <c r="C83" s="950">
        <v>0</v>
      </c>
      <c r="D83" s="1050"/>
      <c r="E83" s="1063" t="s">
        <v>1031</v>
      </c>
      <c r="F83" s="950">
        <v>338303.07</v>
      </c>
      <c r="G83" s="1050"/>
      <c r="H83" s="1056">
        <f t="shared" si="4"/>
        <v>169151.535</v>
      </c>
    </row>
    <row r="84" spans="1:9">
      <c r="A84" s="1049">
        <f t="shared" si="5"/>
        <v>71</v>
      </c>
      <c r="B84" s="1063" t="s">
        <v>1032</v>
      </c>
      <c r="C84" s="950">
        <v>0</v>
      </c>
      <c r="D84" s="1050"/>
      <c r="E84" s="1063" t="s">
        <v>1032</v>
      </c>
      <c r="F84" s="950">
        <v>69664.39</v>
      </c>
      <c r="G84" s="1050"/>
      <c r="H84" s="1056">
        <f t="shared" si="4"/>
        <v>34832.195</v>
      </c>
    </row>
    <row r="85" spans="1:9">
      <c r="A85" s="1049">
        <f t="shared" si="5"/>
        <v>72</v>
      </c>
      <c r="B85" s="1063" t="s">
        <v>1033</v>
      </c>
      <c r="C85" s="950">
        <v>0</v>
      </c>
      <c r="D85" s="1050"/>
      <c r="E85" s="1063" t="s">
        <v>1033</v>
      </c>
      <c r="F85" s="950">
        <v>-3196.09</v>
      </c>
      <c r="G85" s="1050"/>
      <c r="H85" s="1056">
        <f t="shared" si="4"/>
        <v>-1598.0450000000001</v>
      </c>
    </row>
    <row r="86" spans="1:9">
      <c r="A86" s="1049">
        <f t="shared" si="5"/>
        <v>73</v>
      </c>
      <c r="B86" s="1063" t="s">
        <v>1044</v>
      </c>
      <c r="C86" s="950">
        <v>0</v>
      </c>
      <c r="D86" s="1050"/>
      <c r="E86" s="1063" t="s">
        <v>1044</v>
      </c>
      <c r="F86" s="950">
        <v>113100.40000000001</v>
      </c>
      <c r="G86" s="1050"/>
      <c r="H86" s="1056">
        <f t="shared" si="4"/>
        <v>56550.200000000004</v>
      </c>
    </row>
    <row r="87" spans="1:9">
      <c r="A87" s="1049">
        <f t="shared" si="5"/>
        <v>74</v>
      </c>
      <c r="B87" s="1063" t="s">
        <v>1045</v>
      </c>
      <c r="C87" s="950">
        <v>0</v>
      </c>
      <c r="D87" s="1050"/>
      <c r="E87" s="1063" t="s">
        <v>1045</v>
      </c>
      <c r="F87" s="950">
        <v>-3879.15</v>
      </c>
      <c r="G87" s="1050"/>
      <c r="H87" s="1056">
        <f t="shared" si="4"/>
        <v>-1939.575</v>
      </c>
    </row>
    <row r="88" spans="1:9">
      <c r="A88" s="1049">
        <f t="shared" si="5"/>
        <v>75</v>
      </c>
      <c r="B88" s="1063" t="s">
        <v>1046</v>
      </c>
      <c r="C88" s="950">
        <v>0</v>
      </c>
      <c r="D88" s="1050"/>
      <c r="E88" s="1063" t="s">
        <v>1046</v>
      </c>
      <c r="F88" s="950">
        <v>0.09</v>
      </c>
      <c r="G88" s="1050"/>
      <c r="H88" s="1056">
        <f t="shared" si="4"/>
        <v>4.4999999999999998E-2</v>
      </c>
    </row>
    <row r="89" spans="1:9">
      <c r="A89" s="1049">
        <f t="shared" si="5"/>
        <v>76</v>
      </c>
      <c r="B89" s="1063" t="s">
        <v>1043</v>
      </c>
      <c r="C89" s="950">
        <v>0</v>
      </c>
      <c r="D89" s="1050"/>
      <c r="E89" s="1063" t="s">
        <v>1043</v>
      </c>
      <c r="F89" s="950">
        <v>-0.01</v>
      </c>
      <c r="G89" s="1050"/>
      <c r="H89" s="1056">
        <f t="shared" si="4"/>
        <v>-5.0000000000000001E-3</v>
      </c>
    </row>
    <row r="90" spans="1:9">
      <c r="A90" s="1049">
        <f t="shared" si="5"/>
        <v>77</v>
      </c>
      <c r="B90" s="1063"/>
      <c r="C90" s="950"/>
      <c r="D90" s="1050"/>
      <c r="E90" s="1061"/>
      <c r="F90" s="950"/>
      <c r="G90" s="1050"/>
      <c r="H90" s="1056"/>
    </row>
    <row r="91" spans="1:9">
      <c r="A91" s="1049">
        <f t="shared" si="5"/>
        <v>78</v>
      </c>
      <c r="B91" s="1061"/>
      <c r="C91" s="950"/>
      <c r="D91" s="1050"/>
      <c r="E91" s="1061"/>
      <c r="F91" s="950"/>
      <c r="G91" s="1050"/>
      <c r="H91" s="1056"/>
    </row>
    <row r="92" spans="1:9">
      <c r="A92" s="1049">
        <f t="shared" si="5"/>
        <v>79</v>
      </c>
      <c r="B92" s="1061"/>
      <c r="C92" s="950"/>
      <c r="D92" s="1050"/>
      <c r="E92" s="1061"/>
      <c r="F92" s="950"/>
      <c r="G92" s="1050"/>
      <c r="H92" s="1056"/>
    </row>
    <row r="93" spans="1:9" ht="13" thickBot="1">
      <c r="A93" s="1049">
        <f>A92+1</f>
        <v>80</v>
      </c>
      <c r="B93" s="1058" t="s">
        <v>901</v>
      </c>
      <c r="C93" s="1059">
        <f>SUM(C66:C92)</f>
        <v>400674.67999999988</v>
      </c>
      <c r="D93" s="1173"/>
      <c r="E93" s="1058" t="s">
        <v>902</v>
      </c>
      <c r="F93" s="1059">
        <f>SUM(F66:F92)</f>
        <v>513861.65</v>
      </c>
      <c r="G93" s="1057"/>
      <c r="H93" s="1059">
        <f>AVERAGE(C93,F93)</f>
        <v>457268.16499999992</v>
      </c>
      <c r="I93" s="1064"/>
    </row>
    <row r="94" spans="1:9" ht="16" thickTop="1">
      <c r="A94" s="1049"/>
      <c r="B94" s="1058"/>
      <c r="C94"/>
      <c r="D94"/>
      <c r="E94"/>
      <c r="F94"/>
      <c r="G94" s="1050"/>
      <c r="H94" s="1056"/>
      <c r="I94" s="1064"/>
    </row>
    <row r="95" spans="1:9" ht="20">
      <c r="A95" s="1049"/>
      <c r="B95" s="951"/>
      <c r="C95" s="875"/>
      <c r="D95" s="1050"/>
      <c r="E95" s="1060"/>
      <c r="F95" s="1050"/>
      <c r="G95" s="1050"/>
      <c r="H95" s="1043" t="s">
        <v>153</v>
      </c>
      <c r="I95" s="1064"/>
    </row>
    <row r="96" spans="1:9" ht="18">
      <c r="A96" s="1049"/>
      <c r="B96" s="1045"/>
      <c r="C96" s="1046"/>
      <c r="D96" s="1046"/>
      <c r="E96" s="1047"/>
      <c r="F96" s="1046"/>
      <c r="G96" s="1046"/>
      <c r="H96" s="1046"/>
      <c r="I96" s="1064"/>
    </row>
    <row r="97" spans="1:9">
      <c r="A97" s="1049" t="s">
        <v>8</v>
      </c>
      <c r="B97" s="1050"/>
      <c r="C97" s="1050"/>
      <c r="D97" s="1050"/>
      <c r="E97" s="1050"/>
      <c r="F97" s="1050"/>
      <c r="G97" s="1050"/>
      <c r="H97" s="1049" t="s">
        <v>892</v>
      </c>
      <c r="I97" s="1064"/>
    </row>
    <row r="98" spans="1:9" ht="13">
      <c r="A98" s="1049" t="s">
        <v>10</v>
      </c>
      <c r="B98" s="1240">
        <f>B7</f>
        <v>2023</v>
      </c>
      <c r="C98" s="1241"/>
      <c r="D98" s="1051" t="s">
        <v>893</v>
      </c>
      <c r="E98" s="1240">
        <f>E7</f>
        <v>2024</v>
      </c>
      <c r="F98" s="1241"/>
      <c r="G98" s="1050"/>
      <c r="H98" s="1052" t="s">
        <v>962</v>
      </c>
      <c r="I98" s="1064"/>
    </row>
    <row r="99" spans="1:9" ht="13">
      <c r="A99" s="1049">
        <f>A93+1</f>
        <v>81</v>
      </c>
      <c r="B99" s="1053" t="s">
        <v>903</v>
      </c>
      <c r="C99" s="1054"/>
      <c r="D99" s="1050"/>
      <c r="E99" s="1050"/>
      <c r="F99" s="1054"/>
      <c r="G99" s="1050"/>
    </row>
    <row r="100" spans="1:9">
      <c r="A100" s="1049"/>
      <c r="B100" s="1057"/>
      <c r="C100" s="1057"/>
      <c r="D100" s="1057"/>
      <c r="E100" s="1057"/>
      <c r="F100" s="1057"/>
      <c r="G100" s="1050"/>
      <c r="H100" s="1056"/>
    </row>
    <row r="101" spans="1:9">
      <c r="A101" s="1049">
        <f>A99+1</f>
        <v>82</v>
      </c>
      <c r="B101" s="1063" t="s">
        <v>1039</v>
      </c>
      <c r="C101" s="950">
        <v>0</v>
      </c>
      <c r="D101" s="949"/>
      <c r="E101" s="1063" t="s">
        <v>1039</v>
      </c>
      <c r="F101" s="950">
        <v>0</v>
      </c>
      <c r="G101" s="1050"/>
      <c r="H101" s="1056">
        <f t="shared" ref="H101:H104" si="6">AVERAGE(C101,F101)</f>
        <v>0</v>
      </c>
    </row>
    <row r="102" spans="1:9">
      <c r="A102" s="1049">
        <f t="shared" ref="A102:A118" si="7">A101+1</f>
        <v>83</v>
      </c>
      <c r="B102" s="1063" t="s">
        <v>1053</v>
      </c>
      <c r="C102" s="950">
        <v>0</v>
      </c>
      <c r="D102" s="949"/>
      <c r="E102" s="1063" t="s">
        <v>1053</v>
      </c>
      <c r="F102" s="950">
        <v>0</v>
      </c>
      <c r="G102" s="1050"/>
      <c r="H102" s="1056">
        <f t="shared" si="6"/>
        <v>0</v>
      </c>
    </row>
    <row r="103" spans="1:9">
      <c r="A103" s="1049">
        <f t="shared" si="7"/>
        <v>84</v>
      </c>
      <c r="B103" s="1063" t="s">
        <v>1054</v>
      </c>
      <c r="C103" s="950">
        <v>0</v>
      </c>
      <c r="D103" s="949"/>
      <c r="E103" s="1063" t="s">
        <v>1054</v>
      </c>
      <c r="F103" s="950">
        <v>0</v>
      </c>
      <c r="G103" s="1050"/>
      <c r="H103" s="1056">
        <f t="shared" si="6"/>
        <v>0</v>
      </c>
    </row>
    <row r="104" spans="1:9">
      <c r="A104" s="1049">
        <f t="shared" si="7"/>
        <v>85</v>
      </c>
      <c r="B104" s="1063" t="s">
        <v>1055</v>
      </c>
      <c r="C104" s="950">
        <v>0</v>
      </c>
      <c r="D104" s="949"/>
      <c r="E104" s="1063" t="s">
        <v>1055</v>
      </c>
      <c r="F104" s="950">
        <v>0</v>
      </c>
      <c r="G104" s="1050"/>
      <c r="H104" s="1056">
        <f t="shared" si="6"/>
        <v>0</v>
      </c>
    </row>
    <row r="105" spans="1:9">
      <c r="A105" s="1049">
        <f t="shared" si="7"/>
        <v>86</v>
      </c>
      <c r="B105" s="1063"/>
      <c r="C105" s="950"/>
      <c r="D105" s="1050"/>
      <c r="E105" s="1063"/>
      <c r="F105" s="950"/>
      <c r="G105" s="1050"/>
      <c r="H105" s="1056"/>
    </row>
    <row r="106" spans="1:9">
      <c r="A106" s="1049">
        <f t="shared" si="7"/>
        <v>87</v>
      </c>
      <c r="B106" s="1063"/>
      <c r="C106" s="950"/>
      <c r="D106" s="1067"/>
      <c r="E106" s="1063"/>
      <c r="F106" s="950"/>
      <c r="G106" s="1067"/>
      <c r="H106" s="1056"/>
    </row>
    <row r="107" spans="1:9">
      <c r="A107" s="1049">
        <f t="shared" si="7"/>
        <v>88</v>
      </c>
      <c r="B107" s="1066"/>
      <c r="C107" s="952"/>
      <c r="D107" s="1067"/>
      <c r="E107" s="1066"/>
      <c r="F107" s="952"/>
      <c r="G107" s="1067"/>
      <c r="H107" s="1056"/>
    </row>
    <row r="108" spans="1:9">
      <c r="A108" s="1049">
        <f t="shared" si="7"/>
        <v>89</v>
      </c>
      <c r="B108" s="1066"/>
      <c r="C108" s="952"/>
      <c r="D108" s="1067"/>
      <c r="E108" s="1066"/>
      <c r="F108" s="952"/>
      <c r="G108" s="1067"/>
      <c r="H108" s="1056"/>
    </row>
    <row r="109" spans="1:9">
      <c r="A109" s="1049">
        <f t="shared" si="7"/>
        <v>90</v>
      </c>
      <c r="B109" s="1066"/>
      <c r="C109" s="952"/>
      <c r="D109" s="1067"/>
      <c r="E109" s="1066"/>
      <c r="F109" s="952"/>
      <c r="G109" s="1067"/>
      <c r="H109" s="1056"/>
    </row>
    <row r="110" spans="1:9">
      <c r="A110" s="1049">
        <f t="shared" si="7"/>
        <v>91</v>
      </c>
      <c r="B110" s="1066"/>
      <c r="C110" s="952"/>
      <c r="D110" s="1067"/>
      <c r="E110" s="1066"/>
      <c r="F110" s="952"/>
      <c r="G110" s="1067"/>
      <c r="H110" s="1056"/>
    </row>
    <row r="111" spans="1:9">
      <c r="A111" s="1049">
        <f t="shared" si="7"/>
        <v>92</v>
      </c>
      <c r="B111" s="1066"/>
      <c r="C111" s="1066"/>
      <c r="D111" s="1067"/>
      <c r="E111" s="1066"/>
      <c r="F111" s="952"/>
      <c r="G111" s="1067"/>
      <c r="H111" s="1056"/>
    </row>
    <row r="112" spans="1:9">
      <c r="A112" s="1049">
        <f t="shared" si="7"/>
        <v>93</v>
      </c>
      <c r="B112" s="1066"/>
      <c r="C112" s="1066"/>
      <c r="D112" s="1067"/>
      <c r="E112" s="1066"/>
      <c r="F112" s="952"/>
      <c r="G112" s="1067"/>
      <c r="H112" s="1056"/>
    </row>
    <row r="113" spans="1:8" ht="13">
      <c r="A113" s="1049">
        <f t="shared" si="7"/>
        <v>94</v>
      </c>
      <c r="B113" s="953"/>
      <c r="C113" s="1066"/>
      <c r="D113" s="1067"/>
      <c r="E113" s="953"/>
      <c r="F113" s="952"/>
      <c r="G113" s="1067"/>
      <c r="H113" s="1056"/>
    </row>
    <row r="114" spans="1:8">
      <c r="A114" s="1049">
        <f t="shared" si="7"/>
        <v>95</v>
      </c>
      <c r="B114" s="1066"/>
      <c r="C114" s="1066"/>
      <c r="D114" s="1067"/>
      <c r="E114" s="1066"/>
      <c r="F114" s="1066"/>
      <c r="G114" s="1067"/>
      <c r="H114" s="1056"/>
    </row>
    <row r="115" spans="1:8">
      <c r="A115" s="1049">
        <f t="shared" si="7"/>
        <v>96</v>
      </c>
      <c r="B115" s="1066"/>
      <c r="C115" s="1066"/>
      <c r="D115" s="1067"/>
      <c r="E115" s="1066"/>
      <c r="F115" s="1066"/>
      <c r="G115" s="1067"/>
      <c r="H115" s="1056"/>
    </row>
    <row r="116" spans="1:8">
      <c r="A116" s="1049">
        <f t="shared" si="7"/>
        <v>97</v>
      </c>
      <c r="B116" s="1066"/>
      <c r="C116" s="1066"/>
      <c r="D116" s="1067"/>
      <c r="E116" s="1066"/>
      <c r="F116" s="1066"/>
      <c r="G116" s="1067"/>
      <c r="H116" s="1056"/>
    </row>
    <row r="117" spans="1:8">
      <c r="A117" s="1049">
        <f t="shared" si="7"/>
        <v>98</v>
      </c>
      <c r="B117" s="1066"/>
      <c r="C117" s="1066"/>
      <c r="D117" s="1067"/>
      <c r="E117" s="1066"/>
      <c r="F117" s="1066"/>
      <c r="G117" s="1067"/>
      <c r="H117" s="1056"/>
    </row>
    <row r="118" spans="1:8">
      <c r="A118" s="1049">
        <f t="shared" si="7"/>
        <v>99</v>
      </c>
      <c r="B118" s="1066"/>
      <c r="C118" s="1066"/>
      <c r="D118" s="1067"/>
      <c r="E118" s="1066"/>
      <c r="F118" s="1066"/>
      <c r="G118" s="1067"/>
      <c r="H118" s="1056"/>
    </row>
    <row r="119" spans="1:8" ht="13" thickBot="1">
      <c r="A119" s="1049">
        <f>A118+1</f>
        <v>100</v>
      </c>
      <c r="B119" s="1068" t="s">
        <v>904</v>
      </c>
      <c r="C119" s="954">
        <f>SUM(C101:C118)</f>
        <v>0</v>
      </c>
      <c r="D119" s="1094"/>
      <c r="E119" s="1068" t="s">
        <v>905</v>
      </c>
      <c r="F119" s="954">
        <f>SUM(F101:F118)</f>
        <v>0</v>
      </c>
      <c r="G119" s="1094"/>
      <c r="H119" s="1059">
        <f>AVERAGE(C119,F119)</f>
        <v>0</v>
      </c>
    </row>
    <row r="120" spans="1:8" ht="16" thickTop="1">
      <c r="A120" s="1049"/>
      <c r="B120" s="1067"/>
      <c r="C120">
        <v>0</v>
      </c>
      <c r="D120" s="1067"/>
      <c r="E120" s="1067"/>
      <c r="F120">
        <v>0</v>
      </c>
      <c r="G120" s="1067"/>
      <c r="H120" s="1067"/>
    </row>
    <row r="121" spans="1:8" ht="13">
      <c r="A121" s="1049">
        <f>A119+1</f>
        <v>101</v>
      </c>
      <c r="B121" s="1069" t="s">
        <v>906</v>
      </c>
      <c r="C121" s="1067"/>
      <c r="D121" s="1067"/>
      <c r="E121" s="1067"/>
      <c r="F121" s="1067"/>
      <c r="G121" s="1067"/>
      <c r="H121" s="1067"/>
    </row>
    <row r="122" spans="1:8">
      <c r="A122" s="1049"/>
      <c r="B122" s="1057"/>
      <c r="C122" s="1057"/>
      <c r="D122" s="1050"/>
      <c r="E122" s="1057"/>
      <c r="F122" s="1057"/>
      <c r="G122" s="1050"/>
      <c r="H122" s="1056"/>
    </row>
    <row r="123" spans="1:8">
      <c r="A123" s="1049">
        <f>A121+1</f>
        <v>102</v>
      </c>
      <c r="B123" s="1061"/>
      <c r="C123" s="1065"/>
      <c r="D123" s="1050"/>
      <c r="E123" s="1061"/>
      <c r="F123" s="1065"/>
      <c r="G123" s="1050"/>
      <c r="H123" s="1056" t="e">
        <f t="shared" ref="H123" si="8">AVERAGE(C123,F123)</f>
        <v>#DIV/0!</v>
      </c>
    </row>
    <row r="124" spans="1:8">
      <c r="A124" s="1049">
        <f t="shared" ref="A124:A137" si="9">A123+1</f>
        <v>103</v>
      </c>
      <c r="B124" s="1055"/>
      <c r="C124" s="1065"/>
      <c r="D124" s="1050"/>
      <c r="E124" s="1055"/>
      <c r="F124" s="1065"/>
      <c r="G124" s="1050"/>
      <c r="H124" s="1056"/>
    </row>
    <row r="125" spans="1:8">
      <c r="A125" s="1049">
        <f t="shared" si="9"/>
        <v>104</v>
      </c>
      <c r="B125" s="1055"/>
      <c r="C125" s="1065"/>
      <c r="D125" s="1050"/>
      <c r="E125" s="1055"/>
      <c r="F125" s="1065"/>
      <c r="G125" s="1050"/>
      <c r="H125" s="1056"/>
    </row>
    <row r="126" spans="1:8">
      <c r="A126" s="1049">
        <f t="shared" si="9"/>
        <v>105</v>
      </c>
      <c r="B126" s="1061"/>
      <c r="C126" s="1065"/>
      <c r="D126" s="1050"/>
      <c r="E126" s="1070"/>
      <c r="F126" s="1065"/>
      <c r="G126" s="1050"/>
      <c r="H126" s="1056"/>
    </row>
    <row r="127" spans="1:8">
      <c r="A127" s="1049">
        <f t="shared" si="9"/>
        <v>106</v>
      </c>
      <c r="B127" s="1061"/>
      <c r="C127" s="1061"/>
      <c r="D127" s="1050"/>
      <c r="E127" s="1061"/>
      <c r="F127" s="1061"/>
      <c r="G127" s="1050"/>
      <c r="H127" s="1056"/>
    </row>
    <row r="128" spans="1:8">
      <c r="A128" s="1049">
        <f t="shared" si="9"/>
        <v>107</v>
      </c>
      <c r="B128" s="1066"/>
      <c r="C128" s="1066"/>
      <c r="D128" s="1067"/>
      <c r="E128" s="1066"/>
      <c r="F128" s="1066"/>
      <c r="G128" s="1067"/>
      <c r="H128" s="1056"/>
    </row>
    <row r="129" spans="1:8">
      <c r="A129" s="1049">
        <f t="shared" si="9"/>
        <v>108</v>
      </c>
      <c r="B129" s="1066"/>
      <c r="C129" s="1066"/>
      <c r="D129" s="1067"/>
      <c r="E129" s="1066"/>
      <c r="F129" s="1066"/>
      <c r="G129" s="1067"/>
      <c r="H129" s="1056"/>
    </row>
    <row r="130" spans="1:8">
      <c r="A130" s="1049">
        <f t="shared" si="9"/>
        <v>109</v>
      </c>
      <c r="B130" s="1066"/>
      <c r="C130" s="1066"/>
      <c r="D130" s="1067"/>
      <c r="E130" s="1066"/>
      <c r="F130" s="1066"/>
      <c r="G130" s="1067"/>
      <c r="H130" s="1056"/>
    </row>
    <row r="131" spans="1:8">
      <c r="A131" s="1049">
        <f t="shared" si="9"/>
        <v>110</v>
      </c>
      <c r="B131" s="1066"/>
      <c r="C131" s="1066"/>
      <c r="D131" s="1067"/>
      <c r="E131" s="1066"/>
      <c r="F131" s="1066"/>
      <c r="G131" s="1067"/>
      <c r="H131" s="1056"/>
    </row>
    <row r="132" spans="1:8">
      <c r="A132" s="1049">
        <f t="shared" si="9"/>
        <v>111</v>
      </c>
      <c r="B132" s="1066"/>
      <c r="C132" s="1066"/>
      <c r="D132" s="1067"/>
      <c r="E132" s="1066"/>
      <c r="F132" s="1066"/>
      <c r="G132" s="1067"/>
      <c r="H132" s="1056"/>
    </row>
    <row r="133" spans="1:8" ht="13">
      <c r="A133" s="1049">
        <f t="shared" si="9"/>
        <v>112</v>
      </c>
      <c r="B133" s="1071"/>
      <c r="C133" s="1066"/>
      <c r="D133" s="1067"/>
      <c r="E133" s="1071"/>
      <c r="F133" s="1066"/>
      <c r="G133" s="1067"/>
      <c r="H133" s="1056"/>
    </row>
    <row r="134" spans="1:8">
      <c r="A134" s="1049">
        <f t="shared" si="9"/>
        <v>113</v>
      </c>
      <c r="B134" s="1066"/>
      <c r="C134" s="1066"/>
      <c r="D134" s="1067"/>
      <c r="E134" s="1066"/>
      <c r="F134" s="1066"/>
      <c r="G134" s="1067"/>
      <c r="H134" s="1056"/>
    </row>
    <row r="135" spans="1:8">
      <c r="A135" s="1049">
        <f t="shared" si="9"/>
        <v>114</v>
      </c>
      <c r="B135" s="1066"/>
      <c r="C135" s="1066"/>
      <c r="D135" s="1067"/>
      <c r="E135" s="1066"/>
      <c r="F135" s="1066"/>
      <c r="G135" s="1067"/>
      <c r="H135" s="1056"/>
    </row>
    <row r="136" spans="1:8">
      <c r="A136" s="1049">
        <f t="shared" si="9"/>
        <v>115</v>
      </c>
      <c r="B136" s="1066"/>
      <c r="C136" s="1066"/>
      <c r="D136" s="1067"/>
      <c r="E136" s="1066"/>
      <c r="F136" s="1066"/>
      <c r="G136" s="1067"/>
      <c r="H136" s="1056"/>
    </row>
    <row r="137" spans="1:8">
      <c r="A137" s="1049">
        <f t="shared" si="9"/>
        <v>116</v>
      </c>
      <c r="B137" s="1066"/>
      <c r="C137" s="1066"/>
      <c r="D137" s="1067"/>
      <c r="E137" s="1066"/>
      <c r="F137" s="1066"/>
      <c r="G137" s="1067"/>
      <c r="H137" s="1056"/>
    </row>
    <row r="138" spans="1:8" ht="13" thickBot="1">
      <c r="A138" s="1049">
        <f>A137+1</f>
        <v>117</v>
      </c>
      <c r="B138" s="1067"/>
      <c r="C138" s="954">
        <f>SUM(C123:C137)</f>
        <v>0</v>
      </c>
      <c r="D138" s="1067"/>
      <c r="E138" s="1067"/>
      <c r="F138" s="954">
        <f>SUM(F123:F137)</f>
        <v>0</v>
      </c>
      <c r="G138" s="1067"/>
      <c r="H138" s="1059">
        <f>AVERAGE(C138,F138)</f>
        <v>0</v>
      </c>
    </row>
    <row r="139" spans="1:8" ht="13" thickTop="1">
      <c r="A139" s="1049"/>
      <c r="B139" s="1067"/>
      <c r="C139" s="1067"/>
      <c r="D139" s="1067"/>
      <c r="E139" s="1067"/>
      <c r="F139" s="1067"/>
      <c r="G139" s="1067"/>
      <c r="H139" s="1072"/>
    </row>
    <row r="140" spans="1:8">
      <c r="A140" s="1049">
        <f>A138+1</f>
        <v>118</v>
      </c>
      <c r="B140" s="1068" t="s">
        <v>907</v>
      </c>
      <c r="C140" s="1073">
        <f>C138*0.343521539</f>
        <v>0</v>
      </c>
      <c r="D140" s="1067"/>
      <c r="E140" s="1068" t="s">
        <v>907</v>
      </c>
      <c r="F140" s="1073">
        <f>F138*0.343521539</f>
        <v>0</v>
      </c>
      <c r="G140" s="1067"/>
      <c r="H140" s="1056">
        <f>AVERAGE(C140,F140)</f>
        <v>0</v>
      </c>
    </row>
    <row r="141" spans="1:8">
      <c r="A141" s="1049"/>
      <c r="B141" s="1067"/>
      <c r="C141" s="1067"/>
      <c r="D141" s="1067"/>
      <c r="E141" s="1067"/>
      <c r="F141" s="1067"/>
      <c r="G141" s="1067"/>
      <c r="H141" s="1072"/>
    </row>
    <row r="142" spans="1:8" ht="13" thickBot="1">
      <c r="A142" s="1049">
        <f>A140+1</f>
        <v>119</v>
      </c>
      <c r="B142" s="1068" t="s">
        <v>908</v>
      </c>
      <c r="C142" s="1074">
        <f>C138+C140</f>
        <v>0</v>
      </c>
      <c r="D142" s="1067"/>
      <c r="E142" s="1068" t="s">
        <v>909</v>
      </c>
      <c r="F142" s="1074">
        <f>F138+F140</f>
        <v>0</v>
      </c>
      <c r="G142" s="1067"/>
      <c r="H142" s="1059">
        <f>AVERAGE(C142,F142)</f>
        <v>0</v>
      </c>
    </row>
    <row r="143" spans="1:8" ht="13" thickTop="1">
      <c r="A143" s="1049"/>
      <c r="B143" s="1067"/>
      <c r="C143" s="1067"/>
      <c r="D143" s="1067"/>
      <c r="E143" s="1067"/>
      <c r="F143" s="1067"/>
      <c r="G143" s="1067"/>
      <c r="H143" s="1067"/>
    </row>
    <row r="144" spans="1:8">
      <c r="A144" s="1049"/>
      <c r="B144" s="1067"/>
      <c r="C144" s="1067"/>
      <c r="D144" s="1067"/>
      <c r="E144" s="1067"/>
      <c r="F144" s="1067"/>
      <c r="G144" s="1067"/>
      <c r="H144" s="1067"/>
    </row>
    <row r="145" spans="1:8">
      <c r="A145" s="1049"/>
      <c r="B145" s="1067"/>
      <c r="C145" s="1067"/>
      <c r="D145" s="1067"/>
      <c r="E145" s="1067"/>
      <c r="F145" s="1067"/>
      <c r="G145" s="1067"/>
      <c r="H145" s="1067"/>
    </row>
    <row r="146" spans="1:8">
      <c r="A146" s="1049"/>
      <c r="B146" s="1067"/>
      <c r="C146" s="1072"/>
      <c r="D146" s="1067"/>
      <c r="E146" s="1067"/>
      <c r="F146" s="1072"/>
      <c r="G146" s="1067"/>
      <c r="H146" s="1067"/>
    </row>
    <row r="147" spans="1:8">
      <c r="B147" s="917" t="s">
        <v>910</v>
      </c>
    </row>
  </sheetData>
  <mergeCells count="9">
    <mergeCell ref="B98:C98"/>
    <mergeCell ref="E98:F98"/>
    <mergeCell ref="A1:H1"/>
    <mergeCell ref="A2:H2"/>
    <mergeCell ref="A3:H3"/>
    <mergeCell ref="B6:C6"/>
    <mergeCell ref="E6:F6"/>
    <mergeCell ref="B7:C7"/>
    <mergeCell ref="E7:F7"/>
  </mergeCells>
  <pageMargins left="0.17" right="0.2" top="0.38" bottom="0.28999999999999998" header="0.3" footer="0.21"/>
  <pageSetup scale="60" fitToHeight="2" orientation="landscape" cellComments="asDisplayed" r:id="rId1"/>
  <rowBreaks count="1" manualBreakCount="1">
    <brk id="94"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129"/>
  <sheetViews>
    <sheetView view="pageBreakPreview" zoomScale="80" zoomScaleNormal="80" zoomScaleSheetLayoutView="80" workbookViewId="0">
      <selection activeCell="A4" sqref="A4"/>
    </sheetView>
  </sheetViews>
  <sheetFormatPr defaultColWidth="7.4609375" defaultRowHeight="12.75" customHeight="1"/>
  <cols>
    <col min="1" max="1" width="5" style="955" customWidth="1"/>
    <col min="2" max="2" width="24.07421875" style="955" customWidth="1"/>
    <col min="3" max="3" width="9.84375" style="955" customWidth="1"/>
    <col min="4" max="4" width="10.53515625" style="955" customWidth="1"/>
    <col min="5" max="5" width="10.07421875" style="955" customWidth="1"/>
    <col min="6" max="6" width="7.4609375" style="955" customWidth="1"/>
    <col min="7" max="7" width="1.84375" style="955" customWidth="1"/>
    <col min="8" max="8" width="17.4609375" style="955" customWidth="1"/>
    <col min="9" max="9" width="10.84375" style="955" customWidth="1"/>
    <col min="10" max="10" width="13.84375" style="955" customWidth="1"/>
    <col min="11" max="11" width="8.69140625" style="955" customWidth="1"/>
    <col min="12" max="12" width="12.07421875" style="955" bestFit="1" customWidth="1"/>
    <col min="13" max="16384" width="7.4609375" style="955"/>
  </cols>
  <sheetData>
    <row r="1" spans="1:11" ht="20">
      <c r="A1" s="1242" t="s">
        <v>955</v>
      </c>
      <c r="B1" s="1242"/>
      <c r="C1" s="1242"/>
      <c r="D1" s="1242"/>
      <c r="E1" s="1242"/>
      <c r="F1" s="1242"/>
      <c r="G1" s="1242"/>
      <c r="H1" s="1242"/>
      <c r="I1" s="1242"/>
      <c r="J1" s="1242"/>
      <c r="K1" s="1242"/>
    </row>
    <row r="2" spans="1:11" ht="20">
      <c r="A2" s="1242" t="str">
        <f>'Attachment H-26'!D5</f>
        <v>Transource West Virginia, LLC</v>
      </c>
      <c r="B2" s="1242"/>
      <c r="C2" s="1242"/>
      <c r="D2" s="1242"/>
      <c r="E2" s="1242"/>
      <c r="F2" s="1242"/>
      <c r="G2" s="1242"/>
      <c r="H2" s="1242"/>
      <c r="I2" s="1242"/>
      <c r="J2" s="1242"/>
      <c r="K2" s="1242"/>
    </row>
    <row r="3" spans="1:11" ht="20">
      <c r="A3" s="1242" t="s">
        <v>1067</v>
      </c>
      <c r="B3" s="1242"/>
      <c r="C3" s="1242"/>
      <c r="D3" s="1242"/>
      <c r="E3" s="1242"/>
      <c r="F3" s="1242"/>
      <c r="G3" s="1242"/>
      <c r="H3" s="1242"/>
      <c r="I3" s="1242"/>
      <c r="J3" s="1242"/>
      <c r="K3" s="1242"/>
    </row>
    <row r="4" spans="1:11" ht="20">
      <c r="A4" s="951"/>
      <c r="B4" s="875"/>
      <c r="C4" s="1050"/>
      <c r="J4" s="956" t="s">
        <v>678</v>
      </c>
    </row>
    <row r="5" spans="1:11" s="957" customFormat="1" ht="15.5">
      <c r="B5" s="1076" t="s">
        <v>911</v>
      </c>
      <c r="C5" s="1077"/>
      <c r="D5" s="1077"/>
    </row>
    <row r="7" spans="1:11" ht="12.5">
      <c r="A7" s="958" t="s">
        <v>8</v>
      </c>
    </row>
    <row r="8" spans="1:11" ht="13">
      <c r="A8" s="1049" t="s">
        <v>10</v>
      </c>
      <c r="E8" s="1067"/>
      <c r="F8" s="1067"/>
      <c r="G8" s="1067"/>
      <c r="H8" s="1078"/>
      <c r="I8" s="1078"/>
      <c r="J8" s="1078"/>
      <c r="K8" s="1067"/>
    </row>
    <row r="9" spans="1:11" ht="13">
      <c r="A9" s="1049">
        <v>1</v>
      </c>
      <c r="B9" s="1248" t="s">
        <v>912</v>
      </c>
      <c r="C9" s="1249"/>
      <c r="D9" s="1249"/>
      <c r="E9" s="1249"/>
      <c r="F9" s="1250"/>
      <c r="G9" s="1079"/>
      <c r="H9" s="1251" t="s">
        <v>913</v>
      </c>
      <c r="I9" s="1252"/>
      <c r="J9" s="1253"/>
      <c r="K9" s="1067"/>
    </row>
    <row r="10" spans="1:11" ht="13">
      <c r="A10" s="1049">
        <f>A9+1</f>
        <v>2</v>
      </c>
      <c r="B10" s="1080" t="s">
        <v>62</v>
      </c>
      <c r="C10" s="1080" t="s">
        <v>63</v>
      </c>
      <c r="D10" s="1080" t="s">
        <v>64</v>
      </c>
      <c r="E10" s="1080" t="s">
        <v>65</v>
      </c>
      <c r="F10" s="1080" t="s">
        <v>66</v>
      </c>
      <c r="G10" s="1079"/>
      <c r="H10" s="1080" t="s">
        <v>67</v>
      </c>
      <c r="I10" s="1080" t="s">
        <v>68</v>
      </c>
      <c r="J10" s="1080" t="s">
        <v>69</v>
      </c>
      <c r="K10" s="1067"/>
    </row>
    <row r="11" spans="1:11" ht="116.5" customHeight="1">
      <c r="A11" s="1049">
        <f>A10+1</f>
        <v>3</v>
      </c>
      <c r="B11" s="1081" t="s">
        <v>166</v>
      </c>
      <c r="C11" s="1081" t="s">
        <v>914</v>
      </c>
      <c r="D11" s="1081" t="s">
        <v>915</v>
      </c>
      <c r="E11" s="1081" t="s">
        <v>916</v>
      </c>
      <c r="F11" s="1081" t="s">
        <v>917</v>
      </c>
      <c r="G11" s="1082"/>
      <c r="H11" s="1081" t="s">
        <v>918</v>
      </c>
      <c r="I11" s="1081" t="s">
        <v>919</v>
      </c>
      <c r="J11" s="1081" t="s">
        <v>920</v>
      </c>
      <c r="K11" s="1067"/>
    </row>
    <row r="12" spans="1:11" ht="12.5">
      <c r="A12" s="1049">
        <f>A11+1</f>
        <v>4</v>
      </c>
      <c r="B12" s="1067"/>
      <c r="C12" s="1082"/>
      <c r="D12" s="1082"/>
      <c r="E12" s="1082"/>
      <c r="F12" s="1082"/>
      <c r="G12" s="1082"/>
      <c r="H12" s="959"/>
      <c r="I12" s="1082"/>
      <c r="J12" s="1082"/>
      <c r="K12" s="1067"/>
    </row>
    <row r="13" spans="1:11" ht="13">
      <c r="A13" s="1049">
        <f>A12+1</f>
        <v>5</v>
      </c>
      <c r="B13" s="1083" t="s">
        <v>921</v>
      </c>
      <c r="C13" s="1084"/>
      <c r="D13" s="960"/>
      <c r="E13" s="960"/>
      <c r="F13" s="960"/>
      <c r="G13" s="960"/>
      <c r="H13" s="959"/>
      <c r="I13" s="959"/>
      <c r="J13" s="961">
        <v>0</v>
      </c>
      <c r="K13" s="962"/>
    </row>
    <row r="14" spans="1:11" ht="12.5">
      <c r="A14" s="1049">
        <f t="shared" ref="A14:A26" si="0">A13+1</f>
        <v>6</v>
      </c>
      <c r="B14" s="1084" t="s">
        <v>85</v>
      </c>
      <c r="C14" s="959">
        <v>31</v>
      </c>
      <c r="D14" s="963">
        <f>E14-C14+1</f>
        <v>335</v>
      </c>
      <c r="E14" s="963">
        <f>$C$26</f>
        <v>365</v>
      </c>
      <c r="F14" s="964">
        <f>D14/E14</f>
        <v>0.9178082191780822</v>
      </c>
      <c r="G14" s="960"/>
      <c r="H14" s="961">
        <v>0</v>
      </c>
      <c r="I14" s="959">
        <f>H14*F14</f>
        <v>0</v>
      </c>
      <c r="J14" s="959">
        <f>$J13+$I14</f>
        <v>0</v>
      </c>
      <c r="K14" s="1067"/>
    </row>
    <row r="15" spans="1:11" ht="12.5">
      <c r="A15" s="1049">
        <f t="shared" si="0"/>
        <v>7</v>
      </c>
      <c r="B15" s="1084" t="s">
        <v>84</v>
      </c>
      <c r="C15" s="961">
        <v>28</v>
      </c>
      <c r="D15" s="963">
        <f>D14-C15</f>
        <v>307</v>
      </c>
      <c r="E15" s="963">
        <f t="shared" ref="E15:E25" si="1">$C$26</f>
        <v>365</v>
      </c>
      <c r="F15" s="964">
        <f t="shared" ref="F15:F25" si="2">D15/E15</f>
        <v>0.84109589041095889</v>
      </c>
      <c r="G15" s="960"/>
      <c r="H15" s="961">
        <f>$H$14</f>
        <v>0</v>
      </c>
      <c r="I15" s="959">
        <f t="shared" ref="I15:I25" si="3">H15*F15</f>
        <v>0</v>
      </c>
      <c r="J15" s="959">
        <f t="shared" ref="J15:J25" si="4">$J14+$I15</f>
        <v>0</v>
      </c>
      <c r="K15" s="1067"/>
    </row>
    <row r="16" spans="1:11" ht="12.5">
      <c r="A16" s="1049">
        <f t="shared" si="0"/>
        <v>8</v>
      </c>
      <c r="B16" s="1084" t="s">
        <v>83</v>
      </c>
      <c r="C16" s="959">
        <v>31</v>
      </c>
      <c r="D16" s="963">
        <f t="shared" ref="D16:D25" si="5">D15-C16</f>
        <v>276</v>
      </c>
      <c r="E16" s="963">
        <f t="shared" si="1"/>
        <v>365</v>
      </c>
      <c r="F16" s="964">
        <f t="shared" si="2"/>
        <v>0.75616438356164384</v>
      </c>
      <c r="G16" s="960"/>
      <c r="H16" s="961">
        <f t="shared" ref="H16:H25" si="6">$H$14</f>
        <v>0</v>
      </c>
      <c r="I16" s="959">
        <f t="shared" si="3"/>
        <v>0</v>
      </c>
      <c r="J16" s="959">
        <f t="shared" si="4"/>
        <v>0</v>
      </c>
      <c r="K16" s="1067"/>
    </row>
    <row r="17" spans="1:11" ht="12.5">
      <c r="A17" s="1049">
        <f t="shared" si="0"/>
        <v>9</v>
      </c>
      <c r="B17" s="1084" t="s">
        <v>76</v>
      </c>
      <c r="C17" s="959">
        <v>30</v>
      </c>
      <c r="D17" s="963">
        <f t="shared" si="5"/>
        <v>246</v>
      </c>
      <c r="E17" s="963">
        <f t="shared" si="1"/>
        <v>365</v>
      </c>
      <c r="F17" s="964">
        <f t="shared" si="2"/>
        <v>0.67397260273972603</v>
      </c>
      <c r="G17" s="960"/>
      <c r="H17" s="961">
        <f t="shared" si="6"/>
        <v>0</v>
      </c>
      <c r="I17" s="959">
        <f t="shared" si="3"/>
        <v>0</v>
      </c>
      <c r="J17" s="959">
        <f t="shared" si="4"/>
        <v>0</v>
      </c>
      <c r="K17" s="1067"/>
    </row>
    <row r="18" spans="1:11" ht="12.5">
      <c r="A18" s="1049">
        <f t="shared" si="0"/>
        <v>10</v>
      </c>
      <c r="B18" s="1084" t="s">
        <v>75</v>
      </c>
      <c r="C18" s="959">
        <v>31</v>
      </c>
      <c r="D18" s="963">
        <f t="shared" si="5"/>
        <v>215</v>
      </c>
      <c r="E18" s="963">
        <f t="shared" si="1"/>
        <v>365</v>
      </c>
      <c r="F18" s="964">
        <f t="shared" si="2"/>
        <v>0.58904109589041098</v>
      </c>
      <c r="G18" s="960"/>
      <c r="H18" s="961">
        <f t="shared" si="6"/>
        <v>0</v>
      </c>
      <c r="I18" s="959">
        <f t="shared" si="3"/>
        <v>0</v>
      </c>
      <c r="J18" s="959">
        <f t="shared" si="4"/>
        <v>0</v>
      </c>
      <c r="K18" s="1067"/>
    </row>
    <row r="19" spans="1:11" ht="12.5">
      <c r="A19" s="1049">
        <f t="shared" si="0"/>
        <v>11</v>
      </c>
      <c r="B19" s="1084" t="s">
        <v>95</v>
      </c>
      <c r="C19" s="959">
        <v>30</v>
      </c>
      <c r="D19" s="963">
        <f t="shared" si="5"/>
        <v>185</v>
      </c>
      <c r="E19" s="963">
        <f t="shared" si="1"/>
        <v>365</v>
      </c>
      <c r="F19" s="964">
        <f t="shared" si="2"/>
        <v>0.50684931506849318</v>
      </c>
      <c r="G19" s="960"/>
      <c r="H19" s="961">
        <f t="shared" si="6"/>
        <v>0</v>
      </c>
      <c r="I19" s="959">
        <f t="shared" si="3"/>
        <v>0</v>
      </c>
      <c r="J19" s="959">
        <f t="shared" si="4"/>
        <v>0</v>
      </c>
      <c r="K19" s="1067"/>
    </row>
    <row r="20" spans="1:11" ht="12.5">
      <c r="A20" s="1049">
        <f t="shared" si="0"/>
        <v>12</v>
      </c>
      <c r="B20" s="1084" t="s">
        <v>82</v>
      </c>
      <c r="C20" s="959">
        <v>31</v>
      </c>
      <c r="D20" s="963">
        <f t="shared" si="5"/>
        <v>154</v>
      </c>
      <c r="E20" s="963">
        <f t="shared" si="1"/>
        <v>365</v>
      </c>
      <c r="F20" s="964">
        <f t="shared" si="2"/>
        <v>0.42191780821917807</v>
      </c>
      <c r="G20" s="960"/>
      <c r="H20" s="961">
        <f t="shared" si="6"/>
        <v>0</v>
      </c>
      <c r="I20" s="959">
        <f t="shared" si="3"/>
        <v>0</v>
      </c>
      <c r="J20" s="959">
        <f t="shared" si="4"/>
        <v>0</v>
      </c>
      <c r="K20" s="1067"/>
    </row>
    <row r="21" spans="1:11" ht="12.5">
      <c r="A21" s="1049">
        <f t="shared" si="0"/>
        <v>13</v>
      </c>
      <c r="B21" s="1084" t="s">
        <v>81</v>
      </c>
      <c r="C21" s="959">
        <v>31</v>
      </c>
      <c r="D21" s="963">
        <f t="shared" si="5"/>
        <v>123</v>
      </c>
      <c r="E21" s="963">
        <f t="shared" si="1"/>
        <v>365</v>
      </c>
      <c r="F21" s="964">
        <f t="shared" si="2"/>
        <v>0.33698630136986302</v>
      </c>
      <c r="G21" s="960"/>
      <c r="H21" s="961">
        <f t="shared" si="6"/>
        <v>0</v>
      </c>
      <c r="I21" s="959">
        <f t="shared" si="3"/>
        <v>0</v>
      </c>
      <c r="J21" s="959">
        <f t="shared" si="4"/>
        <v>0</v>
      </c>
      <c r="K21" s="1067"/>
    </row>
    <row r="22" spans="1:11" ht="12.5">
      <c r="A22" s="1049">
        <f t="shared" si="0"/>
        <v>14</v>
      </c>
      <c r="B22" s="1084" t="s">
        <v>80</v>
      </c>
      <c r="C22" s="959">
        <v>30</v>
      </c>
      <c r="D22" s="963">
        <f t="shared" si="5"/>
        <v>93</v>
      </c>
      <c r="E22" s="963">
        <f t="shared" si="1"/>
        <v>365</v>
      </c>
      <c r="F22" s="964">
        <f t="shared" si="2"/>
        <v>0.25479452054794521</v>
      </c>
      <c r="G22" s="960"/>
      <c r="H22" s="961">
        <f t="shared" si="6"/>
        <v>0</v>
      </c>
      <c r="I22" s="959">
        <f t="shared" si="3"/>
        <v>0</v>
      </c>
      <c r="J22" s="959">
        <f t="shared" si="4"/>
        <v>0</v>
      </c>
      <c r="K22" s="1067"/>
    </row>
    <row r="23" spans="1:11" ht="12.5">
      <c r="A23" s="1049">
        <f t="shared" si="0"/>
        <v>15</v>
      </c>
      <c r="B23" s="1084" t="s">
        <v>86</v>
      </c>
      <c r="C23" s="959">
        <v>31</v>
      </c>
      <c r="D23" s="963">
        <f t="shared" si="5"/>
        <v>62</v>
      </c>
      <c r="E23" s="963">
        <f t="shared" si="1"/>
        <v>365</v>
      </c>
      <c r="F23" s="964">
        <f t="shared" si="2"/>
        <v>0.16986301369863013</v>
      </c>
      <c r="G23" s="960"/>
      <c r="H23" s="961">
        <f t="shared" si="6"/>
        <v>0</v>
      </c>
      <c r="I23" s="959">
        <f t="shared" si="3"/>
        <v>0</v>
      </c>
      <c r="J23" s="959">
        <f t="shared" si="4"/>
        <v>0</v>
      </c>
      <c r="K23" s="1067"/>
    </row>
    <row r="24" spans="1:11" ht="12.5">
      <c r="A24" s="1049">
        <f t="shared" si="0"/>
        <v>16</v>
      </c>
      <c r="B24" s="1084" t="s">
        <v>79</v>
      </c>
      <c r="C24" s="959">
        <v>30</v>
      </c>
      <c r="D24" s="963">
        <f t="shared" si="5"/>
        <v>32</v>
      </c>
      <c r="E24" s="963">
        <f t="shared" si="1"/>
        <v>365</v>
      </c>
      <c r="F24" s="964">
        <f t="shared" si="2"/>
        <v>8.7671232876712329E-2</v>
      </c>
      <c r="G24" s="960"/>
      <c r="H24" s="961">
        <f t="shared" si="6"/>
        <v>0</v>
      </c>
      <c r="I24" s="959">
        <f t="shared" si="3"/>
        <v>0</v>
      </c>
      <c r="J24" s="959">
        <f t="shared" si="4"/>
        <v>0</v>
      </c>
      <c r="K24" s="1067"/>
    </row>
    <row r="25" spans="1:11" ht="12.5">
      <c r="A25" s="1049">
        <f t="shared" si="0"/>
        <v>17</v>
      </c>
      <c r="B25" s="1084" t="s">
        <v>78</v>
      </c>
      <c r="C25" s="959">
        <v>31</v>
      </c>
      <c r="D25" s="963">
        <f t="shared" si="5"/>
        <v>1</v>
      </c>
      <c r="E25" s="963">
        <f t="shared" si="1"/>
        <v>365</v>
      </c>
      <c r="F25" s="964">
        <f t="shared" si="2"/>
        <v>2.7397260273972603E-3</v>
      </c>
      <c r="G25" s="960"/>
      <c r="H25" s="961">
        <f t="shared" si="6"/>
        <v>0</v>
      </c>
      <c r="I25" s="959">
        <f t="shared" si="3"/>
        <v>0</v>
      </c>
      <c r="J25" s="959">
        <f t="shared" si="4"/>
        <v>0</v>
      </c>
      <c r="K25" s="1067"/>
    </row>
    <row r="26" spans="1:11" ht="12.5">
      <c r="A26" s="1049">
        <f t="shared" si="0"/>
        <v>18</v>
      </c>
      <c r="B26" s="1085" t="s">
        <v>13</v>
      </c>
      <c r="C26" s="1086">
        <f>SUM(C14:C25)</f>
        <v>365</v>
      </c>
      <c r="D26" s="1086">
        <f>SUM(D14:D25)</f>
        <v>2029</v>
      </c>
      <c r="E26" s="1086">
        <f>SUM(E14:E25)</f>
        <v>4380</v>
      </c>
      <c r="F26" s="1087"/>
      <c r="G26" s="960"/>
      <c r="H26" s="965">
        <f>SUM(H14:H25)</f>
        <v>0</v>
      </c>
      <c r="I26" s="965">
        <f>SUM(I14:I25)</f>
        <v>0</v>
      </c>
      <c r="J26" s="1087"/>
      <c r="K26" s="1067"/>
    </row>
    <row r="27" spans="1:11" ht="12.5">
      <c r="A27" s="1049"/>
      <c r="B27" s="1088"/>
      <c r="C27" s="1089"/>
      <c r="D27" s="1090"/>
      <c r="E27" s="1090"/>
      <c r="F27" s="1091"/>
      <c r="G27" s="960"/>
      <c r="H27" s="959"/>
      <c r="I27" s="959"/>
      <c r="J27" s="1091"/>
      <c r="K27" s="1067"/>
    </row>
    <row r="28" spans="1:11" ht="12.5">
      <c r="A28" s="1049"/>
      <c r="B28" s="1092"/>
      <c r="C28" s="1088"/>
      <c r="D28" s="1090"/>
      <c r="E28" s="966"/>
      <c r="F28" s="1091"/>
      <c r="G28" s="960"/>
      <c r="H28" s="959"/>
      <c r="I28" s="959"/>
      <c r="J28" s="1091"/>
      <c r="K28" s="1067"/>
    </row>
    <row r="29" spans="1:11" ht="12.5">
      <c r="A29" s="1049"/>
      <c r="B29" s="1088"/>
      <c r="C29" s="1088"/>
      <c r="D29" s="1090"/>
      <c r="E29" s="967"/>
      <c r="F29" s="1091"/>
      <c r="G29" s="960"/>
      <c r="H29" s="959"/>
      <c r="I29" s="959"/>
      <c r="J29" s="1091"/>
      <c r="K29" s="1067"/>
    </row>
    <row r="30" spans="1:11" ht="12.5">
      <c r="A30" s="1049"/>
      <c r="B30" s="1088"/>
      <c r="C30" s="1088"/>
      <c r="D30" s="1088"/>
      <c r="E30" s="1088"/>
      <c r="F30" s="1091"/>
      <c r="G30" s="1091"/>
      <c r="H30" s="1050"/>
      <c r="I30" s="1093"/>
      <c r="J30" s="1091"/>
      <c r="K30" s="1067"/>
    </row>
    <row r="31" spans="1:11" ht="12.5">
      <c r="A31" s="1049">
        <f>A26+1</f>
        <v>19</v>
      </c>
      <c r="B31" s="1067" t="s">
        <v>922</v>
      </c>
      <c r="C31" s="1067"/>
      <c r="D31" s="1067"/>
      <c r="E31" s="1067"/>
      <c r="F31" s="1094" t="str">
        <f>"(Line "&amp;A25&amp;", &amp; Col H)"</f>
        <v>(Line 17, &amp; Col H)</v>
      </c>
      <c r="G31" s="1091"/>
      <c r="H31" s="1067"/>
      <c r="I31" s="1091"/>
      <c r="J31" s="968">
        <f>J25</f>
        <v>0</v>
      </c>
      <c r="K31" s="1067"/>
    </row>
    <row r="32" spans="1:11" ht="13.75" customHeight="1">
      <c r="A32" s="1049">
        <f>A31+1</f>
        <v>20</v>
      </c>
      <c r="B32" s="1067" t="s">
        <v>923</v>
      </c>
      <c r="C32" s="1067"/>
      <c r="D32" s="1067"/>
      <c r="E32" s="1067"/>
      <c r="F32" s="1067"/>
      <c r="G32" s="1067"/>
      <c r="H32" s="1067"/>
      <c r="I32" s="1067"/>
      <c r="J32" s="1095">
        <f>J13</f>
        <v>0</v>
      </c>
      <c r="K32" s="1067"/>
    </row>
    <row r="33" spans="1:11" ht="13.75" customHeight="1" thickBot="1">
      <c r="A33" s="1049">
        <f>A32+1</f>
        <v>21</v>
      </c>
      <c r="B33" s="1067" t="s">
        <v>924</v>
      </c>
      <c r="C33" s="1067"/>
      <c r="D33" s="1067"/>
      <c r="E33" s="1067"/>
      <c r="F33" s="1094" t="str">
        <f>"(Line "&amp;A31&amp;" minus Line "&amp;A32&amp;")"</f>
        <v>(Line 19 minus Line 20)</v>
      </c>
      <c r="G33" s="1094"/>
      <c r="H33" s="1094"/>
      <c r="I33" s="1067"/>
      <c r="J33" s="1096">
        <f>J31-J32</f>
        <v>0</v>
      </c>
      <c r="K33" s="1067"/>
    </row>
    <row r="34" spans="1:11" ht="13.75" customHeight="1" thickTop="1">
      <c r="A34" s="1049"/>
      <c r="B34" s="1067"/>
      <c r="C34" s="1067"/>
      <c r="D34" s="1067"/>
      <c r="E34" s="1067"/>
      <c r="F34" s="1094"/>
      <c r="G34" s="1094"/>
      <c r="H34" s="1094"/>
      <c r="I34" s="1067"/>
      <c r="J34" s="1097"/>
      <c r="K34" s="1067"/>
    </row>
    <row r="35" spans="1:11" ht="12.5">
      <c r="A35" s="1049"/>
    </row>
    <row r="36" spans="1:11" s="957" customFormat="1" ht="15.5">
      <c r="A36" s="1098"/>
      <c r="B36" s="1099" t="s">
        <v>925</v>
      </c>
      <c r="C36" s="1077"/>
      <c r="D36" s="1077"/>
      <c r="E36" s="1077"/>
    </row>
    <row r="37" spans="1:11" ht="13">
      <c r="A37" s="1049"/>
      <c r="B37" s="1100"/>
      <c r="C37" s="1067"/>
      <c r="D37" s="1067"/>
      <c r="E37" s="1067"/>
    </row>
    <row r="38" spans="1:11" ht="13">
      <c r="A38" s="958" t="s">
        <v>8</v>
      </c>
      <c r="F38" s="1067"/>
      <c r="G38" s="1067"/>
      <c r="H38" s="1078"/>
      <c r="I38" s="1078"/>
      <c r="J38" s="1078"/>
      <c r="K38" s="1067"/>
    </row>
    <row r="39" spans="1:11" ht="13">
      <c r="A39" s="1049" t="s">
        <v>10</v>
      </c>
      <c r="B39" s="1100"/>
      <c r="C39" s="1067"/>
      <c r="D39" s="1067"/>
      <c r="E39" s="1067"/>
      <c r="F39" s="1067"/>
      <c r="G39" s="1067"/>
      <c r="H39" s="1078"/>
      <c r="I39" s="1078"/>
      <c r="J39" s="1078"/>
      <c r="K39" s="1067"/>
    </row>
    <row r="40" spans="1:11" ht="13">
      <c r="A40" s="1049">
        <f>A33+1</f>
        <v>22</v>
      </c>
      <c r="B40" s="1248" t="s">
        <v>912</v>
      </c>
      <c r="C40" s="1249"/>
      <c r="D40" s="1249"/>
      <c r="E40" s="1249"/>
      <c r="F40" s="1250"/>
      <c r="G40" s="1079"/>
      <c r="H40" s="1251" t="s">
        <v>913</v>
      </c>
      <c r="I40" s="1252"/>
      <c r="J40" s="1253"/>
      <c r="K40" s="1067"/>
    </row>
    <row r="41" spans="1:11" ht="13">
      <c r="A41" s="1049">
        <f>A40+1</f>
        <v>23</v>
      </c>
      <c r="B41" s="1080" t="s">
        <v>62</v>
      </c>
      <c r="C41" s="1080" t="s">
        <v>63</v>
      </c>
      <c r="D41" s="1080" t="s">
        <v>64</v>
      </c>
      <c r="E41" s="1080" t="s">
        <v>65</v>
      </c>
      <c r="F41" s="1080" t="s">
        <v>66</v>
      </c>
      <c r="G41" s="1079"/>
      <c r="H41" s="1080" t="s">
        <v>67</v>
      </c>
      <c r="I41" s="1080" t="s">
        <v>68</v>
      </c>
      <c r="J41" s="1080" t="s">
        <v>69</v>
      </c>
      <c r="K41" s="1067"/>
    </row>
    <row r="42" spans="1:11" ht="116.5" customHeight="1">
      <c r="A42" s="1049">
        <f t="shared" ref="A42:A57" si="7">A41+1</f>
        <v>24</v>
      </c>
      <c r="B42" s="1081" t="s">
        <v>166</v>
      </c>
      <c r="C42" s="1081" t="s">
        <v>914</v>
      </c>
      <c r="D42" s="1081" t="s">
        <v>915</v>
      </c>
      <c r="E42" s="1081" t="s">
        <v>916</v>
      </c>
      <c r="F42" s="1081" t="s">
        <v>917</v>
      </c>
      <c r="G42" s="1082"/>
      <c r="H42" s="1081" t="s">
        <v>918</v>
      </c>
      <c r="I42" s="1081" t="s">
        <v>919</v>
      </c>
      <c r="J42" s="1081" t="s">
        <v>920</v>
      </c>
      <c r="K42" s="1067"/>
    </row>
    <row r="43" spans="1:11" ht="12.5">
      <c r="A43" s="1049">
        <f t="shared" si="7"/>
        <v>25</v>
      </c>
      <c r="B43" s="1067"/>
      <c r="C43" s="1082"/>
      <c r="D43" s="1082"/>
      <c r="E43" s="1082"/>
      <c r="F43" s="1082"/>
      <c r="G43" s="1082"/>
      <c r="H43" s="1082"/>
      <c r="I43" s="1082"/>
      <c r="J43" s="1082"/>
      <c r="K43" s="1067"/>
    </row>
    <row r="44" spans="1:11" ht="13">
      <c r="A44" s="1049">
        <f t="shared" si="7"/>
        <v>26</v>
      </c>
      <c r="B44" s="1083" t="s">
        <v>926</v>
      </c>
      <c r="C44" s="1084"/>
      <c r="D44" s="960"/>
      <c r="E44" s="960"/>
      <c r="F44" s="960"/>
      <c r="G44" s="960"/>
      <c r="H44" s="959"/>
      <c r="I44" s="959"/>
      <c r="J44" s="961"/>
      <c r="K44" s="962"/>
    </row>
    <row r="45" spans="1:11" ht="12.5">
      <c r="A45" s="1049">
        <f t="shared" si="7"/>
        <v>27</v>
      </c>
      <c r="B45" s="1084" t="s">
        <v>85</v>
      </c>
      <c r="C45" s="959">
        <v>31</v>
      </c>
      <c r="D45" s="963">
        <f>E45-C45+1</f>
        <v>335</v>
      </c>
      <c r="E45" s="963">
        <f>$C$26</f>
        <v>365</v>
      </c>
      <c r="F45" s="964">
        <f>D45/E45</f>
        <v>0.9178082191780822</v>
      </c>
      <c r="G45" s="960"/>
      <c r="H45" s="961"/>
      <c r="I45" s="959">
        <f>H45*F45</f>
        <v>0</v>
      </c>
      <c r="J45" s="959">
        <f>$J44+$I45</f>
        <v>0</v>
      </c>
      <c r="K45" s="1067"/>
    </row>
    <row r="46" spans="1:11" ht="12.5">
      <c r="A46" s="1049">
        <f t="shared" si="7"/>
        <v>28</v>
      </c>
      <c r="B46" s="1084" t="s">
        <v>84</v>
      </c>
      <c r="C46" s="961">
        <v>28</v>
      </c>
      <c r="D46" s="963">
        <f>D45-C46</f>
        <v>307</v>
      </c>
      <c r="E46" s="963">
        <f t="shared" ref="E46:E56" si="8">$C$26</f>
        <v>365</v>
      </c>
      <c r="F46" s="964">
        <f t="shared" ref="F46:F56" si="9">D46/E46</f>
        <v>0.84109589041095889</v>
      </c>
      <c r="G46" s="960"/>
      <c r="H46" s="961"/>
      <c r="I46" s="959">
        <f t="shared" ref="I46:I56" si="10">H46*F46</f>
        <v>0</v>
      </c>
      <c r="J46" s="959">
        <f t="shared" ref="J46:J56" si="11">$J45+$I46</f>
        <v>0</v>
      </c>
      <c r="K46" s="1067"/>
    </row>
    <row r="47" spans="1:11" ht="12.5">
      <c r="A47" s="1049">
        <f t="shared" si="7"/>
        <v>29</v>
      </c>
      <c r="B47" s="1084" t="s">
        <v>83</v>
      </c>
      <c r="C47" s="959">
        <v>31</v>
      </c>
      <c r="D47" s="963">
        <f t="shared" ref="D47:D56" si="12">D46-C47</f>
        <v>276</v>
      </c>
      <c r="E47" s="963">
        <f t="shared" si="8"/>
        <v>365</v>
      </c>
      <c r="F47" s="964">
        <f t="shared" si="9"/>
        <v>0.75616438356164384</v>
      </c>
      <c r="G47" s="960"/>
      <c r="H47" s="961"/>
      <c r="I47" s="959">
        <f t="shared" si="10"/>
        <v>0</v>
      </c>
      <c r="J47" s="959">
        <f t="shared" si="11"/>
        <v>0</v>
      </c>
      <c r="K47" s="1067"/>
    </row>
    <row r="48" spans="1:11" ht="12.5">
      <c r="A48" s="1049">
        <f t="shared" si="7"/>
        <v>30</v>
      </c>
      <c r="B48" s="1084" t="s">
        <v>76</v>
      </c>
      <c r="C48" s="959">
        <v>30</v>
      </c>
      <c r="D48" s="963">
        <f t="shared" si="12"/>
        <v>246</v>
      </c>
      <c r="E48" s="963">
        <f t="shared" si="8"/>
        <v>365</v>
      </c>
      <c r="F48" s="964">
        <f t="shared" si="9"/>
        <v>0.67397260273972603</v>
      </c>
      <c r="G48" s="960"/>
      <c r="H48" s="961"/>
      <c r="I48" s="959">
        <f t="shared" si="10"/>
        <v>0</v>
      </c>
      <c r="J48" s="959">
        <f t="shared" si="11"/>
        <v>0</v>
      </c>
      <c r="K48" s="1067"/>
    </row>
    <row r="49" spans="1:11" ht="12.5">
      <c r="A49" s="1049">
        <f t="shared" si="7"/>
        <v>31</v>
      </c>
      <c r="B49" s="1084" t="s">
        <v>75</v>
      </c>
      <c r="C49" s="959">
        <v>31</v>
      </c>
      <c r="D49" s="963">
        <f t="shared" si="12"/>
        <v>215</v>
      </c>
      <c r="E49" s="963">
        <f t="shared" si="8"/>
        <v>365</v>
      </c>
      <c r="F49" s="964">
        <f t="shared" si="9"/>
        <v>0.58904109589041098</v>
      </c>
      <c r="G49" s="960"/>
      <c r="H49" s="961"/>
      <c r="I49" s="959">
        <f t="shared" si="10"/>
        <v>0</v>
      </c>
      <c r="J49" s="959">
        <f t="shared" si="11"/>
        <v>0</v>
      </c>
      <c r="K49" s="1067"/>
    </row>
    <row r="50" spans="1:11" ht="12.5">
      <c r="A50" s="1049">
        <f t="shared" si="7"/>
        <v>32</v>
      </c>
      <c r="B50" s="1084" t="s">
        <v>95</v>
      </c>
      <c r="C50" s="959">
        <v>30</v>
      </c>
      <c r="D50" s="963">
        <f t="shared" si="12"/>
        <v>185</v>
      </c>
      <c r="E50" s="963">
        <f t="shared" si="8"/>
        <v>365</v>
      </c>
      <c r="F50" s="964">
        <f t="shared" si="9"/>
        <v>0.50684931506849318</v>
      </c>
      <c r="G50" s="960"/>
      <c r="H50" s="961"/>
      <c r="I50" s="959">
        <f t="shared" si="10"/>
        <v>0</v>
      </c>
      <c r="J50" s="959">
        <f t="shared" si="11"/>
        <v>0</v>
      </c>
      <c r="K50" s="1067"/>
    </row>
    <row r="51" spans="1:11" ht="12.5">
      <c r="A51" s="1049">
        <f t="shared" si="7"/>
        <v>33</v>
      </c>
      <c r="B51" s="1084" t="s">
        <v>82</v>
      </c>
      <c r="C51" s="959">
        <v>31</v>
      </c>
      <c r="D51" s="963">
        <f t="shared" si="12"/>
        <v>154</v>
      </c>
      <c r="E51" s="963">
        <f t="shared" si="8"/>
        <v>365</v>
      </c>
      <c r="F51" s="964">
        <f t="shared" si="9"/>
        <v>0.42191780821917807</v>
      </c>
      <c r="G51" s="960"/>
      <c r="H51" s="961"/>
      <c r="I51" s="959">
        <f t="shared" si="10"/>
        <v>0</v>
      </c>
      <c r="J51" s="959">
        <f t="shared" si="11"/>
        <v>0</v>
      </c>
      <c r="K51" s="1067"/>
    </row>
    <row r="52" spans="1:11" ht="12.5">
      <c r="A52" s="1049">
        <f t="shared" si="7"/>
        <v>34</v>
      </c>
      <c r="B52" s="1084" t="s">
        <v>81</v>
      </c>
      <c r="C52" s="959">
        <v>31</v>
      </c>
      <c r="D52" s="963">
        <f t="shared" si="12"/>
        <v>123</v>
      </c>
      <c r="E52" s="963">
        <f t="shared" si="8"/>
        <v>365</v>
      </c>
      <c r="F52" s="964">
        <f t="shared" si="9"/>
        <v>0.33698630136986302</v>
      </c>
      <c r="G52" s="960"/>
      <c r="H52" s="961"/>
      <c r="I52" s="959">
        <f t="shared" si="10"/>
        <v>0</v>
      </c>
      <c r="J52" s="959">
        <f t="shared" si="11"/>
        <v>0</v>
      </c>
      <c r="K52" s="1067"/>
    </row>
    <row r="53" spans="1:11" ht="12.5">
      <c r="A53" s="1049">
        <f t="shared" si="7"/>
        <v>35</v>
      </c>
      <c r="B53" s="1084" t="s">
        <v>80</v>
      </c>
      <c r="C53" s="959">
        <v>30</v>
      </c>
      <c r="D53" s="963">
        <f t="shared" si="12"/>
        <v>93</v>
      </c>
      <c r="E53" s="963">
        <f t="shared" si="8"/>
        <v>365</v>
      </c>
      <c r="F53" s="964">
        <f t="shared" si="9"/>
        <v>0.25479452054794521</v>
      </c>
      <c r="G53" s="960"/>
      <c r="H53" s="961"/>
      <c r="I53" s="959">
        <f t="shared" si="10"/>
        <v>0</v>
      </c>
      <c r="J53" s="959">
        <f t="shared" si="11"/>
        <v>0</v>
      </c>
      <c r="K53" s="1067"/>
    </row>
    <row r="54" spans="1:11" ht="12.5">
      <c r="A54" s="1049">
        <f t="shared" si="7"/>
        <v>36</v>
      </c>
      <c r="B54" s="1084" t="s">
        <v>86</v>
      </c>
      <c r="C54" s="959">
        <v>31</v>
      </c>
      <c r="D54" s="963">
        <f t="shared" si="12"/>
        <v>62</v>
      </c>
      <c r="E54" s="963">
        <f t="shared" si="8"/>
        <v>365</v>
      </c>
      <c r="F54" s="964">
        <f t="shared" si="9"/>
        <v>0.16986301369863013</v>
      </c>
      <c r="G54" s="960"/>
      <c r="H54" s="961"/>
      <c r="I54" s="959">
        <f t="shared" si="10"/>
        <v>0</v>
      </c>
      <c r="J54" s="959">
        <f t="shared" si="11"/>
        <v>0</v>
      </c>
      <c r="K54" s="1067"/>
    </row>
    <row r="55" spans="1:11" ht="12.5">
      <c r="A55" s="1049">
        <f t="shared" si="7"/>
        <v>37</v>
      </c>
      <c r="B55" s="1084" t="s">
        <v>79</v>
      </c>
      <c r="C55" s="959">
        <v>30</v>
      </c>
      <c r="D55" s="963">
        <f t="shared" si="12"/>
        <v>32</v>
      </c>
      <c r="E55" s="963">
        <f t="shared" si="8"/>
        <v>365</v>
      </c>
      <c r="F55" s="964">
        <f t="shared" si="9"/>
        <v>8.7671232876712329E-2</v>
      </c>
      <c r="G55" s="960"/>
      <c r="H55" s="961"/>
      <c r="I55" s="959">
        <f t="shared" si="10"/>
        <v>0</v>
      </c>
      <c r="J55" s="959">
        <f t="shared" si="11"/>
        <v>0</v>
      </c>
      <c r="K55" s="1067"/>
    </row>
    <row r="56" spans="1:11" ht="12.5">
      <c r="A56" s="1049">
        <f t="shared" si="7"/>
        <v>38</v>
      </c>
      <c r="B56" s="1084" t="s">
        <v>78</v>
      </c>
      <c r="C56" s="969">
        <v>31</v>
      </c>
      <c r="D56" s="963">
        <f t="shared" si="12"/>
        <v>1</v>
      </c>
      <c r="E56" s="963">
        <f t="shared" si="8"/>
        <v>365</v>
      </c>
      <c r="F56" s="964">
        <f t="shared" si="9"/>
        <v>2.7397260273972603E-3</v>
      </c>
      <c r="G56" s="960"/>
      <c r="H56" s="961"/>
      <c r="I56" s="959">
        <f t="shared" si="10"/>
        <v>0</v>
      </c>
      <c r="J56" s="959">
        <f t="shared" si="11"/>
        <v>0</v>
      </c>
      <c r="K56" s="1067"/>
    </row>
    <row r="57" spans="1:11" ht="12.5">
      <c r="A57" s="1049">
        <f t="shared" si="7"/>
        <v>39</v>
      </c>
      <c r="B57" s="1085" t="s">
        <v>13</v>
      </c>
      <c r="C57" s="1089">
        <f>SUM(C45:C56)</f>
        <v>365</v>
      </c>
      <c r="D57" s="1086">
        <f>SUM(D45:D56)</f>
        <v>2029</v>
      </c>
      <c r="E57" s="1086">
        <f>SUM(E45:E56)</f>
        <v>4380</v>
      </c>
      <c r="F57" s="1087"/>
      <c r="G57" s="960"/>
      <c r="H57" s="965">
        <f>SUM(H45:H56)</f>
        <v>0</v>
      </c>
      <c r="I57" s="965">
        <f>SUM(I45:I56)</f>
        <v>0</v>
      </c>
      <c r="J57" s="1087"/>
      <c r="K57" s="1067"/>
    </row>
    <row r="58" spans="1:11" ht="12.5">
      <c r="A58" s="1049"/>
      <c r="B58" s="1088"/>
      <c r="D58" s="1090"/>
      <c r="E58" s="1090"/>
      <c r="F58" s="1091"/>
      <c r="G58" s="960"/>
      <c r="H58" s="959"/>
      <c r="I58" s="959"/>
      <c r="J58" s="1091"/>
      <c r="K58" s="1067"/>
    </row>
    <row r="59" spans="1:11" ht="12.5">
      <c r="A59" s="1049"/>
      <c r="B59" s="1092"/>
      <c r="C59" s="1088"/>
      <c r="D59" s="1090"/>
      <c r="E59" s="966"/>
      <c r="F59" s="1091"/>
      <c r="G59" s="960"/>
      <c r="H59" s="959"/>
      <c r="I59" s="959"/>
      <c r="J59" s="1091"/>
      <c r="K59" s="1067"/>
    </row>
    <row r="60" spans="1:11" ht="12.5">
      <c r="A60" s="1049"/>
      <c r="B60" s="1088"/>
      <c r="C60" s="1088"/>
      <c r="D60" s="1090"/>
      <c r="E60" s="967"/>
      <c r="F60" s="1091"/>
      <c r="G60" s="960"/>
      <c r="H60" s="959"/>
      <c r="I60" s="959"/>
      <c r="J60" s="1091"/>
      <c r="K60" s="1067"/>
    </row>
    <row r="61" spans="1:11" ht="12.5">
      <c r="A61" s="1049"/>
      <c r="B61" s="1088"/>
      <c r="C61" s="1088"/>
      <c r="D61" s="1088"/>
      <c r="E61" s="1088"/>
      <c r="F61" s="1091"/>
      <c r="G61" s="1091"/>
      <c r="H61" s="1050"/>
      <c r="I61" s="1093"/>
      <c r="J61" s="1091"/>
      <c r="K61" s="1067"/>
    </row>
    <row r="62" spans="1:11" ht="12.5">
      <c r="A62" s="1049">
        <f>A57+1</f>
        <v>40</v>
      </c>
      <c r="B62" s="1067" t="s">
        <v>922</v>
      </c>
      <c r="C62" s="1067"/>
      <c r="D62" s="1067"/>
      <c r="E62" s="1067"/>
      <c r="F62" s="1094" t="str">
        <f>"(Line "&amp;A56&amp;", &amp; Col H)"</f>
        <v>(Line 38, &amp; Col H)</v>
      </c>
      <c r="G62" s="1101"/>
      <c r="H62" s="1094"/>
      <c r="I62" s="1101"/>
      <c r="J62" s="968">
        <f>J56</f>
        <v>0</v>
      </c>
      <c r="K62" s="1094"/>
    </row>
    <row r="63" spans="1:11" ht="12.5">
      <c r="A63" s="1049">
        <f>A62+1</f>
        <v>41</v>
      </c>
      <c r="B63" s="1067" t="s">
        <v>923</v>
      </c>
      <c r="C63" s="1067"/>
      <c r="D63" s="1067"/>
      <c r="E63" s="1067"/>
      <c r="F63" s="1067"/>
      <c r="G63" s="1067"/>
      <c r="H63" s="1067"/>
      <c r="I63" s="1094"/>
      <c r="J63" s="1095"/>
      <c r="K63" s="1094"/>
    </row>
    <row r="64" spans="1:11" ht="12.5">
      <c r="A64" s="1049">
        <f>A63+1</f>
        <v>42</v>
      </c>
      <c r="B64" s="1067" t="s">
        <v>924</v>
      </c>
      <c r="F64" s="1094" t="str">
        <f>"(Line "&amp;A62&amp;" minus Line "&amp;A63&amp;")"</f>
        <v>(Line 40 minus Line 41)</v>
      </c>
      <c r="G64" s="1094"/>
      <c r="H64" s="1094"/>
      <c r="I64" s="1094"/>
      <c r="J64" s="1097">
        <f>J62-J63</f>
        <v>0</v>
      </c>
      <c r="K64" s="970"/>
    </row>
    <row r="65" spans="1:11" ht="12.5">
      <c r="A65" s="1049"/>
      <c r="B65" s="1067"/>
      <c r="F65" s="1094"/>
      <c r="G65" s="1094"/>
      <c r="H65" s="1094"/>
      <c r="I65" s="1094"/>
      <c r="J65" s="1097"/>
      <c r="K65" s="970"/>
    </row>
    <row r="66" spans="1:11" ht="12.5">
      <c r="A66" s="1049"/>
      <c r="B66" s="1067"/>
      <c r="F66" s="1094"/>
      <c r="G66" s="970"/>
      <c r="H66" s="970"/>
      <c r="I66" s="970"/>
      <c r="J66" s="970"/>
      <c r="K66" s="970"/>
    </row>
    <row r="67" spans="1:11" ht="20">
      <c r="A67" s="951"/>
      <c r="B67" s="875"/>
      <c r="C67" s="1050"/>
      <c r="J67" s="956" t="s">
        <v>153</v>
      </c>
      <c r="K67" s="970"/>
    </row>
    <row r="68" spans="1:11" s="957" customFormat="1" ht="15.5">
      <c r="A68" s="1098"/>
      <c r="B68" s="1099" t="s">
        <v>927</v>
      </c>
      <c r="C68" s="1077"/>
      <c r="D68" s="1077"/>
      <c r="F68" s="1102"/>
      <c r="G68" s="971"/>
      <c r="H68" s="971"/>
      <c r="I68" s="971"/>
    </row>
    <row r="69" spans="1:11" ht="12.5">
      <c r="A69" s="1049"/>
      <c r="B69" s="1067"/>
      <c r="F69" s="1094"/>
      <c r="G69" s="970"/>
      <c r="H69" s="970"/>
      <c r="I69" s="970"/>
      <c r="J69" s="970"/>
      <c r="K69" s="970"/>
    </row>
    <row r="70" spans="1:11" ht="12.5">
      <c r="A70" s="958" t="s">
        <v>8</v>
      </c>
    </row>
    <row r="71" spans="1:11" ht="13">
      <c r="A71" s="1049" t="s">
        <v>10</v>
      </c>
      <c r="E71" s="1067"/>
      <c r="F71" s="1067"/>
      <c r="G71" s="1067"/>
      <c r="H71" s="1078"/>
      <c r="I71" s="1078"/>
      <c r="J71" s="1078"/>
      <c r="K71" s="1067"/>
    </row>
    <row r="72" spans="1:11" ht="13">
      <c r="A72" s="1049">
        <f>A64+1</f>
        <v>43</v>
      </c>
      <c r="B72" s="1248" t="s">
        <v>912</v>
      </c>
      <c r="C72" s="1249"/>
      <c r="D72" s="1249"/>
      <c r="E72" s="1249"/>
      <c r="F72" s="1250"/>
      <c r="G72" s="1079"/>
      <c r="H72" s="1251" t="s">
        <v>913</v>
      </c>
      <c r="I72" s="1252"/>
      <c r="J72" s="1253"/>
      <c r="K72" s="1067"/>
    </row>
    <row r="73" spans="1:11" ht="13">
      <c r="A73" s="1049">
        <f t="shared" ref="A73:A89" si="13">A72+1</f>
        <v>44</v>
      </c>
      <c r="B73" s="1080" t="s">
        <v>62</v>
      </c>
      <c r="C73" s="1080" t="s">
        <v>63</v>
      </c>
      <c r="D73" s="1080" t="s">
        <v>64</v>
      </c>
      <c r="E73" s="1080" t="s">
        <v>65</v>
      </c>
      <c r="F73" s="1080" t="s">
        <v>66</v>
      </c>
      <c r="G73" s="1079"/>
      <c r="H73" s="1080" t="s">
        <v>67</v>
      </c>
      <c r="I73" s="1080" t="s">
        <v>68</v>
      </c>
      <c r="J73" s="1080" t="s">
        <v>69</v>
      </c>
      <c r="K73" s="1067"/>
    </row>
    <row r="74" spans="1:11" ht="116.5" customHeight="1">
      <c r="A74" s="1049">
        <f t="shared" si="13"/>
        <v>45</v>
      </c>
      <c r="B74" s="1081" t="s">
        <v>166</v>
      </c>
      <c r="C74" s="1081" t="s">
        <v>914</v>
      </c>
      <c r="D74" s="1081" t="s">
        <v>915</v>
      </c>
      <c r="E74" s="1081" t="s">
        <v>916</v>
      </c>
      <c r="F74" s="1081" t="s">
        <v>917</v>
      </c>
      <c r="G74" s="1082"/>
      <c r="H74" s="1081" t="s">
        <v>918</v>
      </c>
      <c r="I74" s="1081" t="s">
        <v>919</v>
      </c>
      <c r="J74" s="1081" t="s">
        <v>920</v>
      </c>
      <c r="K74" s="1067"/>
    </row>
    <row r="75" spans="1:11" ht="12.5">
      <c r="A75" s="1049">
        <f t="shared" si="13"/>
        <v>46</v>
      </c>
      <c r="B75" s="1067"/>
      <c r="C75" s="1082"/>
      <c r="D75" s="1082"/>
      <c r="E75" s="1082"/>
      <c r="F75" s="1082"/>
      <c r="G75" s="1082"/>
      <c r="H75" s="1082"/>
      <c r="I75" s="1082"/>
      <c r="J75" s="1082"/>
      <c r="K75" s="1067"/>
    </row>
    <row r="76" spans="1:11" ht="13">
      <c r="A76" s="1049">
        <f t="shared" si="13"/>
        <v>47</v>
      </c>
      <c r="B76" s="1083" t="s">
        <v>926</v>
      </c>
      <c r="C76" s="1084"/>
      <c r="D76" s="960"/>
      <c r="E76" s="960"/>
      <c r="F76" s="960"/>
      <c r="G76" s="960"/>
      <c r="H76" s="959"/>
      <c r="I76" s="959"/>
      <c r="J76" s="961"/>
      <c r="K76" s="962"/>
    </row>
    <row r="77" spans="1:11" ht="12.5">
      <c r="A77" s="1049">
        <f t="shared" si="13"/>
        <v>48</v>
      </c>
      <c r="B77" s="1084" t="s">
        <v>85</v>
      </c>
      <c r="C77" s="959">
        <v>31</v>
      </c>
      <c r="D77" s="963">
        <f>E77-C77+1</f>
        <v>335</v>
      </c>
      <c r="E77" s="963">
        <f>$C$26</f>
        <v>365</v>
      </c>
      <c r="F77" s="964">
        <f>D77/E77</f>
        <v>0.9178082191780822</v>
      </c>
      <c r="G77" s="960"/>
      <c r="H77" s="961"/>
      <c r="I77" s="959">
        <f>H77*F77</f>
        <v>0</v>
      </c>
      <c r="J77" s="959">
        <f>$J76+$I77</f>
        <v>0</v>
      </c>
      <c r="K77" s="1067"/>
    </row>
    <row r="78" spans="1:11" ht="12.5">
      <c r="A78" s="1049">
        <f t="shared" si="13"/>
        <v>49</v>
      </c>
      <c r="B78" s="1084" t="s">
        <v>84</v>
      </c>
      <c r="C78" s="961">
        <v>28</v>
      </c>
      <c r="D78" s="963">
        <f>D77-C78</f>
        <v>307</v>
      </c>
      <c r="E78" s="963">
        <f t="shared" ref="E78:E88" si="14">$C$26</f>
        <v>365</v>
      </c>
      <c r="F78" s="964">
        <f t="shared" ref="F78:F88" si="15">D78/E78</f>
        <v>0.84109589041095889</v>
      </c>
      <c r="G78" s="960"/>
      <c r="H78" s="961"/>
      <c r="I78" s="959">
        <f t="shared" ref="I78:I88" si="16">H78*F78</f>
        <v>0</v>
      </c>
      <c r="J78" s="959">
        <f t="shared" ref="J78:J88" si="17">$J77+$I78</f>
        <v>0</v>
      </c>
      <c r="K78" s="1067"/>
    </row>
    <row r="79" spans="1:11" ht="12.5">
      <c r="A79" s="1049">
        <f t="shared" si="13"/>
        <v>50</v>
      </c>
      <c r="B79" s="1084" t="s">
        <v>83</v>
      </c>
      <c r="C79" s="959">
        <v>31</v>
      </c>
      <c r="D79" s="963">
        <f t="shared" ref="D79:D88" si="18">D78-C79</f>
        <v>276</v>
      </c>
      <c r="E79" s="963">
        <f t="shared" si="14"/>
        <v>365</v>
      </c>
      <c r="F79" s="964">
        <f t="shared" si="15"/>
        <v>0.75616438356164384</v>
      </c>
      <c r="G79" s="960"/>
      <c r="H79" s="961"/>
      <c r="I79" s="959">
        <f t="shared" si="16"/>
        <v>0</v>
      </c>
      <c r="J79" s="959">
        <f t="shared" si="17"/>
        <v>0</v>
      </c>
      <c r="K79" s="1067"/>
    </row>
    <row r="80" spans="1:11" ht="12.5">
      <c r="A80" s="1049">
        <f t="shared" si="13"/>
        <v>51</v>
      </c>
      <c r="B80" s="1084" t="s">
        <v>76</v>
      </c>
      <c r="C80" s="959">
        <v>30</v>
      </c>
      <c r="D80" s="963">
        <f t="shared" si="18"/>
        <v>246</v>
      </c>
      <c r="E80" s="963">
        <f t="shared" si="14"/>
        <v>365</v>
      </c>
      <c r="F80" s="964">
        <f t="shared" si="15"/>
        <v>0.67397260273972603</v>
      </c>
      <c r="G80" s="960"/>
      <c r="H80" s="961"/>
      <c r="I80" s="959">
        <f t="shared" si="16"/>
        <v>0</v>
      </c>
      <c r="J80" s="959">
        <f t="shared" si="17"/>
        <v>0</v>
      </c>
      <c r="K80" s="1067"/>
    </row>
    <row r="81" spans="1:12" ht="12.5">
      <c r="A81" s="1049">
        <f t="shared" si="13"/>
        <v>52</v>
      </c>
      <c r="B81" s="1084" t="s">
        <v>75</v>
      </c>
      <c r="C81" s="959">
        <v>31</v>
      </c>
      <c r="D81" s="963">
        <f t="shared" si="18"/>
        <v>215</v>
      </c>
      <c r="E81" s="963">
        <f t="shared" si="14"/>
        <v>365</v>
      </c>
      <c r="F81" s="964">
        <f t="shared" si="15"/>
        <v>0.58904109589041098</v>
      </c>
      <c r="G81" s="960"/>
      <c r="H81" s="961"/>
      <c r="I81" s="959">
        <f t="shared" si="16"/>
        <v>0</v>
      </c>
      <c r="J81" s="959">
        <f t="shared" si="17"/>
        <v>0</v>
      </c>
      <c r="K81" s="1067"/>
    </row>
    <row r="82" spans="1:12" ht="12.5">
      <c r="A82" s="1049">
        <f t="shared" si="13"/>
        <v>53</v>
      </c>
      <c r="B82" s="1084" t="s">
        <v>95</v>
      </c>
      <c r="C82" s="959">
        <v>30</v>
      </c>
      <c r="D82" s="963">
        <f t="shared" si="18"/>
        <v>185</v>
      </c>
      <c r="E82" s="963">
        <f t="shared" si="14"/>
        <v>365</v>
      </c>
      <c r="F82" s="964">
        <f t="shared" si="15"/>
        <v>0.50684931506849318</v>
      </c>
      <c r="G82" s="960"/>
      <c r="H82" s="961"/>
      <c r="I82" s="959">
        <f t="shared" si="16"/>
        <v>0</v>
      </c>
      <c r="J82" s="959">
        <f t="shared" si="17"/>
        <v>0</v>
      </c>
      <c r="K82" s="1067"/>
    </row>
    <row r="83" spans="1:12" ht="12.5">
      <c r="A83" s="1049">
        <f t="shared" si="13"/>
        <v>54</v>
      </c>
      <c r="B83" s="1084" t="s">
        <v>82</v>
      </c>
      <c r="C83" s="959">
        <v>31</v>
      </c>
      <c r="D83" s="963">
        <f t="shared" si="18"/>
        <v>154</v>
      </c>
      <c r="E83" s="963">
        <f t="shared" si="14"/>
        <v>365</v>
      </c>
      <c r="F83" s="964">
        <f t="shared" si="15"/>
        <v>0.42191780821917807</v>
      </c>
      <c r="G83" s="960"/>
      <c r="H83" s="961"/>
      <c r="I83" s="959">
        <f t="shared" si="16"/>
        <v>0</v>
      </c>
      <c r="J83" s="959">
        <f t="shared" si="17"/>
        <v>0</v>
      </c>
      <c r="K83" s="1067"/>
    </row>
    <row r="84" spans="1:12" ht="12.5">
      <c r="A84" s="1049">
        <f t="shared" si="13"/>
        <v>55</v>
      </c>
      <c r="B84" s="1084" t="s">
        <v>81</v>
      </c>
      <c r="C84" s="959">
        <v>31</v>
      </c>
      <c r="D84" s="963">
        <f t="shared" si="18"/>
        <v>123</v>
      </c>
      <c r="E84" s="963">
        <f t="shared" si="14"/>
        <v>365</v>
      </c>
      <c r="F84" s="964">
        <f t="shared" si="15"/>
        <v>0.33698630136986302</v>
      </c>
      <c r="G84" s="960"/>
      <c r="H84" s="961"/>
      <c r="I84" s="959">
        <f t="shared" si="16"/>
        <v>0</v>
      </c>
      <c r="J84" s="959">
        <f t="shared" si="17"/>
        <v>0</v>
      </c>
      <c r="K84" s="1067"/>
    </row>
    <row r="85" spans="1:12" ht="12.5">
      <c r="A85" s="1049">
        <f t="shared" si="13"/>
        <v>56</v>
      </c>
      <c r="B85" s="1084" t="s">
        <v>80</v>
      </c>
      <c r="C85" s="959">
        <v>30</v>
      </c>
      <c r="D85" s="963">
        <f t="shared" si="18"/>
        <v>93</v>
      </c>
      <c r="E85" s="963">
        <f t="shared" si="14"/>
        <v>365</v>
      </c>
      <c r="F85" s="964">
        <f t="shared" si="15"/>
        <v>0.25479452054794521</v>
      </c>
      <c r="G85" s="960"/>
      <c r="H85" s="961"/>
      <c r="I85" s="959">
        <f t="shared" si="16"/>
        <v>0</v>
      </c>
      <c r="J85" s="959">
        <f t="shared" si="17"/>
        <v>0</v>
      </c>
      <c r="K85" s="1067"/>
    </row>
    <row r="86" spans="1:12" ht="12.5">
      <c r="A86" s="1049">
        <f t="shared" si="13"/>
        <v>57</v>
      </c>
      <c r="B86" s="1084" t="s">
        <v>86</v>
      </c>
      <c r="C86" s="959">
        <v>31</v>
      </c>
      <c r="D86" s="963">
        <f t="shared" si="18"/>
        <v>62</v>
      </c>
      <c r="E86" s="963">
        <f t="shared" si="14"/>
        <v>365</v>
      </c>
      <c r="F86" s="964">
        <f t="shared" si="15"/>
        <v>0.16986301369863013</v>
      </c>
      <c r="G86" s="960"/>
      <c r="H86" s="961"/>
      <c r="I86" s="959">
        <f t="shared" si="16"/>
        <v>0</v>
      </c>
      <c r="J86" s="959">
        <f t="shared" si="17"/>
        <v>0</v>
      </c>
      <c r="K86" s="1067"/>
    </row>
    <row r="87" spans="1:12" ht="12.5">
      <c r="A87" s="1049">
        <f t="shared" si="13"/>
        <v>58</v>
      </c>
      <c r="B87" s="1084" t="s">
        <v>79</v>
      </c>
      <c r="C87" s="959">
        <v>30</v>
      </c>
      <c r="D87" s="963">
        <f t="shared" si="18"/>
        <v>32</v>
      </c>
      <c r="E87" s="963">
        <f t="shared" si="14"/>
        <v>365</v>
      </c>
      <c r="F87" s="964">
        <f t="shared" si="15"/>
        <v>8.7671232876712329E-2</v>
      </c>
      <c r="G87" s="960"/>
      <c r="H87" s="961"/>
      <c r="I87" s="959">
        <f t="shared" si="16"/>
        <v>0</v>
      </c>
      <c r="J87" s="959">
        <f t="shared" si="17"/>
        <v>0</v>
      </c>
      <c r="K87" s="1067"/>
    </row>
    <row r="88" spans="1:12" ht="12.5">
      <c r="A88" s="1049">
        <f t="shared" si="13"/>
        <v>59</v>
      </c>
      <c r="B88" s="1084" t="s">
        <v>78</v>
      </c>
      <c r="C88" s="969">
        <v>31</v>
      </c>
      <c r="D88" s="963">
        <f t="shared" si="18"/>
        <v>1</v>
      </c>
      <c r="E88" s="963">
        <f t="shared" si="14"/>
        <v>365</v>
      </c>
      <c r="F88" s="964">
        <f t="shared" si="15"/>
        <v>2.7397260273972603E-3</v>
      </c>
      <c r="G88" s="960"/>
      <c r="H88" s="961"/>
      <c r="I88" s="959">
        <f t="shared" si="16"/>
        <v>0</v>
      </c>
      <c r="J88" s="959">
        <f t="shared" si="17"/>
        <v>0</v>
      </c>
      <c r="K88" s="1067"/>
    </row>
    <row r="89" spans="1:12" ht="12.5">
      <c r="A89" s="1049">
        <f t="shared" si="13"/>
        <v>60</v>
      </c>
      <c r="B89" s="1085" t="s">
        <v>13</v>
      </c>
      <c r="C89" s="1089">
        <f>SUM(C77:C88)</f>
        <v>365</v>
      </c>
      <c r="D89" s="1086">
        <f>SUM(D77:D88)</f>
        <v>2029</v>
      </c>
      <c r="E89" s="1086">
        <f>SUM(E77:E88)</f>
        <v>4380</v>
      </c>
      <c r="F89" s="1087"/>
      <c r="G89" s="960"/>
      <c r="H89" s="965">
        <f>SUM(H77:H88)</f>
        <v>0</v>
      </c>
      <c r="I89" s="965">
        <f>SUM(I77:I88)</f>
        <v>0</v>
      </c>
      <c r="J89" s="1087"/>
      <c r="K89" s="1067"/>
    </row>
    <row r="90" spans="1:12" ht="12.5">
      <c r="A90" s="1049"/>
      <c r="B90" s="1088"/>
      <c r="D90" s="1090"/>
      <c r="E90" s="1090"/>
      <c r="F90" s="1091"/>
      <c r="G90" s="960"/>
      <c r="H90" s="959"/>
      <c r="I90" s="959"/>
      <c r="J90" s="1091"/>
      <c r="K90" s="1067"/>
    </row>
    <row r="91" spans="1:12" ht="12.5">
      <c r="A91" s="1049"/>
      <c r="B91" s="1092"/>
      <c r="C91" s="1088"/>
      <c r="D91" s="1090"/>
      <c r="E91" s="966"/>
      <c r="F91" s="1091"/>
      <c r="G91" s="960"/>
      <c r="H91" s="959"/>
      <c r="I91" s="959"/>
      <c r="J91" s="1091"/>
      <c r="K91" s="1067"/>
    </row>
    <row r="92" spans="1:12" ht="12.5">
      <c r="A92" s="1049"/>
      <c r="B92" s="1088"/>
      <c r="C92" s="1088"/>
      <c r="D92" s="1090"/>
      <c r="E92" s="967"/>
      <c r="F92" s="1091"/>
      <c r="G92" s="960"/>
      <c r="H92" s="959"/>
      <c r="I92" s="959"/>
      <c r="J92" s="1091"/>
      <c r="K92" s="1067"/>
    </row>
    <row r="93" spans="1:12" ht="12.5">
      <c r="A93" s="1049"/>
      <c r="B93" s="1088"/>
      <c r="C93" s="1088"/>
      <c r="D93" s="1088"/>
      <c r="E93" s="1088"/>
      <c r="F93" s="1101"/>
      <c r="G93" s="1101"/>
      <c r="H93" s="1057"/>
      <c r="I93" s="1103"/>
      <c r="J93" s="1101"/>
      <c r="K93" s="1094"/>
      <c r="L93" s="970"/>
    </row>
    <row r="94" spans="1:12" ht="12.5">
      <c r="A94" s="1049">
        <f>A89+1</f>
        <v>61</v>
      </c>
      <c r="B94" s="1067" t="s">
        <v>922</v>
      </c>
      <c r="C94" s="1067"/>
      <c r="D94" s="1067"/>
      <c r="E94" s="1067"/>
      <c r="F94" s="1094" t="str">
        <f>"(Line "&amp;A88&amp;", &amp; Col H)"</f>
        <v>(Line 59, &amp; Col H)</v>
      </c>
      <c r="G94" s="1101"/>
      <c r="H94" s="1094"/>
      <c r="I94" s="1101"/>
      <c r="J94" s="968">
        <f>J88</f>
        <v>0</v>
      </c>
      <c r="K94" s="1094"/>
      <c r="L94" s="970"/>
    </row>
    <row r="95" spans="1:12" ht="12.5">
      <c r="A95" s="1049">
        <f>A94+1</f>
        <v>62</v>
      </c>
      <c r="B95" s="1067" t="s">
        <v>923</v>
      </c>
      <c r="C95" s="1067"/>
      <c r="D95" s="1067"/>
      <c r="E95" s="1067"/>
      <c r="F95" s="1067"/>
      <c r="G95" s="1067"/>
      <c r="H95" s="1067"/>
      <c r="I95" s="1094"/>
      <c r="J95" s="1095"/>
      <c r="K95" s="1094"/>
      <c r="L95" s="970"/>
    </row>
    <row r="96" spans="1:12" ht="12.5">
      <c r="A96" s="1049">
        <f>A95+1</f>
        <v>63</v>
      </c>
      <c r="B96" s="1067" t="s">
        <v>924</v>
      </c>
      <c r="C96" s="1067"/>
      <c r="D96" s="1067"/>
      <c r="E96" s="1067"/>
      <c r="F96" s="1094" t="str">
        <f>"(Line "&amp;A94&amp;" minus Line "&amp;A95&amp;")"</f>
        <v>(Line 61 minus Line 62)</v>
      </c>
      <c r="G96" s="1094"/>
      <c r="H96" s="1094"/>
      <c r="I96" s="1094"/>
      <c r="J96" s="1097">
        <f>J94-J95</f>
        <v>0</v>
      </c>
      <c r="K96" s="1094"/>
      <c r="L96" s="970"/>
    </row>
    <row r="97" spans="1:12" ht="12.5">
      <c r="A97" s="1049"/>
      <c r="F97" s="970"/>
      <c r="G97" s="970"/>
      <c r="H97" s="970"/>
      <c r="I97" s="970"/>
      <c r="J97" s="970"/>
      <c r="K97" s="970"/>
      <c r="L97" s="970"/>
    </row>
    <row r="98" spans="1:12" ht="12.5">
      <c r="A98" s="1049"/>
      <c r="F98" s="970"/>
      <c r="G98" s="970"/>
      <c r="H98" s="970"/>
      <c r="I98" s="970"/>
      <c r="J98" s="970"/>
      <c r="K98" s="970"/>
      <c r="L98" s="970"/>
    </row>
    <row r="99" spans="1:12" ht="15.5">
      <c r="A99" s="1098"/>
      <c r="B99" s="1099" t="s">
        <v>928</v>
      </c>
      <c r="C99" s="1077"/>
      <c r="D99" s="1077"/>
      <c r="E99" s="972"/>
      <c r="F99" s="973"/>
      <c r="G99" s="974"/>
      <c r="H99" s="975"/>
      <c r="I99" s="1102"/>
      <c r="J99" s="970"/>
    </row>
    <row r="100" spans="1:12" ht="13">
      <c r="A100" s="958"/>
      <c r="E100" s="1067"/>
      <c r="F100" s="1067"/>
      <c r="G100" s="1067"/>
      <c r="H100" s="1078"/>
      <c r="I100" s="1078"/>
      <c r="J100" s="1078"/>
      <c r="K100" s="1067"/>
      <c r="L100" s="970"/>
    </row>
    <row r="101" spans="1:12" ht="13">
      <c r="A101" s="958" t="s">
        <v>8</v>
      </c>
      <c r="E101" s="1067"/>
      <c r="F101" s="1067"/>
      <c r="G101" s="1067"/>
      <c r="H101" s="1078"/>
      <c r="I101" s="1078"/>
      <c r="J101" s="1078"/>
      <c r="K101" s="1067"/>
      <c r="L101" s="970"/>
    </row>
    <row r="102" spans="1:12" ht="13">
      <c r="A102" s="1049" t="s">
        <v>10</v>
      </c>
      <c r="E102" s="1067"/>
      <c r="F102" s="1067"/>
      <c r="G102" s="1067"/>
      <c r="H102" s="1078"/>
      <c r="I102" s="1078"/>
      <c r="J102" s="1078"/>
      <c r="K102" s="1067"/>
      <c r="L102" s="970"/>
    </row>
    <row r="103" spans="1:12" ht="13">
      <c r="A103" s="1049">
        <f>A96+1</f>
        <v>64</v>
      </c>
      <c r="B103" s="1248" t="s">
        <v>912</v>
      </c>
      <c r="C103" s="1249"/>
      <c r="D103" s="1249"/>
      <c r="E103" s="1249"/>
      <c r="F103" s="1250"/>
      <c r="G103" s="1079"/>
      <c r="H103" s="1251" t="s">
        <v>913</v>
      </c>
      <c r="I103" s="1252"/>
      <c r="J103" s="1253"/>
      <c r="K103" s="1067"/>
      <c r="L103" s="970"/>
    </row>
    <row r="104" spans="1:12" ht="13">
      <c r="A104" s="1049">
        <f t="shared" ref="A104:A120" si="19">A103+1</f>
        <v>65</v>
      </c>
      <c r="B104" s="1080" t="s">
        <v>62</v>
      </c>
      <c r="C104" s="1080" t="s">
        <v>63</v>
      </c>
      <c r="D104" s="1080" t="s">
        <v>64</v>
      </c>
      <c r="E104" s="1080" t="s">
        <v>65</v>
      </c>
      <c r="F104" s="1080" t="s">
        <v>66</v>
      </c>
      <c r="G104" s="1079"/>
      <c r="H104" s="1080" t="s">
        <v>67</v>
      </c>
      <c r="I104" s="1080" t="s">
        <v>68</v>
      </c>
      <c r="J104" s="1080" t="s">
        <v>69</v>
      </c>
      <c r="K104" s="1067"/>
      <c r="L104" s="970"/>
    </row>
    <row r="105" spans="1:12" ht="116.5" customHeight="1">
      <c r="A105" s="1049">
        <f t="shared" si="19"/>
        <v>66</v>
      </c>
      <c r="B105" s="1081" t="s">
        <v>166</v>
      </c>
      <c r="C105" s="1081" t="s">
        <v>914</v>
      </c>
      <c r="D105" s="1081" t="s">
        <v>915</v>
      </c>
      <c r="E105" s="1081" t="s">
        <v>916</v>
      </c>
      <c r="F105" s="1081" t="s">
        <v>917</v>
      </c>
      <c r="G105" s="1082"/>
      <c r="H105" s="1081" t="s">
        <v>918</v>
      </c>
      <c r="I105" s="1081" t="s">
        <v>919</v>
      </c>
      <c r="J105" s="1081" t="s">
        <v>920</v>
      </c>
      <c r="K105" s="1067"/>
      <c r="L105" s="970"/>
    </row>
    <row r="106" spans="1:12" ht="12.5">
      <c r="A106" s="1049">
        <f t="shared" si="19"/>
        <v>67</v>
      </c>
      <c r="B106" s="1067"/>
      <c r="C106" s="1082"/>
      <c r="D106" s="1082"/>
      <c r="E106" s="1082"/>
      <c r="F106" s="1082"/>
      <c r="G106" s="1082"/>
      <c r="H106" s="1082"/>
      <c r="I106" s="1082"/>
      <c r="J106" s="1082"/>
      <c r="K106" s="1067"/>
      <c r="L106" s="970"/>
    </row>
    <row r="107" spans="1:12" ht="13">
      <c r="A107" s="1049">
        <f t="shared" si="19"/>
        <v>68</v>
      </c>
      <c r="B107" s="1083" t="s">
        <v>926</v>
      </c>
      <c r="C107" s="1084"/>
      <c r="D107" s="960"/>
      <c r="E107" s="960"/>
      <c r="F107" s="960"/>
      <c r="G107" s="960"/>
      <c r="H107" s="959"/>
      <c r="I107" s="959"/>
      <c r="J107" s="961"/>
      <c r="K107" s="962"/>
      <c r="L107" s="970"/>
    </row>
    <row r="108" spans="1:12" ht="12.5">
      <c r="A108" s="1049">
        <f t="shared" si="19"/>
        <v>69</v>
      </c>
      <c r="B108" s="1084" t="s">
        <v>85</v>
      </c>
      <c r="C108" s="959">
        <v>31</v>
      </c>
      <c r="D108" s="963">
        <f>E108-C108+1</f>
        <v>335</v>
      </c>
      <c r="E108" s="963">
        <f>$C$26</f>
        <v>365</v>
      </c>
      <c r="F108" s="964">
        <f>D108/E108</f>
        <v>0.9178082191780822</v>
      </c>
      <c r="G108" s="960"/>
      <c r="H108" s="961"/>
      <c r="I108" s="959">
        <f>H108*F108</f>
        <v>0</v>
      </c>
      <c r="J108" s="959">
        <f t="shared" ref="J108:J119" si="20">$J107+$I108</f>
        <v>0</v>
      </c>
      <c r="K108" s="1067"/>
      <c r="L108" s="970"/>
    </row>
    <row r="109" spans="1:12" ht="12.5">
      <c r="A109" s="1049">
        <f t="shared" si="19"/>
        <v>70</v>
      </c>
      <c r="B109" s="1084" t="s">
        <v>84</v>
      </c>
      <c r="C109" s="961">
        <v>28</v>
      </c>
      <c r="D109" s="963">
        <f>D108-C109</f>
        <v>307</v>
      </c>
      <c r="E109" s="963">
        <f t="shared" ref="E109:E119" si="21">$C$26</f>
        <v>365</v>
      </c>
      <c r="F109" s="964">
        <f t="shared" ref="F109:F119" si="22">D109/E109</f>
        <v>0.84109589041095889</v>
      </c>
      <c r="G109" s="960"/>
      <c r="H109" s="961"/>
      <c r="I109" s="959">
        <f t="shared" ref="I109:I119" si="23">H109*F109</f>
        <v>0</v>
      </c>
      <c r="J109" s="959">
        <f t="shared" si="20"/>
        <v>0</v>
      </c>
      <c r="K109" s="1067"/>
      <c r="L109" s="970"/>
    </row>
    <row r="110" spans="1:12" ht="12.5">
      <c r="A110" s="1049">
        <f t="shared" si="19"/>
        <v>71</v>
      </c>
      <c r="B110" s="1084" t="s">
        <v>83</v>
      </c>
      <c r="C110" s="959">
        <v>31</v>
      </c>
      <c r="D110" s="963">
        <f t="shared" ref="D110:D119" si="24">D109-C110</f>
        <v>276</v>
      </c>
      <c r="E110" s="963">
        <f t="shared" si="21"/>
        <v>365</v>
      </c>
      <c r="F110" s="964">
        <f t="shared" si="22"/>
        <v>0.75616438356164384</v>
      </c>
      <c r="G110" s="960"/>
      <c r="H110" s="961"/>
      <c r="I110" s="959">
        <f t="shared" si="23"/>
        <v>0</v>
      </c>
      <c r="J110" s="959">
        <f t="shared" si="20"/>
        <v>0</v>
      </c>
      <c r="K110" s="1067"/>
      <c r="L110" s="970"/>
    </row>
    <row r="111" spans="1:12" ht="12.5">
      <c r="A111" s="1049">
        <f t="shared" si="19"/>
        <v>72</v>
      </c>
      <c r="B111" s="1084" t="s">
        <v>76</v>
      </c>
      <c r="C111" s="959">
        <v>30</v>
      </c>
      <c r="D111" s="963">
        <f t="shared" si="24"/>
        <v>246</v>
      </c>
      <c r="E111" s="963">
        <f t="shared" si="21"/>
        <v>365</v>
      </c>
      <c r="F111" s="964">
        <f t="shared" si="22"/>
        <v>0.67397260273972603</v>
      </c>
      <c r="G111" s="960"/>
      <c r="H111" s="961"/>
      <c r="I111" s="959">
        <f t="shared" si="23"/>
        <v>0</v>
      </c>
      <c r="J111" s="959">
        <f t="shared" si="20"/>
        <v>0</v>
      </c>
      <c r="K111" s="1067"/>
      <c r="L111" s="970"/>
    </row>
    <row r="112" spans="1:12" ht="12.5">
      <c r="A112" s="1049">
        <f t="shared" si="19"/>
        <v>73</v>
      </c>
      <c r="B112" s="1084" t="s">
        <v>75</v>
      </c>
      <c r="C112" s="959">
        <v>31</v>
      </c>
      <c r="D112" s="963">
        <f t="shared" si="24"/>
        <v>215</v>
      </c>
      <c r="E112" s="963">
        <f t="shared" si="21"/>
        <v>365</v>
      </c>
      <c r="F112" s="964">
        <f t="shared" si="22"/>
        <v>0.58904109589041098</v>
      </c>
      <c r="G112" s="960"/>
      <c r="H112" s="961"/>
      <c r="I112" s="959">
        <f t="shared" si="23"/>
        <v>0</v>
      </c>
      <c r="J112" s="959">
        <f t="shared" si="20"/>
        <v>0</v>
      </c>
      <c r="K112" s="1067"/>
      <c r="L112" s="970"/>
    </row>
    <row r="113" spans="1:12" ht="12.5">
      <c r="A113" s="1049">
        <f t="shared" si="19"/>
        <v>74</v>
      </c>
      <c r="B113" s="1084" t="s">
        <v>95</v>
      </c>
      <c r="C113" s="959">
        <v>30</v>
      </c>
      <c r="D113" s="963">
        <f t="shared" si="24"/>
        <v>185</v>
      </c>
      <c r="E113" s="963">
        <f t="shared" si="21"/>
        <v>365</v>
      </c>
      <c r="F113" s="964">
        <f t="shared" si="22"/>
        <v>0.50684931506849318</v>
      </c>
      <c r="G113" s="960"/>
      <c r="H113" s="961"/>
      <c r="I113" s="959">
        <f t="shared" si="23"/>
        <v>0</v>
      </c>
      <c r="J113" s="959">
        <f t="shared" si="20"/>
        <v>0</v>
      </c>
      <c r="K113" s="1067"/>
      <c r="L113" s="970"/>
    </row>
    <row r="114" spans="1:12" ht="12.5">
      <c r="A114" s="1049">
        <f t="shared" si="19"/>
        <v>75</v>
      </c>
      <c r="B114" s="1084" t="s">
        <v>82</v>
      </c>
      <c r="C114" s="959">
        <v>31</v>
      </c>
      <c r="D114" s="963">
        <f t="shared" si="24"/>
        <v>154</v>
      </c>
      <c r="E114" s="963">
        <f t="shared" si="21"/>
        <v>365</v>
      </c>
      <c r="F114" s="964">
        <f t="shared" si="22"/>
        <v>0.42191780821917807</v>
      </c>
      <c r="G114" s="960"/>
      <c r="H114" s="961"/>
      <c r="I114" s="959">
        <f t="shared" si="23"/>
        <v>0</v>
      </c>
      <c r="J114" s="959">
        <f t="shared" si="20"/>
        <v>0</v>
      </c>
      <c r="K114" s="1067"/>
      <c r="L114" s="970"/>
    </row>
    <row r="115" spans="1:12" ht="12.5">
      <c r="A115" s="1049">
        <f t="shared" si="19"/>
        <v>76</v>
      </c>
      <c r="B115" s="1084" t="s">
        <v>81</v>
      </c>
      <c r="C115" s="959">
        <v>31</v>
      </c>
      <c r="D115" s="963">
        <f t="shared" si="24"/>
        <v>123</v>
      </c>
      <c r="E115" s="963">
        <f t="shared" si="21"/>
        <v>365</v>
      </c>
      <c r="F115" s="964">
        <f t="shared" si="22"/>
        <v>0.33698630136986302</v>
      </c>
      <c r="G115" s="960"/>
      <c r="H115" s="961"/>
      <c r="I115" s="959">
        <f t="shared" si="23"/>
        <v>0</v>
      </c>
      <c r="J115" s="959">
        <f t="shared" si="20"/>
        <v>0</v>
      </c>
      <c r="K115" s="1067"/>
      <c r="L115" s="970"/>
    </row>
    <row r="116" spans="1:12" ht="12.5">
      <c r="A116" s="1049">
        <f t="shared" si="19"/>
        <v>77</v>
      </c>
      <c r="B116" s="1084" t="s">
        <v>80</v>
      </c>
      <c r="C116" s="959">
        <v>30</v>
      </c>
      <c r="D116" s="963">
        <f t="shared" si="24"/>
        <v>93</v>
      </c>
      <c r="E116" s="963">
        <f t="shared" si="21"/>
        <v>365</v>
      </c>
      <c r="F116" s="964">
        <f t="shared" si="22"/>
        <v>0.25479452054794521</v>
      </c>
      <c r="G116" s="960"/>
      <c r="H116" s="961"/>
      <c r="I116" s="959">
        <f t="shared" si="23"/>
        <v>0</v>
      </c>
      <c r="J116" s="959">
        <f t="shared" si="20"/>
        <v>0</v>
      </c>
      <c r="K116" s="1067"/>
      <c r="L116" s="970"/>
    </row>
    <row r="117" spans="1:12" ht="12.5">
      <c r="A117" s="1049">
        <f t="shared" si="19"/>
        <v>78</v>
      </c>
      <c r="B117" s="1084" t="s">
        <v>86</v>
      </c>
      <c r="C117" s="959">
        <v>31</v>
      </c>
      <c r="D117" s="963">
        <f t="shared" si="24"/>
        <v>62</v>
      </c>
      <c r="E117" s="963">
        <f t="shared" si="21"/>
        <v>365</v>
      </c>
      <c r="F117" s="964">
        <f t="shared" si="22"/>
        <v>0.16986301369863013</v>
      </c>
      <c r="G117" s="960"/>
      <c r="H117" s="961"/>
      <c r="I117" s="959">
        <f t="shared" si="23"/>
        <v>0</v>
      </c>
      <c r="J117" s="959">
        <f t="shared" si="20"/>
        <v>0</v>
      </c>
      <c r="K117" s="1067"/>
      <c r="L117" s="970"/>
    </row>
    <row r="118" spans="1:12" ht="12.5">
      <c r="A118" s="1049">
        <f t="shared" si="19"/>
        <v>79</v>
      </c>
      <c r="B118" s="1084" t="s">
        <v>79</v>
      </c>
      <c r="C118" s="959">
        <v>30</v>
      </c>
      <c r="D118" s="963">
        <f t="shared" si="24"/>
        <v>32</v>
      </c>
      <c r="E118" s="963">
        <f t="shared" si="21"/>
        <v>365</v>
      </c>
      <c r="F118" s="964">
        <f t="shared" si="22"/>
        <v>8.7671232876712329E-2</v>
      </c>
      <c r="G118" s="960"/>
      <c r="H118" s="961"/>
      <c r="I118" s="959">
        <f t="shared" si="23"/>
        <v>0</v>
      </c>
      <c r="J118" s="959">
        <f t="shared" si="20"/>
        <v>0</v>
      </c>
      <c r="K118" s="1067"/>
      <c r="L118" s="970"/>
    </row>
    <row r="119" spans="1:12" ht="12.5">
      <c r="A119" s="1049">
        <f t="shared" si="19"/>
        <v>80</v>
      </c>
      <c r="B119" s="1084" t="s">
        <v>78</v>
      </c>
      <c r="C119" s="969">
        <v>31</v>
      </c>
      <c r="D119" s="963">
        <f t="shared" si="24"/>
        <v>1</v>
      </c>
      <c r="E119" s="963">
        <f t="shared" si="21"/>
        <v>365</v>
      </c>
      <c r="F119" s="964">
        <f t="shared" si="22"/>
        <v>2.7397260273972603E-3</v>
      </c>
      <c r="G119" s="960"/>
      <c r="H119" s="961"/>
      <c r="I119" s="959">
        <f t="shared" si="23"/>
        <v>0</v>
      </c>
      <c r="J119" s="968">
        <f t="shared" si="20"/>
        <v>0</v>
      </c>
      <c r="K119" s="1067"/>
      <c r="L119" s="970"/>
    </row>
    <row r="120" spans="1:12" ht="12.5">
      <c r="A120" s="1049">
        <f t="shared" si="19"/>
        <v>81</v>
      </c>
      <c r="B120" s="1085" t="s">
        <v>13</v>
      </c>
      <c r="C120" s="1089">
        <f>SUM(C108:C119)</f>
        <v>365</v>
      </c>
      <c r="D120" s="1086">
        <f>SUM(D108:D119)</f>
        <v>2029</v>
      </c>
      <c r="E120" s="1086">
        <f>SUM(E108:E119)</f>
        <v>4380</v>
      </c>
      <c r="F120" s="1087"/>
      <c r="G120" s="960"/>
      <c r="H120" s="965">
        <f>SUM(H108:H119)</f>
        <v>0</v>
      </c>
      <c r="I120" s="965">
        <f>SUM(I108:I119)</f>
        <v>0</v>
      </c>
      <c r="J120" s="1087"/>
      <c r="K120" s="1067"/>
      <c r="L120" s="970"/>
    </row>
    <row r="121" spans="1:12" ht="12.5">
      <c r="A121" s="1049"/>
      <c r="B121" s="1088"/>
      <c r="D121" s="1089"/>
      <c r="E121" s="1089"/>
      <c r="F121" s="1101"/>
      <c r="G121" s="963"/>
      <c r="H121" s="968"/>
      <c r="I121" s="968"/>
      <c r="J121" s="1101"/>
      <c r="K121" s="1094"/>
      <c r="L121" s="970"/>
    </row>
    <row r="122" spans="1:12" ht="12.5">
      <c r="A122" s="1049"/>
      <c r="B122" s="1092"/>
      <c r="C122" s="1104"/>
      <c r="D122" s="1089"/>
      <c r="E122" s="976"/>
      <c r="F122" s="1101"/>
      <c r="G122" s="963"/>
      <c r="H122" s="968"/>
      <c r="I122" s="968"/>
      <c r="J122" s="1101"/>
      <c r="K122" s="1094"/>
      <c r="L122" s="970"/>
    </row>
    <row r="123" spans="1:12" ht="12.5">
      <c r="A123" s="1049"/>
      <c r="B123" s="1088"/>
      <c r="C123" s="1104"/>
      <c r="D123" s="1089"/>
      <c r="E123" s="977"/>
      <c r="F123" s="1101"/>
      <c r="G123" s="963"/>
      <c r="H123" s="968"/>
      <c r="I123" s="968"/>
      <c r="J123" s="1101"/>
      <c r="K123" s="1094"/>
      <c r="L123" s="970"/>
    </row>
    <row r="124" spans="1:12" ht="12.5">
      <c r="A124" s="1049"/>
      <c r="B124" s="1088"/>
      <c r="C124" s="1104"/>
      <c r="D124" s="1104"/>
      <c r="E124" s="1104"/>
      <c r="F124" s="1101"/>
      <c r="G124" s="1101"/>
      <c r="H124" s="1057"/>
      <c r="I124" s="1103"/>
      <c r="J124" s="1101"/>
      <c r="K124" s="1094"/>
      <c r="L124" s="970"/>
    </row>
    <row r="125" spans="1:12" ht="12.5">
      <c r="A125" s="1049">
        <f>A120+1</f>
        <v>82</v>
      </c>
      <c r="B125" s="1067" t="s">
        <v>922</v>
      </c>
      <c r="C125" s="1094"/>
      <c r="D125" s="1094"/>
      <c r="E125" s="1094"/>
      <c r="F125" s="1094" t="str">
        <f>"(Line "&amp;A119&amp;", &amp; Col H)"</f>
        <v>(Line 80, &amp; Col H)</v>
      </c>
      <c r="G125" s="1101"/>
      <c r="H125" s="1094"/>
      <c r="I125" s="1101"/>
      <c r="J125" s="968">
        <f>J119</f>
        <v>0</v>
      </c>
      <c r="K125" s="1094"/>
      <c r="L125" s="970"/>
    </row>
    <row r="126" spans="1:12" ht="12.5">
      <c r="A126" s="1049">
        <f>A125+1</f>
        <v>83</v>
      </c>
      <c r="B126" s="1067" t="s">
        <v>923</v>
      </c>
      <c r="C126" s="1094"/>
      <c r="D126" s="1094"/>
      <c r="E126" s="1094"/>
      <c r="F126" s="1067"/>
      <c r="G126" s="1067"/>
      <c r="H126" s="1067"/>
      <c r="I126" s="1094"/>
      <c r="J126" s="1095"/>
      <c r="K126" s="1094"/>
      <c r="L126" s="970"/>
    </row>
    <row r="127" spans="1:12" ht="12.5">
      <c r="A127" s="1049">
        <f>A126+1</f>
        <v>84</v>
      </c>
      <c r="B127" s="1067" t="s">
        <v>924</v>
      </c>
      <c r="C127" s="1094"/>
      <c r="D127" s="1094"/>
      <c r="E127" s="1094"/>
      <c r="F127" s="1094" t="str">
        <f>"(Line "&amp;A125&amp;" minus Line "&amp;A126&amp;")"</f>
        <v>(Line 82 minus Line 83)</v>
      </c>
      <c r="G127" s="1094"/>
      <c r="H127" s="1094"/>
      <c r="I127" s="1094"/>
      <c r="J127" s="1097">
        <f>J125-J126</f>
        <v>0</v>
      </c>
      <c r="K127" s="1094"/>
      <c r="L127" s="970"/>
    </row>
    <row r="128" spans="1:12" ht="12.5">
      <c r="A128" s="1049"/>
      <c r="B128" s="1067"/>
      <c r="C128" s="1067"/>
      <c r="D128" s="1067"/>
      <c r="E128" s="1067"/>
      <c r="F128" s="1067"/>
      <c r="G128" s="1067"/>
      <c r="H128" s="1067"/>
      <c r="I128" s="1067"/>
      <c r="J128" s="1105"/>
      <c r="K128" s="1067"/>
      <c r="L128" s="970"/>
    </row>
    <row r="129" spans="12:12" ht="12.5">
      <c r="L129" s="970"/>
    </row>
  </sheetData>
  <mergeCells count="11">
    <mergeCell ref="B72:F72"/>
    <mergeCell ref="H72:J72"/>
    <mergeCell ref="B103:F103"/>
    <mergeCell ref="H103:J103"/>
    <mergeCell ref="A1:K1"/>
    <mergeCell ref="A2:K2"/>
    <mergeCell ref="A3:K3"/>
    <mergeCell ref="B9:F9"/>
    <mergeCell ref="H9:J9"/>
    <mergeCell ref="B40:F40"/>
    <mergeCell ref="H40:J40"/>
  </mergeCells>
  <pageMargins left="0.7" right="0.7" top="0.75" bottom="0.75" header="0.3" footer="0.3"/>
  <pageSetup scale="57" fitToHeight="12" orientation="portrait" r:id="rId1"/>
  <rowBreaks count="1" manualBreakCount="1">
    <brk id="66"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N101"/>
  <sheetViews>
    <sheetView view="pageBreakPreview" zoomScale="70" zoomScaleNormal="80" zoomScaleSheetLayoutView="70" workbookViewId="0">
      <selection activeCell="L3" sqref="L3"/>
    </sheetView>
  </sheetViews>
  <sheetFormatPr defaultColWidth="7.4609375" defaultRowHeight="13"/>
  <cols>
    <col min="1" max="1" width="4.69140625" style="876" customWidth="1"/>
    <col min="2" max="2" width="49.07421875" style="875" customWidth="1"/>
    <col min="3" max="3" width="15.84375" style="875" customWidth="1"/>
    <col min="4" max="4" width="17.07421875" style="875" customWidth="1"/>
    <col min="5" max="5" width="16.3046875" style="875" customWidth="1"/>
    <col min="6" max="6" width="15.84375" style="875" customWidth="1"/>
    <col min="7" max="7" width="13" style="875" customWidth="1"/>
    <col min="8" max="8" width="12.84375" style="875" customWidth="1"/>
    <col min="9" max="9" width="19.53515625" style="875" customWidth="1"/>
    <col min="10" max="10" width="16.23046875" style="875" customWidth="1"/>
    <col min="11" max="11" width="13.84375" style="875" customWidth="1"/>
    <col min="12" max="12" width="13.07421875" style="875" customWidth="1"/>
    <col min="13" max="16384" width="7.4609375" style="875"/>
  </cols>
  <sheetData>
    <row r="1" spans="1:11" ht="20">
      <c r="A1" s="1242" t="s">
        <v>956</v>
      </c>
      <c r="B1" s="1242"/>
      <c r="C1" s="1242"/>
      <c r="D1" s="1242"/>
      <c r="E1" s="1242"/>
      <c r="F1" s="1242"/>
      <c r="G1" s="1242"/>
      <c r="H1" s="1242"/>
      <c r="I1" s="1242"/>
      <c r="J1" s="1242"/>
      <c r="K1" s="1242"/>
    </row>
    <row r="2" spans="1:11" ht="20">
      <c r="A2" s="1242" t="str">
        <f>'Attachment H-26'!D5</f>
        <v>Transource West Virginia, LLC</v>
      </c>
      <c r="B2" s="1242"/>
      <c r="C2" s="1242"/>
      <c r="D2" s="1242"/>
      <c r="E2" s="1242"/>
      <c r="F2" s="1242"/>
      <c r="G2" s="1242"/>
      <c r="H2" s="1242"/>
      <c r="I2" s="1242"/>
      <c r="J2" s="1242"/>
      <c r="K2" s="1242"/>
    </row>
    <row r="3" spans="1:11" ht="20">
      <c r="A3" s="1242" t="s">
        <v>1067</v>
      </c>
      <c r="B3" s="1242"/>
      <c r="C3" s="1242"/>
      <c r="D3" s="1242"/>
      <c r="E3" s="1242"/>
      <c r="F3" s="1242"/>
      <c r="G3" s="1242"/>
      <c r="H3" s="1242"/>
      <c r="I3" s="1242"/>
      <c r="J3" s="1242"/>
      <c r="K3" s="1242"/>
    </row>
    <row r="4" spans="1:11" ht="20">
      <c r="A4" s="951"/>
      <c r="D4" s="1050"/>
      <c r="E4" s="955"/>
      <c r="F4" s="955"/>
      <c r="G4" s="955"/>
      <c r="H4" s="978"/>
      <c r="I4" s="979"/>
      <c r="J4" s="979"/>
      <c r="K4" s="980" t="s">
        <v>678</v>
      </c>
    </row>
    <row r="5" spans="1:11">
      <c r="A5" s="880"/>
      <c r="B5" s="981"/>
      <c r="C5" s="882"/>
      <c r="D5" s="882"/>
      <c r="E5" s="882"/>
      <c r="F5" s="882"/>
      <c r="G5" s="882"/>
      <c r="H5" s="884"/>
      <c r="I5" s="884"/>
      <c r="J5" s="884"/>
      <c r="K5" s="882"/>
    </row>
    <row r="6" spans="1:11" s="877" customFormat="1" ht="15.75" customHeight="1">
      <c r="A6" s="880"/>
      <c r="B6" s="982" t="s">
        <v>929</v>
      </c>
      <c r="C6" s="983"/>
      <c r="E6" s="983"/>
      <c r="F6" s="983"/>
      <c r="G6" s="983"/>
      <c r="H6" s="983"/>
    </row>
    <row r="7" spans="1:11">
      <c r="A7" s="880"/>
      <c r="B7" s="1041"/>
      <c r="C7" s="882"/>
      <c r="D7" s="882"/>
      <c r="E7" s="882"/>
      <c r="F7" s="882"/>
      <c r="G7" s="882"/>
      <c r="H7" s="884"/>
      <c r="I7" s="884"/>
      <c r="J7" s="884"/>
      <c r="K7" s="882"/>
    </row>
    <row r="8" spans="1:11">
      <c r="A8" s="880"/>
      <c r="B8" s="885" t="s">
        <v>196</v>
      </c>
      <c r="C8" s="885" t="s">
        <v>197</v>
      </c>
      <c r="D8" s="885" t="s">
        <v>198</v>
      </c>
      <c r="E8" s="885" t="s">
        <v>199</v>
      </c>
      <c r="F8" s="885" t="s">
        <v>201</v>
      </c>
      <c r="G8" s="885" t="s">
        <v>200</v>
      </c>
      <c r="H8" s="885" t="s">
        <v>202</v>
      </c>
      <c r="I8" s="885" t="s">
        <v>203</v>
      </c>
      <c r="J8" s="885" t="s">
        <v>204</v>
      </c>
      <c r="K8" s="885" t="s">
        <v>967</v>
      </c>
    </row>
    <row r="9" spans="1:11">
      <c r="A9" s="880"/>
      <c r="B9" s="885"/>
      <c r="C9" s="885"/>
      <c r="D9" s="888">
        <v>1</v>
      </c>
      <c r="E9" s="888">
        <v>1</v>
      </c>
      <c r="F9" s="887" t="s">
        <v>864</v>
      </c>
      <c r="G9" s="885"/>
      <c r="H9" s="885"/>
      <c r="I9" s="885" t="s">
        <v>865</v>
      </c>
      <c r="J9" s="885" t="s">
        <v>968</v>
      </c>
      <c r="K9" s="885" t="s">
        <v>930</v>
      </c>
    </row>
    <row r="10" spans="1:11">
      <c r="A10" s="880" t="s">
        <v>8</v>
      </c>
      <c r="B10" s="885"/>
      <c r="C10" s="885"/>
      <c r="D10" s="885" t="s">
        <v>867</v>
      </c>
      <c r="E10" s="885" t="s">
        <v>868</v>
      </c>
      <c r="F10" s="885" t="s">
        <v>16</v>
      </c>
      <c r="G10" s="885" t="s">
        <v>869</v>
      </c>
      <c r="H10" s="885" t="s">
        <v>870</v>
      </c>
      <c r="I10" s="885" t="s">
        <v>931</v>
      </c>
      <c r="J10" s="885" t="s">
        <v>969</v>
      </c>
      <c r="K10" s="885" t="s">
        <v>688</v>
      </c>
    </row>
    <row r="11" spans="1:11">
      <c r="A11" s="880" t="s">
        <v>10</v>
      </c>
      <c r="B11" s="891" t="s">
        <v>872</v>
      </c>
      <c r="C11" s="891" t="s">
        <v>932</v>
      </c>
      <c r="D11" s="891" t="s">
        <v>873</v>
      </c>
      <c r="E11" s="891" t="s">
        <v>874</v>
      </c>
      <c r="F11" s="891" t="s">
        <v>873</v>
      </c>
      <c r="G11" s="891" t="s">
        <v>873</v>
      </c>
      <c r="H11" s="891" t="s">
        <v>873</v>
      </c>
      <c r="I11" s="891" t="s">
        <v>933</v>
      </c>
      <c r="J11" s="891" t="s">
        <v>771</v>
      </c>
      <c r="K11" s="891" t="s">
        <v>934</v>
      </c>
    </row>
    <row r="12" spans="1:11">
      <c r="B12" s="882"/>
      <c r="C12" s="882"/>
      <c r="D12" s="882"/>
      <c r="E12" s="882"/>
      <c r="F12" s="882"/>
      <c r="G12" s="921"/>
      <c r="H12" s="921"/>
      <c r="I12" s="882"/>
      <c r="J12" s="882"/>
      <c r="K12" s="882"/>
    </row>
    <row r="13" spans="1:11">
      <c r="A13" s="880">
        <v>1</v>
      </c>
      <c r="B13" s="984" t="s">
        <v>1056</v>
      </c>
      <c r="C13" s="1139">
        <v>0</v>
      </c>
      <c r="D13" s="1139">
        <v>0</v>
      </c>
      <c r="E13" s="1139">
        <v>0</v>
      </c>
      <c r="F13" s="1139">
        <v>0</v>
      </c>
      <c r="G13" s="1139">
        <v>0</v>
      </c>
      <c r="H13" s="1140">
        <v>0</v>
      </c>
      <c r="I13" s="1140">
        <v>0</v>
      </c>
      <c r="J13" s="1140">
        <v>0</v>
      </c>
      <c r="K13" s="1136" t="s">
        <v>935</v>
      </c>
    </row>
    <row r="14" spans="1:11">
      <c r="A14" s="880">
        <f>A13+1</f>
        <v>2</v>
      </c>
      <c r="B14" s="988" t="s">
        <v>1057</v>
      </c>
      <c r="C14" s="900">
        <v>0</v>
      </c>
      <c r="D14" s="900">
        <v>0</v>
      </c>
      <c r="E14" s="900">
        <v>0</v>
      </c>
      <c r="F14" s="900">
        <v>0</v>
      </c>
      <c r="G14" s="900">
        <v>0</v>
      </c>
      <c r="H14" s="985">
        <v>0</v>
      </c>
      <c r="I14" s="986">
        <v>0</v>
      </c>
      <c r="J14" s="986">
        <v>0</v>
      </c>
      <c r="K14" s="987" t="s">
        <v>935</v>
      </c>
    </row>
    <row r="15" spans="1:11">
      <c r="A15" s="880">
        <f>A14+1</f>
        <v>3</v>
      </c>
      <c r="B15" s="984"/>
      <c r="C15" s="900"/>
      <c r="D15" s="900"/>
      <c r="E15" s="900"/>
      <c r="F15" s="900"/>
      <c r="G15" s="900"/>
      <c r="H15" s="985"/>
      <c r="I15" s="986">
        <f t="shared" ref="I15" si="0">F15+G15+H15</f>
        <v>0</v>
      </c>
      <c r="J15" s="986"/>
      <c r="K15" s="987" t="s">
        <v>935</v>
      </c>
    </row>
    <row r="16" spans="1:11">
      <c r="A16" s="880">
        <f t="shared" ref="A16:A26" si="1">A15+1</f>
        <v>4</v>
      </c>
      <c r="B16" s="988"/>
      <c r="C16" s="900"/>
      <c r="D16" s="900"/>
      <c r="E16" s="900"/>
      <c r="F16" s="900"/>
      <c r="G16" s="900"/>
      <c r="H16" s="900"/>
      <c r="I16" s="986"/>
      <c r="J16" s="986"/>
      <c r="K16" s="987"/>
    </row>
    <row r="17" spans="1:11">
      <c r="A17" s="880">
        <f t="shared" si="1"/>
        <v>5</v>
      </c>
      <c r="B17" s="898"/>
      <c r="C17" s="900"/>
      <c r="D17" s="900"/>
      <c r="E17" s="900"/>
      <c r="F17" s="900"/>
      <c r="G17" s="900"/>
      <c r="H17" s="985"/>
      <c r="I17" s="986"/>
      <c r="J17" s="986"/>
      <c r="K17" s="989"/>
    </row>
    <row r="18" spans="1:11">
      <c r="A18" s="880">
        <f t="shared" si="1"/>
        <v>6</v>
      </c>
      <c r="B18" s="898"/>
      <c r="C18" s="900"/>
      <c r="D18" s="900"/>
      <c r="E18" s="900"/>
      <c r="F18" s="900"/>
      <c r="G18" s="900"/>
      <c r="H18" s="985"/>
      <c r="I18" s="986"/>
      <c r="J18" s="986"/>
      <c r="K18" s="986"/>
    </row>
    <row r="19" spans="1:11">
      <c r="A19" s="880">
        <f t="shared" si="1"/>
        <v>7</v>
      </c>
      <c r="B19" s="898"/>
      <c r="C19" s="900"/>
      <c r="D19" s="900"/>
      <c r="E19" s="900"/>
      <c r="F19" s="900"/>
      <c r="G19" s="900"/>
      <c r="H19" s="985"/>
      <c r="I19" s="986"/>
      <c r="J19" s="986"/>
      <c r="K19" s="986"/>
    </row>
    <row r="20" spans="1:11">
      <c r="A20" s="880">
        <f t="shared" si="1"/>
        <v>8</v>
      </c>
      <c r="B20" s="898"/>
      <c r="C20" s="900"/>
      <c r="D20" s="900"/>
      <c r="E20" s="900"/>
      <c r="F20" s="900"/>
      <c r="G20" s="900"/>
      <c r="H20" s="985"/>
      <c r="I20" s="986"/>
      <c r="J20" s="986"/>
      <c r="K20" s="986"/>
    </row>
    <row r="21" spans="1:11">
      <c r="A21" s="880">
        <f t="shared" si="1"/>
        <v>9</v>
      </c>
      <c r="B21" s="898"/>
      <c r="C21" s="900"/>
      <c r="D21" s="900"/>
      <c r="E21" s="900"/>
      <c r="F21" s="900"/>
      <c r="G21" s="900"/>
      <c r="H21" s="985"/>
      <c r="I21" s="986"/>
      <c r="J21" s="986"/>
      <c r="K21" s="986"/>
    </row>
    <row r="22" spans="1:11">
      <c r="A22" s="880">
        <f t="shared" si="1"/>
        <v>10</v>
      </c>
      <c r="B22" s="898"/>
      <c r="C22" s="900"/>
      <c r="D22" s="900"/>
      <c r="E22" s="900"/>
      <c r="F22" s="900"/>
      <c r="G22" s="900"/>
      <c r="H22" s="985"/>
      <c r="I22" s="986"/>
      <c r="J22" s="986"/>
      <c r="K22" s="986"/>
    </row>
    <row r="23" spans="1:11">
      <c r="A23" s="880">
        <f t="shared" si="1"/>
        <v>11</v>
      </c>
      <c r="B23" s="990"/>
      <c r="C23" s="991"/>
      <c r="D23" s="991"/>
      <c r="E23" s="991"/>
      <c r="F23" s="991"/>
      <c r="G23" s="991" t="s">
        <v>2</v>
      </c>
      <c r="H23" s="992"/>
      <c r="I23" s="993"/>
      <c r="J23" s="1003"/>
      <c r="K23" s="1003"/>
    </row>
    <row r="24" spans="1:11">
      <c r="A24" s="880">
        <f t="shared" si="1"/>
        <v>12</v>
      </c>
      <c r="B24" s="994" t="s">
        <v>936</v>
      </c>
      <c r="C24" s="995">
        <f>SUM(C13:C22)</f>
        <v>0</v>
      </c>
      <c r="D24" s="995">
        <f>SUM(D13:D22)</f>
        <v>0</v>
      </c>
      <c r="E24" s="995">
        <f>SUM(E13:E22)</f>
        <v>0</v>
      </c>
      <c r="F24" s="995"/>
      <c r="G24" s="995">
        <f>SUM(G13:G22)</f>
        <v>0</v>
      </c>
      <c r="H24" s="995">
        <f>SUM(H13:H22)</f>
        <v>0</v>
      </c>
      <c r="I24" s="993"/>
      <c r="J24" s="1003"/>
      <c r="K24" s="1003"/>
    </row>
    <row r="25" spans="1:11" ht="12.75" customHeight="1" thickBot="1">
      <c r="A25" s="880">
        <f t="shared" si="1"/>
        <v>13</v>
      </c>
      <c r="B25" s="994" t="s">
        <v>937</v>
      </c>
      <c r="C25" s="996"/>
      <c r="D25" s="997">
        <v>0</v>
      </c>
      <c r="E25" s="997">
        <v>0</v>
      </c>
      <c r="F25" s="997">
        <v>1</v>
      </c>
      <c r="G25" s="997">
        <v>1</v>
      </c>
      <c r="H25" s="997">
        <v>1</v>
      </c>
      <c r="I25" s="998"/>
      <c r="J25" s="1003"/>
      <c r="K25" s="1003"/>
    </row>
    <row r="26" spans="1:11" ht="13.5" thickBot="1">
      <c r="A26" s="880">
        <f t="shared" si="1"/>
        <v>14</v>
      </c>
      <c r="B26" s="994" t="str">
        <f>"Total   (ln "&amp;A24&amp;" * ln "&amp;A25&amp;")"</f>
        <v>Total   (ln 12 * ln 13)</v>
      </c>
      <c r="C26" s="990"/>
      <c r="D26" s="996">
        <f>D24*D25</f>
        <v>0</v>
      </c>
      <c r="E26" s="996">
        <f>E24*E25</f>
        <v>0</v>
      </c>
      <c r="F26" s="996"/>
      <c r="G26" s="996">
        <f>G24*G25</f>
        <v>0</v>
      </c>
      <c r="H26" s="999">
        <f>H24*H25</f>
        <v>0</v>
      </c>
      <c r="I26" s="1000">
        <f>SUM(E26:H26)</f>
        <v>0</v>
      </c>
      <c r="J26" s="1003"/>
      <c r="K26" s="1003"/>
    </row>
    <row r="27" spans="1:11">
      <c r="A27" s="880"/>
      <c r="B27" s="1001"/>
      <c r="C27" s="1002"/>
      <c r="D27" s="1003"/>
      <c r="E27" s="1003"/>
      <c r="F27" s="1003"/>
      <c r="G27" s="1003"/>
      <c r="H27" s="1003"/>
      <c r="I27" s="1003"/>
      <c r="J27" s="1003"/>
      <c r="K27" s="882"/>
    </row>
    <row r="28" spans="1:11">
      <c r="A28" s="880"/>
      <c r="B28" s="1001"/>
      <c r="C28" s="1002"/>
      <c r="D28" s="1003"/>
      <c r="E28" s="1003"/>
      <c r="F28" s="1003"/>
      <c r="G28" s="1003"/>
      <c r="H28" s="1003"/>
      <c r="I28" s="1003"/>
      <c r="J28" s="1003"/>
      <c r="K28" s="882"/>
    </row>
    <row r="29" spans="1:11" ht="12.75" customHeight="1">
      <c r="A29" s="880"/>
      <c r="B29" s="1004"/>
      <c r="C29" s="1004"/>
      <c r="D29" s="1004"/>
      <c r="E29" s="1004"/>
      <c r="F29" s="1004"/>
      <c r="G29" s="1004"/>
      <c r="H29" s="1004"/>
      <c r="I29" s="1004"/>
      <c r="J29" s="1004"/>
      <c r="K29" s="1004"/>
    </row>
    <row r="30" spans="1:11" s="1005" customFormat="1" ht="15.5">
      <c r="A30" s="884"/>
      <c r="B30" s="982" t="s">
        <v>938</v>
      </c>
      <c r="C30" s="983"/>
      <c r="E30" s="1006"/>
      <c r="F30" s="1006"/>
      <c r="G30" s="1006"/>
      <c r="H30" s="1006"/>
    </row>
    <row r="31" spans="1:11" ht="12.75" customHeight="1">
      <c r="A31" s="880"/>
      <c r="B31" s="1004"/>
      <c r="C31" s="1004"/>
      <c r="D31" s="1004"/>
      <c r="E31" s="1004"/>
      <c r="F31" s="1004"/>
      <c r="G31" s="1004"/>
      <c r="H31" s="1004"/>
      <c r="I31" s="1004"/>
      <c r="J31" s="1004"/>
      <c r="K31" s="1004"/>
    </row>
    <row r="32" spans="1:11">
      <c r="A32" s="880"/>
      <c r="B32" s="885" t="s">
        <v>196</v>
      </c>
      <c r="C32" s="885" t="s">
        <v>197</v>
      </c>
      <c r="D32" s="885" t="s">
        <v>198</v>
      </c>
      <c r="E32" s="885" t="s">
        <v>199</v>
      </c>
      <c r="F32" s="885" t="s">
        <v>201</v>
      </c>
      <c r="G32" s="885" t="s">
        <v>200</v>
      </c>
      <c r="H32" s="885" t="s">
        <v>202</v>
      </c>
      <c r="I32" s="885" t="s">
        <v>203</v>
      </c>
      <c r="J32" s="885" t="s">
        <v>204</v>
      </c>
      <c r="K32" s="885" t="s">
        <v>967</v>
      </c>
    </row>
    <row r="33" spans="1:11">
      <c r="A33" s="880"/>
      <c r="B33" s="885"/>
      <c r="C33" s="885"/>
      <c r="D33" s="888">
        <v>1</v>
      </c>
      <c r="E33" s="888">
        <v>1</v>
      </c>
      <c r="F33" s="887" t="s">
        <v>864</v>
      </c>
      <c r="G33" s="885"/>
      <c r="H33" s="885"/>
      <c r="I33" s="885" t="s">
        <v>865</v>
      </c>
      <c r="J33" s="885" t="s">
        <v>968</v>
      </c>
      <c r="K33" s="885" t="s">
        <v>930</v>
      </c>
    </row>
    <row r="34" spans="1:11">
      <c r="A34" s="880" t="s">
        <v>8</v>
      </c>
      <c r="B34" s="885"/>
      <c r="C34" s="885"/>
      <c r="D34" s="885" t="s">
        <v>867</v>
      </c>
      <c r="E34" s="885" t="s">
        <v>868</v>
      </c>
      <c r="F34" s="885" t="s">
        <v>16</v>
      </c>
      <c r="G34" s="885" t="s">
        <v>869</v>
      </c>
      <c r="H34" s="885" t="s">
        <v>870</v>
      </c>
      <c r="I34" s="885" t="s">
        <v>931</v>
      </c>
      <c r="J34" s="885" t="s">
        <v>969</v>
      </c>
      <c r="K34" s="885" t="s">
        <v>688</v>
      </c>
    </row>
    <row r="35" spans="1:11">
      <c r="A35" s="880" t="s">
        <v>10</v>
      </c>
      <c r="B35" s="891" t="s">
        <v>872</v>
      </c>
      <c r="C35" s="891" t="s">
        <v>932</v>
      </c>
      <c r="D35" s="891" t="s">
        <v>873</v>
      </c>
      <c r="E35" s="891" t="s">
        <v>874</v>
      </c>
      <c r="F35" s="891" t="s">
        <v>873</v>
      </c>
      <c r="G35" s="891" t="s">
        <v>873</v>
      </c>
      <c r="H35" s="891" t="s">
        <v>873</v>
      </c>
      <c r="I35" s="891" t="s">
        <v>933</v>
      </c>
      <c r="J35" s="891" t="s">
        <v>771</v>
      </c>
      <c r="K35" s="891" t="s">
        <v>939</v>
      </c>
    </row>
    <row r="36" spans="1:11" ht="12.75" customHeight="1">
      <c r="B36" s="882"/>
      <c r="C36" s="1007"/>
      <c r="D36" s="882"/>
      <c r="E36" s="882"/>
      <c r="F36" s="882"/>
      <c r="G36" s="1007"/>
      <c r="H36" s="1007"/>
      <c r="I36" s="1007"/>
      <c r="J36" s="1007"/>
      <c r="K36" s="882"/>
    </row>
    <row r="37" spans="1:11">
      <c r="A37" s="880">
        <f>A26+1</f>
        <v>15</v>
      </c>
      <c r="B37" s="1137" t="s">
        <v>1058</v>
      </c>
      <c r="C37" s="1139">
        <v>0</v>
      </c>
      <c r="D37" s="1139">
        <v>0</v>
      </c>
      <c r="E37" s="1139">
        <v>0</v>
      </c>
      <c r="F37" s="1139">
        <v>0</v>
      </c>
      <c r="G37" s="1139">
        <v>0</v>
      </c>
      <c r="H37" s="1140">
        <v>0</v>
      </c>
      <c r="I37" s="1139">
        <v>0</v>
      </c>
      <c r="J37" s="1139">
        <v>0</v>
      </c>
      <c r="K37" s="1141" t="s">
        <v>1059</v>
      </c>
    </row>
    <row r="38" spans="1:11">
      <c r="A38" s="880">
        <f t="shared" ref="A38:A68" si="2">A37+1</f>
        <v>16</v>
      </c>
      <c r="B38" s="1138" t="s">
        <v>1057</v>
      </c>
      <c r="C38" s="1008"/>
      <c r="D38" s="1008"/>
      <c r="E38" s="1008"/>
      <c r="F38" s="1008"/>
      <c r="G38" s="1008"/>
      <c r="H38" s="986"/>
      <c r="I38" s="1008"/>
      <c r="J38" s="1008"/>
      <c r="K38" s="1009"/>
    </row>
    <row r="39" spans="1:11">
      <c r="A39" s="880">
        <f t="shared" si="2"/>
        <v>17</v>
      </c>
      <c r="B39" s="984"/>
      <c r="C39" s="1008"/>
      <c r="D39" s="1008"/>
      <c r="E39" s="1008"/>
      <c r="F39" s="1008"/>
      <c r="G39" s="1008"/>
      <c r="H39" s="986"/>
      <c r="I39" s="1008"/>
      <c r="J39" s="1008"/>
      <c r="K39" s="1009"/>
    </row>
    <row r="40" spans="1:11">
      <c r="A40" s="880">
        <f t="shared" si="2"/>
        <v>18</v>
      </c>
      <c r="B40" s="988"/>
      <c r="C40" s="900"/>
      <c r="D40" s="900"/>
      <c r="E40" s="900"/>
      <c r="F40" s="900"/>
      <c r="G40" s="900"/>
      <c r="H40" s="985"/>
      <c r="I40" s="1008"/>
      <c r="J40" s="1008"/>
      <c r="K40" s="1009"/>
    </row>
    <row r="41" spans="1:11">
      <c r="A41" s="880">
        <f t="shared" si="2"/>
        <v>19</v>
      </c>
      <c r="B41" s="984"/>
      <c r="C41" s="900"/>
      <c r="D41" s="900"/>
      <c r="E41" s="900"/>
      <c r="F41" s="900"/>
      <c r="G41" s="900"/>
      <c r="H41" s="985"/>
      <c r="I41" s="1008"/>
      <c r="J41" s="1008"/>
      <c r="K41" s="1009"/>
    </row>
    <row r="42" spans="1:11">
      <c r="A42" s="880">
        <f t="shared" si="2"/>
        <v>20</v>
      </c>
      <c r="B42" s="1011"/>
      <c r="C42" s="900"/>
      <c r="D42" s="900"/>
      <c r="E42" s="900"/>
      <c r="F42" s="900"/>
      <c r="G42" s="900"/>
      <c r="H42" s="985"/>
      <c r="I42" s="1008"/>
      <c r="J42" s="1008"/>
      <c r="K42" s="1009"/>
    </row>
    <row r="43" spans="1:11">
      <c r="A43" s="880">
        <f t="shared" si="2"/>
        <v>21</v>
      </c>
      <c r="B43" s="984"/>
      <c r="C43" s="900"/>
      <c r="D43" s="900"/>
      <c r="E43" s="900"/>
      <c r="F43" s="900"/>
      <c r="G43" s="900"/>
      <c r="H43" s="985"/>
      <c r="I43" s="1008"/>
      <c r="J43" s="1008"/>
      <c r="K43" s="1009"/>
    </row>
    <row r="44" spans="1:11">
      <c r="A44" s="880">
        <f t="shared" si="2"/>
        <v>22</v>
      </c>
      <c r="B44" s="1010"/>
      <c r="C44" s="900"/>
      <c r="D44" s="900"/>
      <c r="E44" s="900"/>
      <c r="F44" s="900"/>
      <c r="G44" s="900"/>
      <c r="H44" s="985"/>
      <c r="I44" s="1008"/>
      <c r="J44" s="1008"/>
      <c r="K44" s="1009"/>
    </row>
    <row r="45" spans="1:11">
      <c r="A45" s="880">
        <f t="shared" si="2"/>
        <v>23</v>
      </c>
      <c r="B45" s="1010"/>
      <c r="C45" s="900"/>
      <c r="D45" s="1008"/>
      <c r="E45" s="1008"/>
      <c r="F45" s="1008"/>
      <c r="G45" s="1008"/>
      <c r="H45" s="986"/>
      <c r="I45" s="1008">
        <f t="shared" ref="I45" si="3">F45+G45+H45</f>
        <v>0</v>
      </c>
      <c r="J45" s="1008"/>
      <c r="K45" s="1009"/>
    </row>
    <row r="46" spans="1:11" s="955" customFormat="1" ht="12.5">
      <c r="A46" s="880">
        <f t="shared" si="2"/>
        <v>24</v>
      </c>
      <c r="B46" s="1010"/>
      <c r="C46" s="900"/>
      <c r="D46" s="900"/>
      <c r="E46" s="900"/>
      <c r="F46" s="900"/>
      <c r="G46" s="900"/>
      <c r="H46" s="985"/>
      <c r="I46" s="989"/>
      <c r="J46" s="989"/>
      <c r="K46" s="1009"/>
    </row>
    <row r="47" spans="1:11">
      <c r="A47" s="880">
        <f t="shared" si="2"/>
        <v>25</v>
      </c>
      <c r="B47" s="1010"/>
      <c r="C47" s="900"/>
      <c r="D47" s="900"/>
      <c r="E47" s="900"/>
      <c r="F47" s="900"/>
      <c r="G47" s="900"/>
      <c r="H47" s="985"/>
      <c r="I47" s="989"/>
      <c r="J47" s="989"/>
      <c r="K47" s="1009"/>
    </row>
    <row r="48" spans="1:11">
      <c r="A48" s="880">
        <f t="shared" si="2"/>
        <v>26</v>
      </c>
      <c r="B48" s="1012"/>
      <c r="C48" s="900"/>
      <c r="D48" s="900"/>
      <c r="E48" s="900"/>
      <c r="F48" s="900"/>
      <c r="G48" s="900"/>
      <c r="H48" s="985"/>
      <c r="I48" s="989"/>
      <c r="J48" s="989"/>
      <c r="K48" s="1009"/>
    </row>
    <row r="49" spans="1:11">
      <c r="A49" s="880">
        <f t="shared" si="2"/>
        <v>27</v>
      </c>
      <c r="B49" s="1010"/>
      <c r="C49" s="900"/>
      <c r="D49" s="900"/>
      <c r="E49" s="900"/>
      <c r="F49" s="900"/>
      <c r="G49" s="900"/>
      <c r="H49" s="985"/>
      <c r="I49" s="989"/>
      <c r="J49" s="989"/>
      <c r="K49" s="1009"/>
    </row>
    <row r="50" spans="1:11">
      <c r="A50" s="880">
        <f t="shared" si="2"/>
        <v>28</v>
      </c>
      <c r="B50" s="1010"/>
      <c r="C50" s="900"/>
      <c r="D50" s="900"/>
      <c r="E50" s="900"/>
      <c r="F50" s="900"/>
      <c r="G50" s="900"/>
      <c r="H50" s="985"/>
      <c r="I50" s="989"/>
      <c r="J50" s="989"/>
      <c r="K50" s="1009"/>
    </row>
    <row r="51" spans="1:11">
      <c r="A51" s="880">
        <f t="shared" si="2"/>
        <v>29</v>
      </c>
      <c r="B51" s="1010"/>
      <c r="C51" s="900"/>
      <c r="D51" s="900"/>
      <c r="E51" s="900"/>
      <c r="F51" s="900"/>
      <c r="G51" s="900"/>
      <c r="H51" s="985"/>
      <c r="I51" s="989"/>
      <c r="J51" s="989"/>
      <c r="K51" s="1009"/>
    </row>
    <row r="52" spans="1:11">
      <c r="A52" s="880">
        <f t="shared" si="2"/>
        <v>30</v>
      </c>
      <c r="B52" s="1010"/>
      <c r="C52" s="900"/>
      <c r="D52" s="900"/>
      <c r="E52" s="900"/>
      <c r="F52" s="900"/>
      <c r="G52" s="900"/>
      <c r="H52" s="985"/>
      <c r="I52" s="989"/>
      <c r="J52" s="989"/>
      <c r="K52" s="987"/>
    </row>
    <row r="53" spans="1:11">
      <c r="A53" s="880">
        <f t="shared" si="2"/>
        <v>31</v>
      </c>
      <c r="B53" s="1010"/>
      <c r="C53" s="900"/>
      <c r="D53" s="900"/>
      <c r="E53" s="900"/>
      <c r="F53" s="900"/>
      <c r="G53" s="900"/>
      <c r="H53" s="985"/>
      <c r="I53" s="989"/>
      <c r="J53" s="989"/>
      <c r="K53" s="987"/>
    </row>
    <row r="54" spans="1:11">
      <c r="A54" s="880">
        <f t="shared" si="2"/>
        <v>32</v>
      </c>
      <c r="B54" s="1010"/>
      <c r="C54" s="900"/>
      <c r="D54" s="900"/>
      <c r="E54" s="900"/>
      <c r="F54" s="900"/>
      <c r="G54" s="900"/>
      <c r="H54" s="985"/>
      <c r="I54" s="989"/>
      <c r="J54" s="989"/>
      <c r="K54" s="987"/>
    </row>
    <row r="55" spans="1:11">
      <c r="A55" s="880">
        <f t="shared" si="2"/>
        <v>33</v>
      </c>
      <c r="B55" s="1010"/>
      <c r="C55" s="900"/>
      <c r="D55" s="900"/>
      <c r="E55" s="900"/>
      <c r="F55" s="900"/>
      <c r="G55" s="900"/>
      <c r="H55" s="985"/>
      <c r="I55" s="989"/>
      <c r="J55" s="989"/>
      <c r="K55" s="987"/>
    </row>
    <row r="56" spans="1:11">
      <c r="A56" s="880">
        <f t="shared" si="2"/>
        <v>34</v>
      </c>
      <c r="B56" s="1010"/>
      <c r="C56" s="900"/>
      <c r="D56" s="900"/>
      <c r="E56" s="900"/>
      <c r="F56" s="900"/>
      <c r="G56" s="900"/>
      <c r="H56" s="985"/>
      <c r="I56" s="989"/>
      <c r="J56" s="989"/>
      <c r="K56" s="987"/>
    </row>
    <row r="57" spans="1:11">
      <c r="A57" s="880">
        <f t="shared" si="2"/>
        <v>35</v>
      </c>
      <c r="B57" s="1010"/>
      <c r="C57" s="900"/>
      <c r="D57" s="900"/>
      <c r="E57" s="900"/>
      <c r="F57" s="900"/>
      <c r="G57" s="900"/>
      <c r="H57" s="985"/>
      <c r="I57" s="989"/>
      <c r="J57" s="989"/>
      <c r="K57" s="987"/>
    </row>
    <row r="58" spans="1:11">
      <c r="A58" s="880">
        <f t="shared" si="2"/>
        <v>36</v>
      </c>
      <c r="B58" s="1010"/>
      <c r="C58" s="900"/>
      <c r="D58" s="900"/>
      <c r="E58" s="900"/>
      <c r="F58" s="900"/>
      <c r="G58" s="900"/>
      <c r="H58" s="985"/>
      <c r="I58" s="989"/>
      <c r="J58" s="989"/>
      <c r="K58" s="987"/>
    </row>
    <row r="59" spans="1:11">
      <c r="A59" s="880">
        <f t="shared" si="2"/>
        <v>37</v>
      </c>
      <c r="B59" s="1010"/>
      <c r="C59" s="900"/>
      <c r="D59" s="900"/>
      <c r="E59" s="900"/>
      <c r="F59" s="900"/>
      <c r="G59" s="900"/>
      <c r="H59" s="985"/>
      <c r="I59" s="989"/>
      <c r="J59" s="989"/>
      <c r="K59" s="987"/>
    </row>
    <row r="60" spans="1:11">
      <c r="A60" s="880">
        <f t="shared" si="2"/>
        <v>38</v>
      </c>
      <c r="B60" s="1010"/>
      <c r="C60" s="900"/>
      <c r="D60" s="900"/>
      <c r="E60" s="900"/>
      <c r="F60" s="900"/>
      <c r="G60" s="900"/>
      <c r="H60" s="985"/>
      <c r="I60" s="989"/>
      <c r="J60" s="989"/>
      <c r="K60" s="987"/>
    </row>
    <row r="61" spans="1:11">
      <c r="A61" s="880">
        <f t="shared" si="2"/>
        <v>39</v>
      </c>
      <c r="B61" s="1010"/>
      <c r="C61" s="900"/>
      <c r="D61" s="900"/>
      <c r="E61" s="900"/>
      <c r="F61" s="900"/>
      <c r="G61" s="900"/>
      <c r="H61" s="985"/>
      <c r="I61" s="989"/>
      <c r="J61" s="989"/>
      <c r="K61" s="987"/>
    </row>
    <row r="62" spans="1:11">
      <c r="A62" s="880">
        <f t="shared" si="2"/>
        <v>40</v>
      </c>
      <c r="B62" s="1010"/>
      <c r="C62" s="900"/>
      <c r="D62" s="900"/>
      <c r="E62" s="900"/>
      <c r="F62" s="900"/>
      <c r="G62" s="900"/>
      <c r="H62" s="985"/>
      <c r="I62" s="989"/>
      <c r="J62" s="989"/>
      <c r="K62" s="987"/>
    </row>
    <row r="63" spans="1:11">
      <c r="A63" s="880">
        <f t="shared" si="2"/>
        <v>41</v>
      </c>
      <c r="B63" s="1010"/>
      <c r="C63" s="900"/>
      <c r="D63" s="900"/>
      <c r="E63" s="900"/>
      <c r="F63" s="900"/>
      <c r="G63" s="900"/>
      <c r="H63" s="985"/>
      <c r="I63" s="989"/>
      <c r="J63" s="989"/>
      <c r="K63" s="987"/>
    </row>
    <row r="64" spans="1:11">
      <c r="A64" s="880">
        <f t="shared" si="2"/>
        <v>42</v>
      </c>
      <c r="B64" s="1010"/>
      <c r="C64" s="900"/>
      <c r="D64" s="900"/>
      <c r="E64" s="900"/>
      <c r="F64" s="900"/>
      <c r="G64" s="900"/>
      <c r="H64" s="985"/>
      <c r="I64" s="989"/>
      <c r="J64" s="989"/>
      <c r="K64" s="987"/>
    </row>
    <row r="65" spans="1:14" ht="12.75" customHeight="1">
      <c r="A65" s="880">
        <f t="shared" si="2"/>
        <v>43</v>
      </c>
      <c r="B65" s="990"/>
      <c r="C65" s="995"/>
      <c r="D65" s="995"/>
      <c r="E65" s="995"/>
      <c r="F65" s="995"/>
      <c r="G65" s="995"/>
      <c r="H65" s="1013"/>
      <c r="I65" s="995"/>
      <c r="J65" s="1003"/>
      <c r="K65" s="1003"/>
    </row>
    <row r="66" spans="1:14" ht="12.75" customHeight="1">
      <c r="A66" s="880">
        <f t="shared" si="2"/>
        <v>44</v>
      </c>
      <c r="B66" s="994" t="s">
        <v>936</v>
      </c>
      <c r="C66" s="995">
        <f>SUM(C37:C64)</f>
        <v>0</v>
      </c>
      <c r="D66" s="995">
        <f>SUM(D37:D64)</f>
        <v>0</v>
      </c>
      <c r="E66" s="995">
        <f>SUM(E37:E64)</f>
        <v>0</v>
      </c>
      <c r="F66" s="995"/>
      <c r="G66" s="1014">
        <f>SUM(G37:G64)</f>
        <v>0</v>
      </c>
      <c r="H66" s="1014">
        <f>SUM(H37:H64)</f>
        <v>0</v>
      </c>
      <c r="I66" s="995"/>
      <c r="J66" s="1003"/>
      <c r="K66" s="1003"/>
    </row>
    <row r="67" spans="1:14" ht="12.75" customHeight="1" thickBot="1">
      <c r="A67" s="880">
        <f t="shared" si="2"/>
        <v>45</v>
      </c>
      <c r="B67" s="994" t="s">
        <v>937</v>
      </c>
      <c r="C67" s="1015"/>
      <c r="D67" s="997">
        <v>0</v>
      </c>
      <c r="E67" s="997">
        <v>0</v>
      </c>
      <c r="F67" s="997">
        <v>1</v>
      </c>
      <c r="G67" s="997">
        <v>1</v>
      </c>
      <c r="H67" s="997">
        <v>1</v>
      </c>
      <c r="I67" s="998"/>
      <c r="J67" s="1003"/>
      <c r="K67" s="1003"/>
    </row>
    <row r="68" spans="1:14" ht="12.75" customHeight="1" thickBot="1">
      <c r="A68" s="880">
        <f t="shared" si="2"/>
        <v>46</v>
      </c>
      <c r="B68" s="994" t="str">
        <f>"Total   (ln "&amp;A66&amp;" * ln "&amp;A67&amp;")"</f>
        <v>Total   (ln 44 * ln 45)</v>
      </c>
      <c r="C68" s="990"/>
      <c r="D68" s="996">
        <f>D66*D67</f>
        <v>0</v>
      </c>
      <c r="E68" s="996">
        <f>E66*E67</f>
        <v>0</v>
      </c>
      <c r="F68" s="996"/>
      <c r="G68" s="996">
        <f>G66*G67</f>
        <v>0</v>
      </c>
      <c r="H68" s="999">
        <f>H66*H67</f>
        <v>0</v>
      </c>
      <c r="I68" s="1000">
        <f>SUM(E68:H68)</f>
        <v>0</v>
      </c>
      <c r="J68" s="1003"/>
      <c r="K68" s="1003"/>
    </row>
    <row r="69" spans="1:14" ht="12.75" customHeight="1">
      <c r="A69" s="880"/>
      <c r="B69" s="1001"/>
      <c r="C69" s="1002"/>
      <c r="D69" s="1003"/>
      <c r="E69" s="1003"/>
      <c r="F69" s="1003"/>
      <c r="G69" s="1003"/>
      <c r="H69" s="1003"/>
      <c r="I69" s="1003"/>
      <c r="J69" s="1003"/>
      <c r="K69" s="882"/>
    </row>
    <row r="70" spans="1:14" ht="12.75" customHeight="1">
      <c r="A70" s="880"/>
      <c r="B70" s="916"/>
      <c r="C70" s="882"/>
      <c r="D70" s="921"/>
      <c r="E70" s="921"/>
      <c r="F70" s="921"/>
      <c r="G70" s="921"/>
      <c r="H70" s="921"/>
      <c r="I70" s="921"/>
      <c r="J70" s="921"/>
      <c r="K70" s="882"/>
    </row>
    <row r="71" spans="1:14" ht="20.25" customHeight="1">
      <c r="A71" s="884"/>
      <c r="B71" s="916"/>
      <c r="C71" s="920"/>
      <c r="D71" s="921"/>
      <c r="E71" s="921"/>
      <c r="F71" s="921"/>
      <c r="G71" s="1003"/>
      <c r="H71" s="1003"/>
      <c r="I71" s="1016"/>
      <c r="J71" s="1016"/>
      <c r="K71" s="980" t="s">
        <v>153</v>
      </c>
    </row>
    <row r="72" spans="1:14" ht="18">
      <c r="A72" s="1017" t="s">
        <v>970</v>
      </c>
      <c r="B72" s="1018"/>
      <c r="C72" s="920"/>
      <c r="D72" s="921"/>
      <c r="E72" s="921"/>
      <c r="F72" s="921"/>
      <c r="G72" s="1003"/>
      <c r="H72" s="1003"/>
      <c r="I72" s="1016"/>
      <c r="J72" s="1016"/>
    </row>
    <row r="73" spans="1:14" ht="15.5">
      <c r="A73" s="884"/>
      <c r="B73" s="982"/>
      <c r="C73" s="920"/>
      <c r="D73" s="921"/>
      <c r="E73" s="921"/>
      <c r="F73" s="921"/>
      <c r="G73" s="1003"/>
      <c r="H73" s="1003"/>
      <c r="I73" s="1016"/>
      <c r="J73" s="1016"/>
    </row>
    <row r="74" spans="1:14">
      <c r="A74" s="885"/>
      <c r="B74" s="885" t="s">
        <v>196</v>
      </c>
      <c r="C74" s="885" t="s">
        <v>197</v>
      </c>
      <c r="D74" s="885" t="s">
        <v>198</v>
      </c>
      <c r="E74" s="885" t="s">
        <v>199</v>
      </c>
      <c r="F74" s="885" t="s">
        <v>201</v>
      </c>
      <c r="G74" s="885" t="s">
        <v>200</v>
      </c>
      <c r="H74" s="1258" t="s">
        <v>202</v>
      </c>
      <c r="I74" s="1258"/>
      <c r="J74" s="1258"/>
      <c r="K74" s="1258"/>
      <c r="L74" s="1258"/>
      <c r="M74" s="1019"/>
      <c r="N74" s="1019"/>
    </row>
    <row r="75" spans="1:14">
      <c r="A75" s="885"/>
      <c r="B75" s="885"/>
      <c r="C75" s="885"/>
      <c r="D75" s="885"/>
      <c r="E75" s="885"/>
      <c r="F75" s="885"/>
      <c r="G75" s="885"/>
      <c r="H75" s="1019"/>
      <c r="I75" s="1019"/>
      <c r="J75" s="1019"/>
      <c r="K75" s="1020"/>
    </row>
    <row r="76" spans="1:14">
      <c r="A76" s="885"/>
      <c r="B76" s="885"/>
      <c r="C76" s="885" t="s">
        <v>941</v>
      </c>
      <c r="D76" s="885"/>
      <c r="E76" s="885"/>
      <c r="F76" s="885"/>
      <c r="G76" s="885"/>
      <c r="H76" s="1019"/>
      <c r="I76" s="1019"/>
      <c r="J76" s="1019"/>
      <c r="K76" s="1020"/>
    </row>
    <row r="77" spans="1:14">
      <c r="A77" s="880" t="s">
        <v>8</v>
      </c>
      <c r="B77" s="1021" t="s">
        <v>940</v>
      </c>
      <c r="C77" s="1106" t="s">
        <v>945</v>
      </c>
      <c r="D77" s="885" t="s">
        <v>942</v>
      </c>
      <c r="E77" s="885" t="s">
        <v>433</v>
      </c>
      <c r="F77" s="1022" t="s">
        <v>943</v>
      </c>
      <c r="G77" s="1022" t="s">
        <v>944</v>
      </c>
      <c r="H77" s="1019"/>
      <c r="I77" s="1019"/>
      <c r="J77" s="1019"/>
      <c r="K77" s="1020"/>
    </row>
    <row r="78" spans="1:14" ht="16">
      <c r="A78" s="880" t="s">
        <v>10</v>
      </c>
      <c r="B78" s="891" t="s">
        <v>971</v>
      </c>
      <c r="C78" s="1024" t="s">
        <v>958</v>
      </c>
      <c r="D78" s="1024" t="s">
        <v>514</v>
      </c>
      <c r="E78" s="1024" t="s">
        <v>946</v>
      </c>
      <c r="F78" s="1025" t="s">
        <v>947</v>
      </c>
      <c r="G78" s="1023" t="s">
        <v>948</v>
      </c>
      <c r="H78" s="1254" t="s">
        <v>572</v>
      </c>
      <c r="I78" s="1254"/>
      <c r="J78" s="1254"/>
      <c r="K78" s="1254"/>
      <c r="L78" s="1254"/>
    </row>
    <row r="79" spans="1:14">
      <c r="A79" s="884">
        <f>A68+1</f>
        <v>47</v>
      </c>
      <c r="B79" s="908" t="s">
        <v>1060</v>
      </c>
      <c r="C79" s="906">
        <v>0</v>
      </c>
      <c r="D79" s="1198">
        <v>0</v>
      </c>
      <c r="E79" s="906">
        <v>0</v>
      </c>
      <c r="F79" s="1198">
        <v>0</v>
      </c>
      <c r="G79" s="906">
        <v>0</v>
      </c>
      <c r="H79" s="1260" t="s">
        <v>1061</v>
      </c>
      <c r="I79" s="1260">
        <v>0</v>
      </c>
      <c r="J79" s="1260">
        <v>0</v>
      </c>
      <c r="K79" s="1260">
        <v>0</v>
      </c>
      <c r="L79" s="1260">
        <v>0</v>
      </c>
      <c r="M79" s="1260">
        <v>0</v>
      </c>
      <c r="N79" s="1260">
        <v>0</v>
      </c>
    </row>
    <row r="80" spans="1:14">
      <c r="A80" s="884">
        <f>A79+1</f>
        <v>48</v>
      </c>
      <c r="B80" s="908" t="s">
        <v>1062</v>
      </c>
      <c r="C80" s="1027">
        <v>0</v>
      </c>
      <c r="D80" s="1198">
        <v>0</v>
      </c>
      <c r="E80" s="906">
        <v>0</v>
      </c>
      <c r="F80" s="1198">
        <v>0</v>
      </c>
      <c r="G80" s="906">
        <v>0</v>
      </c>
      <c r="H80" s="1260" t="s">
        <v>1063</v>
      </c>
      <c r="I80" s="1260">
        <v>0</v>
      </c>
      <c r="J80" s="1260">
        <v>0</v>
      </c>
      <c r="K80" s="1260">
        <v>0</v>
      </c>
      <c r="L80" s="1260">
        <v>0</v>
      </c>
      <c r="M80" s="1260">
        <v>0</v>
      </c>
      <c r="N80" s="1260">
        <v>0</v>
      </c>
    </row>
    <row r="81" spans="1:14">
      <c r="A81" s="884">
        <f t="shared" ref="A81:A82" si="4">A80+1</f>
        <v>49</v>
      </c>
      <c r="B81" s="1026"/>
      <c r="C81" s="1027"/>
      <c r="D81" s="1027"/>
      <c r="E81" s="906"/>
      <c r="F81" s="1027"/>
      <c r="G81" s="906"/>
      <c r="H81" s="1255"/>
      <c r="I81" s="1256"/>
      <c r="J81" s="1256"/>
      <c r="K81" s="1256"/>
      <c r="L81" s="1257"/>
    </row>
    <row r="82" spans="1:14">
      <c r="A82" s="884">
        <f t="shared" si="4"/>
        <v>50</v>
      </c>
      <c r="B82" s="1026"/>
      <c r="C82" s="1027"/>
      <c r="D82" s="1027"/>
      <c r="E82" s="906"/>
      <c r="F82" s="1027"/>
      <c r="G82" s="906"/>
      <c r="H82" s="1255"/>
      <c r="I82" s="1256"/>
      <c r="J82" s="1256"/>
      <c r="K82" s="1256"/>
      <c r="L82" s="1257"/>
    </row>
    <row r="83" spans="1:14">
      <c r="A83" s="884"/>
      <c r="B83" s="916"/>
      <c r="C83" s="1028"/>
      <c r="D83" s="1029"/>
      <c r="E83" s="1029"/>
      <c r="F83" s="1028"/>
      <c r="G83" s="1028"/>
      <c r="H83" s="1259"/>
      <c r="I83" s="1259"/>
      <c r="J83" s="1259"/>
      <c r="K83" s="1259"/>
      <c r="L83" s="1259"/>
    </row>
    <row r="84" spans="1:14">
      <c r="A84" s="884">
        <f>A82+1</f>
        <v>51</v>
      </c>
      <c r="B84" s="908" t="s">
        <v>1064</v>
      </c>
      <c r="C84" s="906">
        <v>0</v>
      </c>
      <c r="D84" s="1139">
        <v>0</v>
      </c>
      <c r="E84" s="906">
        <v>0</v>
      </c>
      <c r="F84" s="906">
        <v>0</v>
      </c>
      <c r="G84" s="906">
        <v>0</v>
      </c>
      <c r="H84" s="1260" t="s">
        <v>1065</v>
      </c>
      <c r="I84" s="1260">
        <v>0</v>
      </c>
      <c r="J84" s="1260">
        <v>0</v>
      </c>
      <c r="K84" s="1260">
        <v>0</v>
      </c>
      <c r="L84" s="1260">
        <v>0</v>
      </c>
      <c r="M84" s="1260">
        <v>0</v>
      </c>
      <c r="N84" s="1260">
        <v>0</v>
      </c>
    </row>
    <row r="85" spans="1:14">
      <c r="A85" s="884">
        <f>A84+1</f>
        <v>52</v>
      </c>
      <c r="B85" s="908" t="s">
        <v>1066</v>
      </c>
      <c r="C85" s="1027">
        <v>0</v>
      </c>
      <c r="D85" s="1198">
        <v>0</v>
      </c>
      <c r="E85" s="906">
        <v>0</v>
      </c>
      <c r="F85" s="1027">
        <v>0</v>
      </c>
      <c r="G85" s="906">
        <v>0</v>
      </c>
      <c r="H85" s="1260" t="s">
        <v>1063</v>
      </c>
      <c r="I85" s="1260">
        <v>0</v>
      </c>
      <c r="J85" s="1260">
        <v>0</v>
      </c>
      <c r="K85" s="1260">
        <v>0</v>
      </c>
      <c r="L85" s="1260">
        <v>0</v>
      </c>
      <c r="M85" s="1260">
        <v>0</v>
      </c>
      <c r="N85" s="1260">
        <v>0</v>
      </c>
    </row>
    <row r="86" spans="1:14">
      <c r="A86" s="884">
        <f t="shared" ref="A86:A87" si="5">A85+1</f>
        <v>53</v>
      </c>
      <c r="B86" s="1026"/>
      <c r="C86" s="1027"/>
      <c r="D86" s="1027"/>
      <c r="E86" s="906"/>
      <c r="F86" s="1027"/>
      <c r="G86" s="906"/>
      <c r="H86" s="1255"/>
      <c r="I86" s="1256"/>
      <c r="J86" s="1256"/>
      <c r="K86" s="1256"/>
      <c r="L86" s="1257"/>
    </row>
    <row r="87" spans="1:14">
      <c r="A87" s="884">
        <f t="shared" si="5"/>
        <v>54</v>
      </c>
      <c r="B87" s="1026"/>
      <c r="C87" s="906"/>
      <c r="D87" s="1030"/>
      <c r="E87" s="906"/>
      <c r="F87" s="906"/>
      <c r="G87" s="906"/>
      <c r="H87" s="1255"/>
      <c r="I87" s="1256"/>
      <c r="J87" s="1256"/>
      <c r="K87" s="1256"/>
      <c r="L87" s="1257"/>
    </row>
    <row r="88" spans="1:14">
      <c r="A88" s="884"/>
      <c r="B88" s="916"/>
      <c r="C88" s="1031"/>
      <c r="D88" s="1031"/>
      <c r="E88" s="1031"/>
      <c r="F88" s="1032"/>
      <c r="G88" s="1031"/>
      <c r="H88" s="1019"/>
      <c r="I88" s="1019"/>
      <c r="J88" s="1019"/>
      <c r="K88" s="1020"/>
    </row>
    <row r="89" spans="1:14" ht="13.5" thickBot="1">
      <c r="A89" s="884">
        <f>A87+1</f>
        <v>55</v>
      </c>
      <c r="B89" s="1001" t="str">
        <f>"Total Regulatory Asset/Liability   (sum lns "&amp;A79&amp;" and "&amp;A87&amp;")"</f>
        <v>Total Regulatory Asset/Liability   (sum lns 47 and 54)</v>
      </c>
      <c r="C89" s="1033">
        <f>SUM(C79:C87)</f>
        <v>0</v>
      </c>
      <c r="D89" s="1033">
        <f t="shared" ref="D89:G89" si="6">SUM(D79:D87)</f>
        <v>0</v>
      </c>
      <c r="E89" s="1033">
        <f t="shared" si="6"/>
        <v>0</v>
      </c>
      <c r="F89" s="1033">
        <f t="shared" si="6"/>
        <v>0</v>
      </c>
      <c r="G89" s="1033">
        <f t="shared" si="6"/>
        <v>0</v>
      </c>
      <c r="H89" s="1034"/>
      <c r="I89" s="1019"/>
      <c r="J89" s="1019"/>
      <c r="K89" s="1020"/>
    </row>
    <row r="90" spans="1:14" ht="16" thickTop="1">
      <c r="A90" s="885"/>
      <c r="B90" s="1035"/>
      <c r="C90" s="1036"/>
      <c r="D90" s="1036"/>
      <c r="E90" s="1036"/>
      <c r="F90" s="1037"/>
      <c r="G90" s="1036"/>
      <c r="H90" s="1019"/>
      <c r="I90" s="1019"/>
      <c r="J90" s="1019"/>
      <c r="K90" s="1020"/>
    </row>
    <row r="91" spans="1:14" ht="15.5">
      <c r="A91" s="885"/>
      <c r="B91" s="1035"/>
      <c r="C91" s="1031"/>
      <c r="D91" s="1031"/>
      <c r="E91" s="1031"/>
      <c r="F91" s="1031"/>
      <c r="G91" s="1031"/>
      <c r="H91" s="1019"/>
      <c r="I91" s="1019"/>
      <c r="J91" s="1019"/>
      <c r="K91" s="1020"/>
    </row>
    <row r="92" spans="1:14">
      <c r="A92" s="886"/>
      <c r="B92" s="917" t="s">
        <v>972</v>
      </c>
      <c r="C92" s="917"/>
      <c r="D92" s="917"/>
      <c r="E92" s="882"/>
      <c r="F92" s="882"/>
      <c r="G92" s="882"/>
      <c r="H92" s="882"/>
      <c r="I92" s="882"/>
      <c r="J92" s="882"/>
    </row>
    <row r="93" spans="1:14">
      <c r="A93" s="886"/>
      <c r="B93" s="882" t="s">
        <v>951</v>
      </c>
      <c r="C93" s="882"/>
      <c r="D93" s="882"/>
      <c r="E93" s="882"/>
      <c r="F93" s="882"/>
      <c r="G93" s="882"/>
      <c r="H93" s="882"/>
      <c r="I93" s="882"/>
      <c r="J93" s="882"/>
    </row>
    <row r="94" spans="1:14">
      <c r="A94" s="886"/>
      <c r="B94" s="882" t="s">
        <v>949</v>
      </c>
      <c r="C94" s="882"/>
      <c r="D94" s="882"/>
      <c r="E94" s="882"/>
      <c r="F94" s="882"/>
      <c r="G94" s="882"/>
      <c r="H94" s="882"/>
      <c r="I94" s="882"/>
      <c r="J94" s="882"/>
    </row>
    <row r="95" spans="1:14">
      <c r="A95" s="886"/>
      <c r="B95" s="920" t="s">
        <v>973</v>
      </c>
      <c r="C95" s="1018"/>
      <c r="D95" s="1018"/>
      <c r="E95" s="1018"/>
      <c r="F95" s="1018"/>
      <c r="G95" s="1018"/>
      <c r="H95" s="1018"/>
      <c r="I95" s="1018"/>
      <c r="J95" s="1018"/>
      <c r="K95" s="1018"/>
    </row>
    <row r="96" spans="1:14">
      <c r="A96" s="886"/>
      <c r="B96" s="920" t="s">
        <v>950</v>
      </c>
      <c r="C96" s="1018"/>
      <c r="D96" s="1018"/>
      <c r="E96" s="1018"/>
      <c r="F96" s="1018"/>
      <c r="G96" s="1018"/>
      <c r="H96" s="1018"/>
      <c r="I96" s="1018"/>
      <c r="J96" s="1018"/>
      <c r="K96" s="1018"/>
    </row>
    <row r="97" spans="1:11">
      <c r="A97" s="886"/>
      <c r="B97" s="917" t="s">
        <v>974</v>
      </c>
      <c r="C97" s="1018"/>
      <c r="D97" s="1018"/>
      <c r="E97" s="1018"/>
      <c r="F97" s="1018"/>
      <c r="G97" s="1018"/>
      <c r="H97" s="1018"/>
      <c r="I97" s="1018"/>
      <c r="J97" s="1018"/>
      <c r="K97" s="1018"/>
    </row>
    <row r="98" spans="1:11">
      <c r="A98" s="886"/>
      <c r="B98" s="1107"/>
      <c r="C98" s="1108"/>
      <c r="D98" s="1108"/>
      <c r="E98" s="1108"/>
      <c r="F98" s="1108"/>
      <c r="G98" s="1108"/>
      <c r="H98" s="1108"/>
      <c r="I98" s="1109"/>
    </row>
    <row r="99" spans="1:11">
      <c r="A99" s="1038"/>
      <c r="B99" s="1110"/>
      <c r="C99" s="1111"/>
      <c r="D99" s="1111"/>
      <c r="E99" s="1111"/>
      <c r="F99" s="1111"/>
      <c r="G99" s="1111"/>
      <c r="H99" s="1111"/>
      <c r="I99" s="1112"/>
    </row>
    <row r="100" spans="1:11">
      <c r="A100" s="1038"/>
      <c r="B100" s="1018"/>
      <c r="C100" s="1018"/>
      <c r="D100" s="1018"/>
      <c r="E100" s="1018"/>
      <c r="F100" s="1018"/>
      <c r="G100" s="1018"/>
      <c r="H100" s="1018"/>
    </row>
    <row r="101" spans="1:11">
      <c r="A101" s="1038"/>
      <c r="B101" s="1039"/>
      <c r="C101" s="1039"/>
      <c r="D101" s="1039"/>
      <c r="E101" s="1039"/>
      <c r="F101" s="1039"/>
      <c r="G101" s="1039"/>
      <c r="H101" s="1039"/>
      <c r="I101" s="1039"/>
      <c r="J101" s="1039"/>
    </row>
  </sheetData>
  <mergeCells count="14">
    <mergeCell ref="H87:L87"/>
    <mergeCell ref="H74:L74"/>
    <mergeCell ref="H81:L81"/>
    <mergeCell ref="H82:L82"/>
    <mergeCell ref="H83:L83"/>
    <mergeCell ref="H79:N79"/>
    <mergeCell ref="H80:N80"/>
    <mergeCell ref="H84:N84"/>
    <mergeCell ref="H85:N85"/>
    <mergeCell ref="A1:K1"/>
    <mergeCell ref="A2:K2"/>
    <mergeCell ref="A3:K3"/>
    <mergeCell ref="H78:L78"/>
    <mergeCell ref="H86:L86"/>
  </mergeCells>
  <pageMargins left="0.7" right="0.7" top="0.75" bottom="0.75" header="0.3" footer="0.3"/>
  <pageSetup scale="46" fitToHeight="3" orientation="landscape" r:id="rId1"/>
  <rowBreaks count="1" manualBreakCount="1">
    <brk id="70" max="1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CC9DD1B0EFA246856FF06A225F0DD4" ma:contentTypeVersion="0" ma:contentTypeDescription="Create a new document." ma:contentTypeScope="" ma:versionID="dde479b14d154196bdf5f86c921424da">
  <xsd:schema xmlns:xsd="http://www.w3.org/2001/XMLSchema" xmlns:xs="http://www.w3.org/2001/XMLSchema" xmlns:p="http://schemas.microsoft.com/office/2006/metadata/properties" targetNamespace="http://schemas.microsoft.com/office/2006/metadata/properties" ma:root="true" ma:fieldsID="7370f963f539b650216896b3a0a8699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sisl xmlns:xsd="http://www.w3.org/2001/XMLSchema" xmlns:xsi="http://www.w3.org/2001/XMLSchema-instance" xmlns="http://www.boldonjames.com/2008/01/sie/internal/label" sislVersion="0" policy="e9c0b8d7-bdb4-4fd3-b62a-f50327aaefce" origin="autoSelectedSuggestion">
  <element uid="50c31824-0780-4910-87d1-eaaffd182d42" value=""/>
  <element uid="c64218ab-b8d1-40b6-a478-cb8be1e10ecc" value=""/>
</sisl>
</file>

<file path=customXml/item5.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JlOWMwYjhkNy1iZGI0LTRmZDMtYjYyYS1mNTAzMjdhYWVmY2UiIG9yaWdpbj0iYXV0b1NlbGVjdGVkU3VnZ2VzdGlvbiI+PGVsZW1lbnQgdWlkPSI1MGMzMTgyNC0wNzgwLTQ5MTAtODdkMS1lYWFmZmQxODJkNDIiIHZhbHVlPSIiIHhtbG5zPSJodHRwOi8vd3d3LmJvbGRvbmphbWVzLmNvbS8yMDA4LzAxL3NpZS9pbnRlcm5hbC9sYWJlbCIgLz48ZWxlbWVudCB1aWQ9ImM2NDIxOGFiLWI4ZDEtNDBiNi1hNDc4LWNiOGJlMWUxMGVjYyIgdmFsdWU9IiIgeG1sbnM9Imh0dHA6Ly93d3cuYm9sZG9uamFtZXMuY29tLzIwMDgvMDEvc2llL2ludGVybmFsL2xhYmVsIiAvPjwvc2lzbD48VXNlck5hbWU+Q09SUFxzMTk5OTg5PC9Vc2VyTmFtZT48RGF0ZVRpbWU+MTEvMTYvMjAyMiAzOjMwOjQ0IFBNPC9EYXRlVGltZT48TGFiZWxTdHJpbmc+QUVQIEludGVybmFsPC9MYWJlbFN0cmluZz48L2l0ZW0+PC9sYWJlbEhpc3Rvcnk+</Value>
</WrappedLabelHistory>
</file>

<file path=customXml/itemProps1.xml><?xml version="1.0" encoding="utf-8"?>
<ds:datastoreItem xmlns:ds="http://schemas.openxmlformats.org/officeDocument/2006/customXml" ds:itemID="{CCB76620-D246-48C8-9788-227F849410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988DBC8E-E135-4F5E-ADEE-BD14D77AAFE6}">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FD723D70-A657-44DA-B12B-0E0123C8D40A}">
  <ds:schemaRefs>
    <ds:schemaRef ds:uri="http://schemas.microsoft.com/sharepoint/v3/contenttype/forms"/>
  </ds:schemaRefs>
</ds:datastoreItem>
</file>

<file path=customXml/itemProps4.xml><?xml version="1.0" encoding="utf-8"?>
<ds:datastoreItem xmlns:ds="http://schemas.openxmlformats.org/officeDocument/2006/customXml" ds:itemID="{1648ED7B-55B9-47D8-BD16-75460A06B192}">
  <ds:schemaRefs>
    <ds:schemaRef ds:uri="http://www.w3.org/2001/XMLSchema"/>
    <ds:schemaRef ds:uri="http://www.boldonjames.com/2008/01/sie/internal/label"/>
  </ds:schemaRefs>
</ds:datastoreItem>
</file>

<file path=customXml/itemProps5.xml><?xml version="1.0" encoding="utf-8"?>
<ds:datastoreItem xmlns:ds="http://schemas.openxmlformats.org/officeDocument/2006/customXml" ds:itemID="{996FCF2C-31C0-4BD1-B3C1-51F1F3BA611D}">
  <ds:schemaRefs>
    <ds:schemaRef ds:uri="http://www.w3.org/2001/XMLSchema"/>
    <ds:schemaRef ds:uri="http://www.boldonjames.com/2016/02/Classifier/internal/wrappedLabelHistory"/>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16</vt:i4>
      </vt:variant>
    </vt:vector>
  </HeadingPairs>
  <TitlesOfParts>
    <vt:vector size="35" baseType="lpstr">
      <vt:lpstr>Attachment H-26</vt:lpstr>
      <vt:lpstr>1-Project Rev Req</vt:lpstr>
      <vt:lpstr>2-Incentive ROE</vt:lpstr>
      <vt:lpstr>3-Project True-up</vt:lpstr>
      <vt:lpstr>4- Rate Base</vt:lpstr>
      <vt:lpstr>4a - ADIT Average Balances</vt:lpstr>
      <vt:lpstr>4b - ADIT Beginning Ending</vt:lpstr>
      <vt:lpstr>4c - ADIT Proration</vt:lpstr>
      <vt:lpstr>4d - ADIT Amortization</vt:lpstr>
      <vt:lpstr>4e - Tax Remeasurement</vt:lpstr>
      <vt:lpstr>5-Return</vt:lpstr>
      <vt:lpstr>6 - True-Up Interest</vt:lpstr>
      <vt:lpstr>6a - True-up Interest Rate</vt:lpstr>
      <vt:lpstr>7 - PBOP</vt:lpstr>
      <vt:lpstr>8-Construction Debt</vt:lpstr>
      <vt:lpstr>9- Cost of Debt True-up</vt:lpstr>
      <vt:lpstr>10 -Depreciation Rates</vt:lpstr>
      <vt:lpstr>11-Corrections</vt:lpstr>
      <vt:lpstr>12 - Revenue Credits</vt:lpstr>
      <vt:lpstr>PG1_Support_Corrections</vt:lpstr>
      <vt:lpstr>'11-Corrections'!Print_Area</vt:lpstr>
      <vt:lpstr>'12 - Revenue Credits'!Print_Area</vt:lpstr>
      <vt:lpstr>'1-Project Rev Req'!Print_Area</vt:lpstr>
      <vt:lpstr>'3-Project True-up'!Print_Area</vt:lpstr>
      <vt:lpstr>'4- Rate Base'!Print_Area</vt:lpstr>
      <vt:lpstr>'4a - ADIT Average Balances'!Print_Area</vt:lpstr>
      <vt:lpstr>'4b - ADIT Beginning Ending'!Print_Area</vt:lpstr>
      <vt:lpstr>'4c - ADIT Proration'!Print_Area</vt:lpstr>
      <vt:lpstr>'4d - ADIT Amortization'!Print_Area</vt:lpstr>
      <vt:lpstr>'4e - Tax Remeasurement'!Print_Area</vt:lpstr>
      <vt:lpstr>'5-Return'!Print_Area</vt:lpstr>
      <vt:lpstr>'6a - True-up Interest Rate'!Print_Area</vt:lpstr>
      <vt:lpstr>'8-Construction Debt'!Print_Area</vt:lpstr>
      <vt:lpstr>'9- Cost of Debt True-up'!Print_Area</vt:lpstr>
      <vt:lpstr>'Attachment H-26'!Print_Area</vt:lpstr>
    </vt:vector>
  </TitlesOfParts>
  <LinksUpToDate>false</LinksUpToDate>
  <SharedDoc>false</SharedDoc>
  <HyperlinkBase>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Walker, Dennis T</dc:creator>
  <cp:keywords/>
  <cp:lastModifiedBy>Mark J Koziol</cp:lastModifiedBy>
  <cp:lastPrinted>2023-06-27T14:42:34Z</cp:lastPrinted>
  <dcterms:created xsi:type="dcterms:W3CDTF">1970-01-01T04:00:00Z</dcterms:created>
  <dcterms:modified xsi:type="dcterms:W3CDTF">2025-06-30T13:10:36Z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D">
    <vt:lpwstr>C:\Documents and Settings\hcurlee\Local Settings\Temporary Internet Files\Content.Outlook\N3FKE9C2\RITELine Reg Asset formula final 7-12-2011.xls</vt:lpwstr>
  </property>
  <property fmtid="{D5CDD505-2E9C-101B-9397-08002B2CF9AE}" pid="3" name="_NewReviewCycle">
    <vt:lpwstr/>
  </property>
  <property fmtid="{D5CDD505-2E9C-101B-9397-08002B2CF9AE}" pid="4" name="ContentTypeId">
    <vt:lpwstr>0x01010086CC9DD1B0EFA246856FF06A225F0DD4</vt:lpwstr>
  </property>
  <property fmtid="{D5CDD505-2E9C-101B-9397-08002B2CF9AE}" pid="5" name="{A44787D4-0540-4523-9961-78E4036D8C6D}">
    <vt:lpwstr>{DF6EFBC3-9941-464F-BD5E-924E1F9D0BB9}</vt:lpwstr>
  </property>
  <property fmtid="{D5CDD505-2E9C-101B-9397-08002B2CF9AE}" pid="6" name="docIndexRef">
    <vt:lpwstr>65476c63-1d2e-41bc-8be2-18a85908deb7</vt:lpwstr>
  </property>
  <property fmtid="{D5CDD505-2E9C-101B-9397-08002B2CF9AE}" pid="7" name="bjSaver">
    <vt:lpwstr>v/7I3rvbBpV3bYZhmsg2AmH7oBqAZZGO</vt:lpwstr>
  </property>
  <property fmtid="{D5CDD505-2E9C-101B-9397-08002B2CF9AE}" pid="8" name="bjDocumentSecurityLabel">
    <vt:lpwstr>AEP Internal</vt:lpwstr>
  </property>
  <property fmtid="{D5CDD505-2E9C-101B-9397-08002B2CF9AE}" pid="9" name="Visual Markings Removed">
    <vt:lpwstr>No</vt:lpwstr>
  </property>
  <property fmtid="{D5CDD505-2E9C-101B-9397-08002B2CF9AE}" pid="10" name="bjDocumentLabelXML">
    <vt:lpwstr>&lt;?xml version="1.0" encoding="us-ascii"?&gt;&lt;sisl xmlns:xsd="http://www.w3.org/2001/XMLSchema" xmlns:xsi="http://www.w3.org/2001/XMLSchema-instance" sislVersion="0" policy="e9c0b8d7-bdb4-4fd3-b62a-f50327aaefce" origin="autoSelectedSuggestion" xmlns="http://w</vt:lpwstr>
  </property>
  <property fmtid="{D5CDD505-2E9C-101B-9397-08002B2CF9AE}" pid="11" name="bjDocumentLabelXML-0">
    <vt:lpwstr>ww.boldonjames.com/2008/01/sie/internal/label"&gt;&lt;element uid="50c31824-0780-4910-87d1-eaaffd182d42" value="" /&gt;&lt;element uid="c64218ab-b8d1-40b6-a478-cb8be1e10ecc" value="" /&gt;&lt;/sisl&gt;</vt:lpwstr>
  </property>
  <property fmtid="{D5CDD505-2E9C-101B-9397-08002B2CF9AE}" pid="12" name="MSIP_Label_69f43042-6bda-44b2-91eb-eca3d3d484f4_SiteId">
    <vt:lpwstr>15f3c881-6b03-4ff6-8559-77bf5177818f</vt:lpwstr>
  </property>
  <property fmtid="{D5CDD505-2E9C-101B-9397-08002B2CF9AE}" pid="13" name="MSIP_Label_69f43042-6bda-44b2-91eb-eca3d3d484f4_Name">
    <vt:lpwstr>AEP Internal</vt:lpwstr>
  </property>
  <property fmtid="{D5CDD505-2E9C-101B-9397-08002B2CF9AE}" pid="14" name="MSIP_Label_69f43042-6bda-44b2-91eb-eca3d3d484f4_Enabled">
    <vt:lpwstr>true</vt:lpwstr>
  </property>
  <property fmtid="{D5CDD505-2E9C-101B-9397-08002B2CF9AE}" pid="15" name="bjClsUserRVM">
    <vt:lpwstr>[]</vt:lpwstr>
  </property>
  <property fmtid="{D5CDD505-2E9C-101B-9397-08002B2CF9AE}" pid="16" name="bjLabelHistoryID">
    <vt:lpwstr>{996FCF2C-31C0-4BD1-B3C1-51F1F3BA611D}</vt:lpwstr>
  </property>
</Properties>
</file>