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U:\Corp\Rates\Akr\Rates\FERC Transmission\AYE\Annual Rate Filings\2026 PTRR\Final Filings\"/>
    </mc:Choice>
  </mc:AlternateContent>
  <xr:revisionPtr revIDLastSave="0" documentId="13_ncr:1_{6983114F-6AC3-491E-A3D4-470DC5622236}" xr6:coauthVersionLast="47" xr6:coauthVersionMax="47" xr10:uidLastSave="{00000000-0000-0000-0000-000000000000}"/>
  <bookViews>
    <workbookView xWindow="28680" yWindow="-120" windowWidth="38640" windowHeight="21120" tabRatio="875" xr2:uid="{8A3A5CB9-E79F-4E5C-9C6F-509A5D91459A}"/>
  </bookViews>
  <sheets>
    <sheet name="Attachment H-34A " sheetId="1" r:id="rId1"/>
    <sheet name="Attachment 1 - Sched 1A" sheetId="2" r:id="rId2"/>
    <sheet name="Attachment 2 - ROE Calcs" sheetId="31" r:id="rId3"/>
    <sheet name="Attach 2a - Scaled ROE Adder" sheetId="59" r:id="rId4"/>
    <sheet name="Attach 2b - Incent ROE NITS" sheetId="60" r:id="rId5"/>
    <sheet name="Attachment 3 - Gross Plant" sheetId="13" r:id="rId6"/>
    <sheet name="Attachment 4 - Accum Depr" sheetId="64" r:id="rId7"/>
    <sheet name="Attachment 5 - ADIT Summary" sheetId="40" r:id="rId8"/>
    <sheet name="Attachment 5a - ADIT Detail" sheetId="66" r:id="rId9"/>
    <sheet name="Attachment 5b - ADIT Norm PTRR" sheetId="47" r:id="rId10"/>
    <sheet name="Attachment 5c - ADIT Norm ATRR" sheetId="51" r:id="rId11"/>
    <sheet name="Attachment 6 - PBOP" sheetId="33" r:id="rId12"/>
    <sheet name="Attachment 7 - Taxes Other " sheetId="19" r:id="rId13"/>
    <sheet name="Attachment 8 - Cap Structure" sheetId="22" r:id="rId14"/>
    <sheet name="Attach 9 - Stated-value Inputs" sheetId="26" r:id="rId15"/>
    <sheet name="Attachment 10 - Debt Cost" sheetId="42" r:id="rId16"/>
    <sheet name="Attachment 11 - TEC" sheetId="5" r:id="rId17"/>
    <sheet name="Attach 11a - TEC Cost Support" sheetId="39" r:id="rId18"/>
    <sheet name="Attachment 12 - TEC True-up" sheetId="6" r:id="rId19"/>
    <sheet name="Attachment 13 - NITS True-Up" sheetId="67" r:id="rId20"/>
    <sheet name="Attachment 13a - TEC True-Up" sheetId="68" r:id="rId21"/>
    <sheet name="Attachment 13b - PJM Billings" sheetId="58" r:id="rId22"/>
    <sheet name="Attachment 14 - Other RB" sheetId="69" r:id="rId23"/>
    <sheet name="Attach 15 - Excess_Def ADIT" sheetId="61" r:id="rId24"/>
    <sheet name="Attachment 16 - Abandoned Plant" sheetId="63" r:id="rId25"/>
    <sheet name="Attachment 17 - CWIP in RB" sheetId="62" r:id="rId26"/>
    <sheet name="Attachment 18 - Tax Rates" sheetId="27" r:id="rId27"/>
    <sheet name="Attachment 19 - Reg Asset" sheetId="65" r:id="rId28"/>
    <sheet name="Attachment 20 - O&amp;M and A&amp;G" sheetId="53" r:id="rId29"/>
  </sheets>
  <definedNames>
    <definedName name="___OFF2">#REF!</definedName>
    <definedName name="___PPP1">#REF!</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Key1" hidden="1">#REF!</definedName>
    <definedName name="_OFF2">#REF!</definedName>
    <definedName name="_Order1" hidden="1">255</definedName>
    <definedName name="_p.choice" localSheetId="14">#REF!</definedName>
    <definedName name="_p.choice" localSheetId="15">#REF!</definedName>
    <definedName name="_p.choice" localSheetId="26">#REF!</definedName>
    <definedName name="_p.choice" localSheetId="2">#REF!</definedName>
    <definedName name="_p.choice" localSheetId="7">#REF!</definedName>
    <definedName name="_p.choice">#REF!</definedName>
    <definedName name="_PPP1">#REF!</definedName>
    <definedName name="_Sort" hidden="1">#REF!</definedName>
    <definedName name="AA.print" localSheetId="14">#REF!</definedName>
    <definedName name="AA.print" localSheetId="15">#REF!</definedName>
    <definedName name="AA.print" localSheetId="26">#REF!</definedName>
    <definedName name="AA.print" localSheetId="2">#REF!</definedName>
    <definedName name="AA.print" localSheetId="7">#REF!</definedName>
    <definedName name="AA.print">#REF!</definedName>
    <definedName name="AB.print" localSheetId="15">#REF!</definedName>
    <definedName name="AB.print" localSheetId="26">#REF!</definedName>
    <definedName name="AB.print" localSheetId="2">#REF!</definedName>
    <definedName name="AB.print" localSheetId="7">#REF!</definedName>
    <definedName name="AB.print">#REF!</definedName>
    <definedName name="above">OFFSET(!A1,-1,0)</definedName>
    <definedName name="Allocator.gross.plant">#REF!</definedName>
    <definedName name="Allocator.net.plant">#REF!</definedName>
    <definedName name="Allocator.wages.salary">#REF!</definedName>
    <definedName name="AMHERST" localSheetId="26">#REF!</definedName>
    <definedName name="AMHERST" localSheetId="2">#REF!</definedName>
    <definedName name="AMHERST" localSheetId="7">#REF!</definedName>
    <definedName name="AMHERST">#REF!</definedName>
    <definedName name="AO.print" localSheetId="15">#REF!</definedName>
    <definedName name="AO.print" localSheetId="26">#REF!</definedName>
    <definedName name="AO.print" localSheetId="2">#REF!</definedName>
    <definedName name="AO.print" localSheetId="7">#REF!</definedName>
    <definedName name="AO.print">#REF!</definedName>
    <definedName name="AV.FM.1..adjusted..print" localSheetId="15">#REF!</definedName>
    <definedName name="AV.FM.1..adjusted..print" localSheetId="26">#REF!</definedName>
    <definedName name="AV.FM.1..adjusted..print" localSheetId="2">#REF!</definedName>
    <definedName name="AV.FM.1..adjusted..print" localSheetId="7">#REF!</definedName>
    <definedName name="AV.FM.1..adjusted..print">#REF!</definedName>
    <definedName name="AV.FM.1.print" localSheetId="15">#REF!</definedName>
    <definedName name="AV.FM.1.print" localSheetId="26">#REF!</definedName>
    <definedName name="AV.FM.1.print" localSheetId="2">#REF!</definedName>
    <definedName name="AV.FM.1.print" localSheetId="7">#REF!</definedName>
    <definedName name="AV.FM.1.print">#REF!</definedName>
    <definedName name="BA.print" localSheetId="15">#REF!</definedName>
    <definedName name="BA.print" localSheetId="26">#REF!</definedName>
    <definedName name="BA.print" localSheetId="2">#REF!</definedName>
    <definedName name="BA.print" localSheetId="7">#REF!</definedName>
    <definedName name="BA.print">#REF!</definedName>
    <definedName name="BB.print" localSheetId="15">#REF!</definedName>
    <definedName name="BB.print" localSheetId="26">#REF!</definedName>
    <definedName name="BB.print" localSheetId="2">#REF!</definedName>
    <definedName name="BB.print" localSheetId="7">#REF!</definedName>
    <definedName name="BB.print">#REF!</definedName>
    <definedName name="BEACH_CITY" localSheetId="26">#REF!</definedName>
    <definedName name="BEACH_CITY" localSheetId="2">#REF!</definedName>
    <definedName name="BEACH_CITY" localSheetId="7">#REF!</definedName>
    <definedName name="BEACH_CITY">#REF!</definedName>
    <definedName name="below">OFFSET(!A1,1,0)</definedName>
    <definedName name="BG.print" localSheetId="15">#REF!</definedName>
    <definedName name="BG.print" localSheetId="26">#REF!</definedName>
    <definedName name="BG.print" localSheetId="2">#REF!</definedName>
    <definedName name="BG.print" localSheetId="7">#REF!</definedName>
    <definedName name="BG.print">#REF!</definedName>
    <definedName name="BILLCO" localSheetId="14">#REF!</definedName>
    <definedName name="BILLCO" localSheetId="26">#REF!</definedName>
    <definedName name="BILLCO">#REF!</definedName>
    <definedName name="BK..FM1.Adjusted..print" localSheetId="14">#REF!</definedName>
    <definedName name="BK..FM1.Adjusted..print" localSheetId="15">#REF!</definedName>
    <definedName name="BK..FM1.Adjusted..print" localSheetId="26">#REF!</definedName>
    <definedName name="BK..FM1.Adjusted..print" localSheetId="2">#REF!</definedName>
    <definedName name="BK..FM1.Adjusted..print" localSheetId="7">#REF!</definedName>
    <definedName name="BK..FM1.Adjusted..print">#REF!</definedName>
    <definedName name="BK..FM1.ROR..print" localSheetId="15">#REF!</definedName>
    <definedName name="BK..FM1.ROR..print" localSheetId="26">#REF!</definedName>
    <definedName name="BK..FM1.ROR..print" localSheetId="2">#REF!</definedName>
    <definedName name="BK..FM1.ROR..print" localSheetId="7">#REF!</definedName>
    <definedName name="BK..FM1.ROR..print">#REF!</definedName>
    <definedName name="BowlingGreen" localSheetId="26">#REF!</definedName>
    <definedName name="BowlingGreen" localSheetId="2">#REF!</definedName>
    <definedName name="BowlingGreen" localSheetId="7">#REF!</definedName>
    <definedName name="BowlingGreen">#REF!</definedName>
    <definedName name="BowlingGreenWater" localSheetId="26">#REF!</definedName>
    <definedName name="BowlingGreenWater" localSheetId="2">#REF!</definedName>
    <definedName name="BowlingGreenWater" localSheetId="7">#REF!</definedName>
    <definedName name="BowlingGreenWater">#REF!</definedName>
    <definedName name="Bradner" localSheetId="26">#REF!</definedName>
    <definedName name="Bradner" localSheetId="2">#REF!</definedName>
    <definedName name="Bradner" localSheetId="7">#REF!</definedName>
    <definedName name="Bradner">#REF!</definedName>
    <definedName name="BREWSTER" localSheetId="26">#REF!</definedName>
    <definedName name="BREWSTER" localSheetId="2">#REF!</definedName>
    <definedName name="BREWSTER" localSheetId="7">#REF!</definedName>
    <definedName name="BREWSTER">#REF!</definedName>
    <definedName name="cell.above">!A1048576</definedName>
    <definedName name="cell.below">!A2</definedName>
    <definedName name="cell.left">!XFD1</definedName>
    <definedName name="cell.right">!B1</definedName>
    <definedName name="CH_COS" localSheetId="26">#REF!</definedName>
    <definedName name="CH_COS" localSheetId="2">#REF!</definedName>
    <definedName name="CH_COS" localSheetId="7">#REF!</definedName>
    <definedName name="CH_COS">#REF!</definedName>
    <definedName name="CUSTAR" localSheetId="26">#REF!</definedName>
    <definedName name="CUSTAR" localSheetId="2">#REF!</definedName>
    <definedName name="CUSTAR" localSheetId="7">#REF!</definedName>
    <definedName name="CUSTAR">#REF!</definedName>
    <definedName name="CUYAHOGA_FALLS" localSheetId="26">#REF!</definedName>
    <definedName name="CUYAHOGA_FALLS" localSheetId="2">#REF!</definedName>
    <definedName name="CUYAHOGA_FALLS" localSheetId="7">#REF!</definedName>
    <definedName name="CUYAHOGA_FALLS">#REF!</definedName>
    <definedName name="data_year">#REF!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UEDATE" localSheetId="14">#REF!</definedName>
    <definedName name="DUEDATE" localSheetId="26">#REF!</definedName>
    <definedName name="DUEDATE">#REF!</definedName>
    <definedName name="EDGERTON" localSheetId="26">#REF!</definedName>
    <definedName name="EDGERTON" localSheetId="2">#REF!</definedName>
    <definedName name="EDGERTON" localSheetId="7">#REF!</definedName>
    <definedName name="EDGERTON">#REF!</definedName>
    <definedName name="Ellwood_City" localSheetId="26">#REF!</definedName>
    <definedName name="Ellwood_City" localSheetId="2">#REF!</definedName>
    <definedName name="Ellwood_City" localSheetId="7">#REF!</definedName>
    <definedName name="Ellwood_City">#REF!</definedName>
    <definedName name="ELMORE" localSheetId="26">#REF!</definedName>
    <definedName name="ELMORE" localSheetId="2">#REF!</definedName>
    <definedName name="ELMORE" localSheetId="7">#REF!</definedName>
    <definedName name="ELMORE">#REF!</definedName>
    <definedName name="FF1_INPUT">#REF!</definedName>
    <definedName name="FF1_INPUT_columns">#REF!</definedName>
    <definedName name="GALION" localSheetId="26">#REF!</definedName>
    <definedName name="GALION" localSheetId="2">#REF!</definedName>
    <definedName name="GALION" localSheetId="7">#REF!</definedName>
    <definedName name="GALION">#REF!</definedName>
    <definedName name="GENOA" localSheetId="26">#REF!</definedName>
    <definedName name="GENOA" localSheetId="2">#REF!</definedName>
    <definedName name="GENOA" localSheetId="7">#REF!</definedName>
    <definedName name="GENOA">#REF!</definedName>
    <definedName name="GENOA_NORTH" localSheetId="26">#REF!</definedName>
    <definedName name="GENOA_NORTH" localSheetId="2">#REF!</definedName>
    <definedName name="GENOA_NORTH" localSheetId="7">#REF!</definedName>
    <definedName name="GENOA_NORTH">#REF!</definedName>
    <definedName name="GENOA_SOUTH" localSheetId="26">#REF!</definedName>
    <definedName name="GENOA_SOUTH" localSheetId="2">#REF!</definedName>
    <definedName name="GENOA_SOUTH" localSheetId="7">#REF!</definedName>
    <definedName name="GENOA_SOUTH">#REF!</definedName>
    <definedName name="GRAFTON" localSheetId="26">#REF!</definedName>
    <definedName name="GRAFTON" localSheetId="2">#REF!</definedName>
    <definedName name="GRAFTON" localSheetId="7">#REF!</definedName>
    <definedName name="GRAFTON">#REF!</definedName>
    <definedName name="Grove_City" localSheetId="26">#REF!</definedName>
    <definedName name="Grove_City" localSheetId="2">#REF!</definedName>
    <definedName name="Grove_City" localSheetId="7">#REF!</definedName>
    <definedName name="Grove_City">#REF!</definedName>
    <definedName name="HASKINS" localSheetId="26">#REF!</definedName>
    <definedName name="HASKINS" localSheetId="2">#REF!</definedName>
    <definedName name="HASKINS" localSheetId="7">#REF!</definedName>
    <definedName name="HASKINS">#REF!</definedName>
    <definedName name="hourending" localSheetId="26">#REF!</definedName>
    <definedName name="hourending" localSheetId="2">#REF!</definedName>
    <definedName name="hourending" localSheetId="7">#REF!</definedName>
    <definedName name="hourending">#REF!</definedName>
    <definedName name="HUBBARD" localSheetId="26">#REF!</definedName>
    <definedName name="HUBBARD" localSheetId="2">#REF!</definedName>
    <definedName name="HUBBARD" localSheetId="7">#REF!</definedName>
    <definedName name="HUBBARD">#REF!</definedName>
    <definedName name="Inputs_EndYrBal">#REF!</definedName>
    <definedName name="Inputs_EndYrBal_prior">#REF!</definedName>
    <definedName name="Inputs_FF1_Map">#REF!</definedName>
    <definedName name="Keep" localSheetId="28" hidden="1">{"PRINT",#N/A,TRUE,"APPA";"PRINT",#N/A,TRUE,"APS";"PRINT",#N/A,TRUE,"BHPL";"PRINT",#N/A,TRUE,"BHPL2";"PRINT",#N/A,TRUE,"CDWR";"PRINT",#N/A,TRUE,"EWEB";"PRINT",#N/A,TRUE,"LADWP";"PRINT",#N/A,TRUE,"NEVBASE"}</definedName>
    <definedName name="Keep" hidden="1">{"PRINT",#N/A,TRUE,"APPA";"PRINT",#N/A,TRUE,"APS";"PRINT",#N/A,TRUE,"BHPL";"PRINT",#N/A,TRUE,"BHPL2";"PRINT",#N/A,TRUE,"CDWR";"PRINT",#N/A,TRUE,"EWEB";"PRINT",#N/A,TRUE,"LADWP";"PRINT",#N/A,TRUE,"NEVBASE"}</definedName>
    <definedName name="keep2" localSheetId="28" hidden="1">{"PRINT",#N/A,TRUE,"APPA";"PRINT",#N/A,TRUE,"APS";"PRINT",#N/A,TRUE,"BHPL";"PRINT",#N/A,TRUE,"BHPL2";"PRINT",#N/A,TRUE,"CDWR";"PRINT",#N/A,TRUE,"EWEB";"PRINT",#N/A,TRUE,"LADWP";"PRINT",#N/A,TRUE,"NEVBASE"}</definedName>
    <definedName name="keep2" hidden="1">{"PRINT",#N/A,TRUE,"APPA";"PRINT",#N/A,TRUE,"APS";"PRINT",#N/A,TRUE,"BHPL";"PRINT",#N/A,TRUE,"BHPL2";"PRINT",#N/A,TRUE,"CDWR";"PRINT",#N/A,TRUE,"EWEB";"PRINT",#N/A,TRUE,"LADWP";"PRINT",#N/A,TRUE,"NEVBASE"}</definedName>
    <definedName name="left">OFFSET(!A1,0,-1)</definedName>
    <definedName name="Levelized..FM1.ROR..print" localSheetId="15">#REF!</definedName>
    <definedName name="Levelized..FM1.ROR..print" localSheetId="26">#REF!</definedName>
    <definedName name="Levelized..FM1.ROR..print" localSheetId="2">#REF!</definedName>
    <definedName name="Levelized..FM1.ROR..print" localSheetId="7">#REF!</definedName>
    <definedName name="Levelized..FM1.ROR..print">#REF!</definedName>
    <definedName name="LODI" localSheetId="26">#REF!</definedName>
    <definedName name="LODI" localSheetId="2">#REF!</definedName>
    <definedName name="LODI" localSheetId="7">#REF!</definedName>
    <definedName name="LODI">#REF!</definedName>
    <definedName name="LUCAS" localSheetId="26">#REF!</definedName>
    <definedName name="LUCAS" localSheetId="2">#REF!</definedName>
    <definedName name="LUCAS" localSheetId="7">#REF!</definedName>
    <definedName name="LUCAS">#REF!</definedName>
    <definedName name="M21Laurie" localSheetId="14">'Attach 9 - Stated-value Inputs'!M21Laurie</definedName>
    <definedName name="M21Laurie" localSheetId="26">'Attachment 18 - Tax Rates'!M21Laurie</definedName>
    <definedName name="M21Laurie" localSheetId="2">#N/A</definedName>
    <definedName name="M21Laurie" localSheetId="28">#N/A</definedName>
    <definedName name="M21Laurie">'Attach 9 - Stated-value Inputs'!M21Laurie</definedName>
    <definedName name="MILAN" localSheetId="26">#REF!</definedName>
    <definedName name="MILAN" localSheetId="2">#REF!</definedName>
    <definedName name="MILAN" localSheetId="7">#REF!</definedName>
    <definedName name="MILAN">#REF!</definedName>
    <definedName name="MONROEVILLE" localSheetId="26">#REF!</definedName>
    <definedName name="MONROEVILLE" localSheetId="2">#REF!</definedName>
    <definedName name="MONROEVILLE" localSheetId="7">#REF!</definedName>
    <definedName name="MONROEVILLE">#REF!</definedName>
    <definedName name="NAPOLEON" localSheetId="26">#REF!</definedName>
    <definedName name="NAPOLEON" localSheetId="2">#REF!</definedName>
    <definedName name="NAPOLEON" localSheetId="7">#REF!</definedName>
    <definedName name="NAPOLEON">#REF!</definedName>
    <definedName name="NEASG" localSheetId="26">#REF!</definedName>
    <definedName name="NEASG" localSheetId="2">#REF!</definedName>
    <definedName name="NEASG" localSheetId="7">#REF!</definedName>
    <definedName name="NEASG">#REF!</definedName>
    <definedName name="New_Wilmington" localSheetId="26">#REF!</definedName>
    <definedName name="New_Wilmington" localSheetId="2">#REF!</definedName>
    <definedName name="New_Wilmington" localSheetId="7">#REF!</definedName>
    <definedName name="New_Wilmington">#REF!</definedName>
    <definedName name="NEWTON_FALLS" localSheetId="26">#REF!</definedName>
    <definedName name="NEWTON_FALLS" localSheetId="2">#REF!</definedName>
    <definedName name="NEWTON_FALLS" localSheetId="7">#REF!</definedName>
    <definedName name="NEWTON_FALLS">#REF!</definedName>
    <definedName name="NILES" localSheetId="26">#REF!</definedName>
    <definedName name="NILES" localSheetId="2">#REF!</definedName>
    <definedName name="NILES" localSheetId="7">#REF!</definedName>
    <definedName name="NILES">#REF!</definedName>
    <definedName name="NSP_COS" localSheetId="26">#REF!</definedName>
    <definedName name="NSP_COS" localSheetId="2">#REF!</definedName>
    <definedName name="NSP_COS" localSheetId="7">#REF!</definedName>
    <definedName name="NSP_COS">#REF!</definedName>
    <definedName name="NWASG" localSheetId="26">#REF!</definedName>
    <definedName name="NWASG" localSheetId="2">#REF!</definedName>
    <definedName name="NWASG" localSheetId="7">#REF!</definedName>
    <definedName name="NWASG">#REF!</definedName>
    <definedName name="OAK_HARBOR" localSheetId="26">#REF!</definedName>
    <definedName name="OAK_HARBOR" localSheetId="2">#REF!</definedName>
    <definedName name="OAK_HARBOR" localSheetId="7">#REF!</definedName>
    <definedName name="OAK_HARBOR">#REF!</definedName>
    <definedName name="OBERLIN" localSheetId="26">#REF!</definedName>
    <definedName name="OBERLIN" localSheetId="2">#REF!</definedName>
    <definedName name="OBERLIN" localSheetId="7">#REF!</definedName>
    <definedName name="OBERLIN">#REF!</definedName>
    <definedName name="OFF">#REF!</definedName>
    <definedName name="ON">#REF!</definedName>
    <definedName name="PEMBERVILLE" localSheetId="26">#REF!</definedName>
    <definedName name="PEMBERVILLE" localSheetId="2">#REF!</definedName>
    <definedName name="PEMBERVILLE" localSheetId="7">#REF!</definedName>
    <definedName name="PEMBERVILLE">#REF!</definedName>
    <definedName name="PIONEER" localSheetId="26">#REF!</definedName>
    <definedName name="PIONEER" localSheetId="2">#REF!</definedName>
    <definedName name="PIONEER" localSheetId="7">#REF!</definedName>
    <definedName name="PIONEER">#REF!</definedName>
    <definedName name="pPRINT">#REF!</definedName>
    <definedName name="PRINT">#REF!</definedName>
    <definedName name="Print.selection.print" localSheetId="14">#REF!</definedName>
    <definedName name="Print.selection.print" localSheetId="15">#REF!</definedName>
    <definedName name="Print.selection.print" localSheetId="26">#REF!</definedName>
    <definedName name="Print.selection.print" localSheetId="2">#REF!</definedName>
    <definedName name="Print.selection.print" localSheetId="7">#REF!</definedName>
    <definedName name="Print.selection.print">#REF!</definedName>
    <definedName name="_xlnm.Print_Area" localSheetId="17">'Attach 11a - TEC Cost Support'!$A$1:$AI$31</definedName>
    <definedName name="_xlnm.Print_Area" localSheetId="3">'Attach 2a - Scaled ROE Adder'!$A$1:$L$71</definedName>
    <definedName name="_xlnm.Print_Area" localSheetId="4">'Attach 2b - Incent ROE NITS'!$A$1:$AM$35</definedName>
    <definedName name="_xlnm.Print_Area" localSheetId="14">'Attach 9 - Stated-value Inputs'!$A$1:$I$55</definedName>
    <definedName name="_xlnm.Print_Area" localSheetId="1">'Attachment 1 - Sched 1A'!$A$1:$J$18</definedName>
    <definedName name="_xlnm.Print_Area" localSheetId="15">'Attachment 10 - Debt Cost'!$A$1:$AA$53</definedName>
    <definedName name="_xlnm.Print_Area" localSheetId="16">'Attachment 11 - TEC'!$A$1:$T$94</definedName>
    <definedName name="_xlnm.Print_Area" localSheetId="18">'Attachment 12 - TEC True-up'!$A$1:$M$39</definedName>
    <definedName name="_xlnm.Print_Area" localSheetId="26">'Attachment 18 - Tax Rates'!$A$1:$L$31</definedName>
    <definedName name="_xlnm.Print_Area" localSheetId="27">'Attachment 19 - Reg Asset'!$A$1:$AB$36</definedName>
    <definedName name="_xlnm.Print_Area" localSheetId="2">'Attachment 2 - ROE Calcs'!$A$1:$L$67</definedName>
    <definedName name="_xlnm.Print_Area" localSheetId="28">'Attachment 20 - O&amp;M and A&amp;G'!$A$1:$H$75</definedName>
    <definedName name="_xlnm.Print_Area" localSheetId="5">'Attachment 3 - Gross Plant'!$A$1:$M$67</definedName>
    <definedName name="_xlnm.Print_Area" localSheetId="7">'Attachment 5 - ADIT Summary'!$A$1:$M$39</definedName>
    <definedName name="_xlnm.Print_Area" localSheetId="8">'Attachment 5a - ADIT Detail'!$A$1:$E$75</definedName>
    <definedName name="_xlnm.Print_Area" localSheetId="9">'Attachment 5b - ADIT Norm PTRR'!$A$1:$M$53</definedName>
    <definedName name="_xlnm.Print_Area" localSheetId="0">'Attachment H-34A '!$A$1:$K$336</definedName>
    <definedName name="_xlnm.Print_Area">#REF!</definedName>
    <definedName name="_xlnm.Print_Titles" localSheetId="16">'Attachment 11 - TEC'!$C:$D</definedName>
    <definedName name="_xlnm.Print_Titles" localSheetId="18">'Attachment 12 - TEC True-up'!$C:$D</definedName>
    <definedName name="Print1" localSheetId="26">#REF!</definedName>
    <definedName name="Print1" localSheetId="2">#REF!</definedName>
    <definedName name="Print1" localSheetId="7">#REF!</definedName>
    <definedName name="Print1">#REF!</definedName>
    <definedName name="Print3" localSheetId="26">#REF!</definedName>
    <definedName name="Print3" localSheetId="2">#REF!</definedName>
    <definedName name="Print3" localSheetId="7">#REF!</definedName>
    <definedName name="Print3">#REF!</definedName>
    <definedName name="Print4" localSheetId="26">#REF!</definedName>
    <definedName name="Print4" localSheetId="2">#REF!</definedName>
    <definedName name="Print4" localSheetId="7">#REF!</definedName>
    <definedName name="Print4">#REF!</definedName>
    <definedName name="Print5" localSheetId="26">#REF!</definedName>
    <definedName name="Print5" localSheetId="2">#REF!</definedName>
    <definedName name="Print5" localSheetId="7">#REF!</definedName>
    <definedName name="Print5">#REF!</definedName>
    <definedName name="Proj_PIS">#REF!</definedName>
    <definedName name="Projection">"Projection"</definedName>
    <definedName name="ProjIDList" localSheetId="26">#REF!</definedName>
    <definedName name="ProjIDList" localSheetId="2">#REF!</definedName>
    <definedName name="ProjIDList" localSheetId="7">#REF!</definedName>
    <definedName name="ProjIDList">#REF!</definedName>
    <definedName name="PROSPECT" localSheetId="26">#REF!</definedName>
    <definedName name="PROSPECT" localSheetId="2">#REF!</definedName>
    <definedName name="PROSPECT" localSheetId="7">#REF!</definedName>
    <definedName name="PROSPECT">#REF!</definedName>
    <definedName name="PSCo_COS" localSheetId="26">#REF!</definedName>
    <definedName name="PSCo_COS" localSheetId="2">#REF!</definedName>
    <definedName name="PSCo_COS" localSheetId="7">#REF!</definedName>
    <definedName name="PSCo_COS">#REF!</definedName>
    <definedName name="q_MTEP06_App_AB_Facility" localSheetId="26">#REF!</definedName>
    <definedName name="q_MTEP06_App_AB_Facility" localSheetId="2">#REF!</definedName>
    <definedName name="q_MTEP06_App_AB_Facility" localSheetId="7">#REF!</definedName>
    <definedName name="q_MTEP06_App_AB_Facility">#REF!</definedName>
    <definedName name="q_MTEP06_App_AB_Projects" localSheetId="26">#REF!</definedName>
    <definedName name="q_MTEP06_App_AB_Projects" localSheetId="2">#REF!</definedName>
    <definedName name="q_MTEP06_App_AB_Projects" localSheetId="7">#REF!</definedName>
    <definedName name="q_MTEP06_App_AB_Projects">#REF!</definedName>
    <definedName name="retail" localSheetId="28" hidden="1">{#N/A,#N/A,FALSE,"Loans";#N/A,#N/A,FALSE,"Program Costs";#N/A,#N/A,FALSE,"Measures";#N/A,#N/A,FALSE,"Net Lost Rev";#N/A,#N/A,FALSE,"Incentive"}</definedName>
    <definedName name="retail" hidden="1">{#N/A,#N/A,FALSE,"Loans";#N/A,#N/A,FALSE,"Program Costs";#N/A,#N/A,FALSE,"Measures";#N/A,#N/A,FALSE,"Net Lost Rev";#N/A,#N/A,FALSE,"Incentive"}</definedName>
    <definedName name="retail_CC" localSheetId="28" hidden="1">{#N/A,#N/A,FALSE,"Loans";#N/A,#N/A,FALSE,"Program Costs";#N/A,#N/A,FALSE,"Measures";#N/A,#N/A,FALSE,"Net Lost Rev";#N/A,#N/A,FALSE,"Incentive"}</definedName>
    <definedName name="retail_CC" hidden="1">{#N/A,#N/A,FALSE,"Loans";#N/A,#N/A,FALSE,"Program Costs";#N/A,#N/A,FALSE,"Measures";#N/A,#N/A,FALSE,"Net Lost Rev";#N/A,#N/A,FALSE,"Incentive"}</definedName>
    <definedName name="retail_CC1" localSheetId="28" hidden="1">{#N/A,#N/A,FALSE,"Loans";#N/A,#N/A,FALSE,"Program Costs";#N/A,#N/A,FALSE,"Measures";#N/A,#N/A,FALSE,"Net Lost Rev";#N/A,#N/A,FALSE,"Incentive"}</definedName>
    <definedName name="retail_CC1" hidden="1">{#N/A,#N/A,FALSE,"Loans";#N/A,#N/A,FALSE,"Program Costs";#N/A,#N/A,FALSE,"Measures";#N/A,#N/A,FALSE,"Net Lost Rev";#N/A,#N/A,FALSE,"Incentive"}</definedName>
    <definedName name="revreq" localSheetId="26">#REF!</definedName>
    <definedName name="revreq" localSheetId="2">#REF!</definedName>
    <definedName name="revreq" localSheetId="7">#REF!</definedName>
    <definedName name="revreq">#REF!</definedName>
    <definedName name="right">OFFSET(!A1,0,1)</definedName>
    <definedName name="SAPBEXrevision" hidden="1">1</definedName>
    <definedName name="SAPBEXsysID" hidden="1">"BWP"</definedName>
    <definedName name="SAPBEXwbID" hidden="1">"45EQYSCWE9WJMGB34OOD1BOQZ"</definedName>
    <definedName name="SEVILLE" localSheetId="26">#REF!</definedName>
    <definedName name="SEVILLE" localSheetId="2">#REF!</definedName>
    <definedName name="SEVILLE" localSheetId="7">#REF!</definedName>
    <definedName name="SEVILLE">#REF!</definedName>
    <definedName name="shit" localSheetId="28" hidden="1">{"PRINT",#N/A,TRUE,"APPA";"PRINT",#N/A,TRUE,"APS";"PRINT",#N/A,TRUE,"BHPL";"PRINT",#N/A,TRUE,"BHPL2";"PRINT",#N/A,TRUE,"CDWR";"PRINT",#N/A,TRUE,"EWEB";"PRINT",#N/A,TRUE,"LADWP";"PRINT",#N/A,TRUE,"NEVBASE"}</definedName>
    <definedName name="shit" hidden="1">{"PRINT",#N/A,TRUE,"APPA";"PRINT",#N/A,TRUE,"APS";"PRINT",#N/A,TRUE,"BHPL";"PRINT",#N/A,TRUE,"BHPL2";"PRINT",#N/A,TRUE,"CDWR";"PRINT",#N/A,TRUE,"EWEB";"PRINT",#N/A,TRUE,"LADWP";"PRINT",#N/A,TRUE,"NEVBASE"}</definedName>
    <definedName name="SOUTH_VIENNA" localSheetId="26">#REF!</definedName>
    <definedName name="SOUTH_VIENNA" localSheetId="2">#REF!</definedName>
    <definedName name="SOUTH_VIENNA" localSheetId="7">#REF!</definedName>
    <definedName name="SOUTH_VIENNA">#REF!</definedName>
    <definedName name="SPS_COS" localSheetId="26">#REF!</definedName>
    <definedName name="SPS_COS" localSheetId="2">#REF!</definedName>
    <definedName name="SPS_COS" localSheetId="7">#REF!</definedName>
    <definedName name="SPS_COS">#REF!</definedName>
    <definedName name="TEST0">#REF!</definedName>
    <definedName name="TESTHKEY">#REF!</definedName>
    <definedName name="TESTKEYS">#REF!</definedName>
    <definedName name="TESTVKEY">#REF!</definedName>
    <definedName name="Toggle" localSheetId="28">Projection</definedName>
    <definedName name="Toggle">Projection</definedName>
    <definedName name="Toggle.list">#REF!</definedName>
    <definedName name="TOTAL_COLUMBIANA" localSheetId="26">#REF!</definedName>
    <definedName name="TOTAL_COLUMBIANA" localSheetId="2">#REF!</definedName>
    <definedName name="TOTAL_COLUMBIANA" localSheetId="7">#REF!</definedName>
    <definedName name="TOTAL_COLUMBIANA">#REF!</definedName>
    <definedName name="Total_Grove_City" localSheetId="26">#REF!</definedName>
    <definedName name="Total_Grove_City" localSheetId="2">#REF!</definedName>
    <definedName name="Total_Grove_City" localSheetId="7">#REF!</definedName>
    <definedName name="Total_Grove_City">#REF!</definedName>
    <definedName name="TOTAL_HUDSON" localSheetId="26">#REF!</definedName>
    <definedName name="TOTAL_HUDSON" localSheetId="2">#REF!</definedName>
    <definedName name="TOTAL_HUDSON" localSheetId="7">#REF!</definedName>
    <definedName name="TOTAL_HUDSON">#REF!</definedName>
    <definedName name="TOTAL_MONTPELIER" localSheetId="26">#REF!</definedName>
    <definedName name="TOTAL_MONTPELIER" localSheetId="2">#REF!</definedName>
    <definedName name="TOTAL_MONTPELIER" localSheetId="7">#REF!</definedName>
    <definedName name="TOTAL_MONTPELIER">#REF!</definedName>
    <definedName name="TOTAL_WOODVILLE" localSheetId="26">#REF!</definedName>
    <definedName name="TOTAL_WOODVILLE" localSheetId="2">#REF!</definedName>
    <definedName name="TOTAL_WOODVILLE" localSheetId="7">#REF!</definedName>
    <definedName name="TOTAL_WOODVILLE">#REF!</definedName>
    <definedName name="transmission.fixed.charge.rate">0.1525</definedName>
    <definedName name="True_up">#REF!</definedName>
    <definedName name="WADSWORTH" localSheetId="26">#REF!</definedName>
    <definedName name="WADSWORTH" localSheetId="2">#REF!</definedName>
    <definedName name="WADSWORTH" localSheetId="7">#REF!</definedName>
    <definedName name="WADSWORTH">#REF!</definedName>
    <definedName name="WELLINGTON" localSheetId="26">#REF!</definedName>
    <definedName name="WELLINGTON" localSheetId="2">#REF!</definedName>
    <definedName name="WELLINGTON" localSheetId="7">#REF!</definedName>
    <definedName name="WELLINGTON">#REF!</definedName>
    <definedName name="wrn.All._.Pages." localSheetId="28" hidden="1">{#N/A,#N/A,FALSE,"Cover";#N/A,#N/A,FALSE,"Lead Sheet";#N/A,#N/A,FALSE,"T-Accounts";#N/A,#N/A,FALSE,"Ins &amp; Prem ActualEstimates"}</definedName>
    <definedName name="wrn.All._.Pages." hidden="1">{#N/A,#N/A,FALSE,"Cover";#N/A,#N/A,FALSE,"Lead Sheet";#N/A,#N/A,FALSE,"T-Accounts";#N/A,#N/A,FALSE,"Ins &amp; Prem ActualEstimates"}</definedName>
    <definedName name="wrn.Factors._.Tab._.10." localSheetId="28" hidden="1">{"Factors Pages 1-2",#N/A,FALSE,"Factors";"Factors Page 3",#N/A,FALSE,"Factors";"Factors Page 4",#N/A,FALSE,"Factors";"Factors Page 5",#N/A,FALSE,"Factors";"Factors Pages 8-27",#N/A,FALSE,"Factors"}</definedName>
    <definedName name="wrn.Factors._.Tab._.10." hidden="1">{"Factors Pages 1-2",#N/A,FALSE,"Factors";"Factors Page 3",#N/A,FALSE,"Factors";"Factors Page 4",#N/A,FALSE,"Factors";"Factors Page 5",#N/A,FALSE,"Factors";"Factors Pages 8-27",#N/A,FALSE,"Factors"}</definedName>
    <definedName name="wrn.OR._.Carrying._.Charge._.JV." localSheetId="28" hidden="1">{#N/A,#N/A,FALSE,"Loans";#N/A,#N/A,FALSE,"Program Costs";#N/A,#N/A,FALSE,"Measures";#N/A,#N/A,FALSE,"Net Lost Rev";#N/A,#N/A,FALSE,"Incentive"}</definedName>
    <definedName name="wrn.OR._.Carrying._.Charge._.JV." hidden="1">{#N/A,#N/A,FALSE,"Loans";#N/A,#N/A,FALSE,"Program Costs";#N/A,#N/A,FALSE,"Measures";#N/A,#N/A,FALSE,"Net Lost Rev";#N/A,#N/A,FALSE,"Incentive"}</definedName>
    <definedName name="wrn.OR._.Carrying._.Charge._.JV.1" localSheetId="28" hidden="1">{#N/A,#N/A,FALSE,"Loans";#N/A,#N/A,FALSE,"Program Costs";#N/A,#N/A,FALSE,"Measures";#N/A,#N/A,FALSE,"Net Lost Rev";#N/A,#N/A,FALSE,"Incentive"}</definedName>
    <definedName name="wrn.OR._.Carrying._.Charge._.JV.1" hidden="1">{#N/A,#N/A,FALSE,"Loans";#N/A,#N/A,FALSE,"Program Costs";#N/A,#N/A,FALSE,"Measures";#N/A,#N/A,FALSE,"Net Lost Rev";#N/A,#N/A,FALSE,"Incentive"}</definedName>
    <definedName name="wrn.SALES._.VAR._.95._.BUDGET." localSheetId="28" hidden="1">{"PRINT",#N/A,TRUE,"APPA";"PRINT",#N/A,TRUE,"APS";"PRINT",#N/A,TRUE,"BHPL";"PRINT",#N/A,TRUE,"BHPL2";"PRINT",#N/A,TRUE,"CDWR";"PRINT",#N/A,TRUE,"EWEB";"PRINT",#N/A,TRUE,"LADWP";"PRINT",#N/A,TRUE,"NEVBASE"}</definedName>
    <definedName name="wrn.SALES._.VAR._.95._.BUDGET." hidden="1">{"PRINT",#N/A,TRUE,"APPA";"PRINT",#N/A,TRUE,"APS";"PRINT",#N/A,TRUE,"BHPL";"PRINT",#N/A,TRUE,"BHPL2";"PRINT",#N/A,TRUE,"CDWR";"PRINT",#N/A,TRUE,"EWEB";"PRINT",#N/A,TRUE,"LADWP";"PRINT",#N/A,TRUE,"NEVBASE"}</definedName>
    <definedName name="wrn.YearEnd." localSheetId="28" hidden="1">{"Factors Pages 1-2",#N/A,FALSE,"Variables";"Factors Page 3",#N/A,FALSE,"Variables";"Factors Page 4",#N/A,FALSE,"Variables";"Factors Page 5",#N/A,FALSE,"Variables";"YE Pages 7-26",#N/A,FALSE,"Variables"}</definedName>
    <definedName name="wrn.YearEnd." hidden="1">{"Factors Pages 1-2",#N/A,FALSE,"Variables";"Factors Page 3",#N/A,FALSE,"Variables";"Factors Page 4",#N/A,FALSE,"Variables";"Factors Page 5",#N/A,FALSE,"Variables";"YE Pages 7-26",#N/A,FALSE,"Variables"}</definedName>
    <definedName name="Xcel" localSheetId="14">#REF!</definedName>
    <definedName name="Xcel" localSheetId="18">#REF!</definedName>
    <definedName name="Xcel" localSheetId="26">#REF!</definedName>
    <definedName name="Xcel" localSheetId="7">#REF!</definedName>
    <definedName name="Xcel" localSheetId="12">#REF!</definedName>
    <definedName name="Xcel" localSheetId="13">#REF!</definedName>
    <definedName name="Xcel">#REF!</definedName>
    <definedName name="Xcel_COS" localSheetId="26">#REF!</definedName>
    <definedName name="Xcel_COS" localSheetId="2">#REF!</definedName>
    <definedName name="Xcel_COS" localSheetId="7">#REF!</definedName>
    <definedName name="Xcel_COS">#REF!</definedName>
    <definedName name="Z_28948E05_8F34_4F1E_96FB_A80A6A844600_.wvu.Cols" localSheetId="16" hidden="1">'Attachment 11 - TEC'!#REF!</definedName>
    <definedName name="Z_28948E05_8F34_4F1E_96FB_A80A6A844600_.wvu.Cols" localSheetId="18" hidden="1">'Attachment 12 - TEC True-up'!#REF!</definedName>
    <definedName name="Z_28948E05_8F34_4F1E_96FB_A80A6A844600_.wvu.PrintTitles" localSheetId="16" hidden="1">'Attachment 11 - TEC'!$C:$D</definedName>
    <definedName name="Z_28948E05_8F34_4F1E_96FB_A80A6A844600_.wvu.PrintTitles" localSheetId="18" hidden="1">'Attachment 12 - TEC True-up'!$C:$D</definedName>
    <definedName name="Z_28948E05_8F34_4F1E_96FB_A80A6A844600_.wvu.Rows" localSheetId="2" hidden="1">'Attachment 2 - ROE Calcs'!#REF!,'Attachment 2 - ROE Calcs'!#REF!</definedName>
    <definedName name="Z_3A38DF7A_C35E_4DD3_9893_26310A3EF836_.wvu.Cols" localSheetId="16" hidden="1">'Attachment 11 - TEC'!#REF!</definedName>
    <definedName name="Z_3A38DF7A_C35E_4DD3_9893_26310A3EF836_.wvu.Cols" localSheetId="18" hidden="1">'Attachment 12 - TEC True-up'!#REF!</definedName>
    <definedName name="Z_3A38DF7A_C35E_4DD3_9893_26310A3EF836_.wvu.PrintTitles" localSheetId="16" hidden="1">'Attachment 11 - TEC'!$C:$D</definedName>
    <definedName name="Z_3A38DF7A_C35E_4DD3_9893_26310A3EF836_.wvu.PrintTitles" localSheetId="18" hidden="1">'Attachment 12 - TEC True-up'!$C:$D</definedName>
    <definedName name="Z_3A38DF7A_C35E_4DD3_9893_26310A3EF836_.wvu.Rows" localSheetId="2" hidden="1">'Attachment 2 - ROE Calcs'!#REF!</definedName>
    <definedName name="Z_4C7C2344_134C_465A_ADEB_A5E96AAE2308_.wvu.Cols" localSheetId="16" hidden="1">'Attachment 11 - TEC'!#REF!</definedName>
    <definedName name="Z_4C7C2344_134C_465A_ADEB_A5E96AAE2308_.wvu.Cols" localSheetId="18" hidden="1">'Attachment 12 - TEC True-up'!#REF!</definedName>
    <definedName name="Z_4C7C2344_134C_465A_ADEB_A5E96AAE2308_.wvu.PrintTitles" localSheetId="16" hidden="1">'Attachment 11 - TEC'!$C:$D</definedName>
    <definedName name="Z_4C7C2344_134C_465A_ADEB_A5E96AAE2308_.wvu.PrintTitles" localSheetId="18" hidden="1">'Attachment 12 - TEC True-up'!$C:$D</definedName>
    <definedName name="Z_4C7C2344_134C_465A_ADEB_A5E96AAE2308_.wvu.Rows" localSheetId="2" hidden="1">'Attachment 2 - ROE Calcs'!#REF!</definedName>
    <definedName name="Z_71B42B22_A376_44B5_B0C1_23FC1AA3DBA2_.wvu.Cols" localSheetId="16" hidden="1">'Attachment 11 - TEC'!#REF!</definedName>
    <definedName name="Z_71B42B22_A376_44B5_B0C1_23FC1AA3DBA2_.wvu.Cols" localSheetId="18" hidden="1">'Attachment 12 - TEC True-up'!#REF!</definedName>
    <definedName name="Z_71B42B22_A376_44B5_B0C1_23FC1AA3DBA2_.wvu.PrintTitles" localSheetId="16" hidden="1">'Attachment 11 - TEC'!$C:$D</definedName>
    <definedName name="Z_71B42B22_A376_44B5_B0C1_23FC1AA3DBA2_.wvu.PrintTitles" localSheetId="18" hidden="1">'Attachment 12 - TEC True-up'!$C:$D</definedName>
    <definedName name="Z_71B42B22_A376_44B5_B0C1_23FC1AA3DBA2_.wvu.Rows" localSheetId="2" hidden="1">'Attachment 2 - ROE Calcs'!#REF!,'Attachment 2 - ROE Calcs'!#REF!</definedName>
    <definedName name="Z_DA967730_B71F_4038_B1B7_9D4790729C5D_.wvu.Cols" localSheetId="16" hidden="1">'Attachment 11 - TEC'!#REF!</definedName>
    <definedName name="Z_DA967730_B71F_4038_B1B7_9D4790729C5D_.wvu.Cols" localSheetId="18" hidden="1">'Attachment 12 - TEC True-up'!#REF!</definedName>
    <definedName name="Z_DA967730_B71F_4038_B1B7_9D4790729C5D_.wvu.PrintTitles" localSheetId="16" hidden="1">'Attachment 11 - TEC'!$C:$D</definedName>
    <definedName name="Z_DA967730_B71F_4038_B1B7_9D4790729C5D_.wvu.PrintTitles" localSheetId="18" hidden="1">'Attachment 12 - TEC True-up'!$C:$D</definedName>
    <definedName name="Z_DA967730_B71F_4038_B1B7_9D4790729C5D_.wvu.Rows" localSheetId="2" hidden="1">'Attachment 2 - ROE Calcs'!#REF!</definedName>
    <definedName name="Z_DC91DEF3_837B_4BB9_A81E_3B78C5914E6C_.wvu.Cols" localSheetId="16" hidden="1">'Attachment 11 - TEC'!#REF!</definedName>
    <definedName name="Z_DC91DEF3_837B_4BB9_A81E_3B78C5914E6C_.wvu.Cols" localSheetId="18" hidden="1">'Attachment 12 - TEC True-up'!#REF!</definedName>
    <definedName name="Z_DC91DEF3_837B_4BB9_A81E_3B78C5914E6C_.wvu.PrintTitles" localSheetId="16" hidden="1">'Attachment 11 - TEC'!$C:$D</definedName>
    <definedName name="Z_DC91DEF3_837B_4BB9_A81E_3B78C5914E6C_.wvu.PrintTitles" localSheetId="18" hidden="1">'Attachment 12 - TEC True-up'!$C:$D</definedName>
    <definedName name="Z_DC91DEF3_837B_4BB9_A81E_3B78C5914E6C_.wvu.Rows" localSheetId="2" hidden="1">'Attachment 2 - ROE Calcs'!#REF!</definedName>
    <definedName name="Z_E1861F40_EBD5_44AE_868B_FDE0ED504D72_.wvu.PrintArea" localSheetId="1" hidden="1">'Attachment 1 - Sched 1A'!$B$1:$I$18</definedName>
    <definedName name="Z_E1861F40_EBD5_44AE_868B_FDE0ED504D72_.wvu.PrintArea" localSheetId="16" hidden="1">'Attachment 11 - TEC'!$A$1:$O$91</definedName>
    <definedName name="Z_E1861F40_EBD5_44AE_868B_FDE0ED504D72_.wvu.PrintArea" localSheetId="18" hidden="1">'Attachment 12 - TEC True-up'!$A$1:$L$39</definedName>
    <definedName name="Z_E1861F40_EBD5_44AE_868B_FDE0ED504D72_.wvu.PrintArea" localSheetId="0" hidden="1">'Attachment H-34A '!$A$1:$K$336</definedName>
    <definedName name="Z_E1861F40_EBD5_44AE_868B_FDE0ED504D72_.wvu.PrintTitles" localSheetId="16" hidden="1">'Attachment 11 - TEC'!$C:$D</definedName>
    <definedName name="Z_E1861F40_EBD5_44AE_868B_FDE0ED504D72_.wvu.PrintTitles" localSheetId="18" hidden="1">'Attachment 12 - TEC True-up'!$C:$D</definedName>
    <definedName name="Z_F96D6087_3330_4A81_95EC_26BA83722A49_.wvu.Cols" localSheetId="16" hidden="1">'Attachment 11 - TEC'!#REF!</definedName>
    <definedName name="Z_F96D6087_3330_4A81_95EC_26BA83722A49_.wvu.Cols" localSheetId="18" hidden="1">'Attachment 12 - TEC True-up'!#REF!</definedName>
    <definedName name="Z_F96D6087_3330_4A81_95EC_26BA83722A49_.wvu.PrintTitles" localSheetId="16" hidden="1">'Attachment 11 - TEC'!$C:$D</definedName>
    <definedName name="Z_F96D6087_3330_4A81_95EC_26BA83722A49_.wvu.PrintTitles" localSheetId="18" hidden="1">'Attachment 12 - TEC True-up'!$C:$D</definedName>
    <definedName name="Z_F96D6087_3330_4A81_95EC_26BA83722A49_.wvu.Rows" localSheetId="2" hidden="1">'Attachment 2 - ROE Calcs'!#REF!</definedName>
    <definedName name="Z_FAAD9AAC_1337_43AB_BF1F_CCF9DFCF5B78_.wvu.Cols" localSheetId="16" hidden="1">'Attachment 11 - TEC'!#REF!</definedName>
    <definedName name="Z_FAAD9AAC_1337_43AB_BF1F_CCF9DFCF5B78_.wvu.Cols" localSheetId="18" hidden="1">'Attachment 12 - TEC True-up'!#REF!</definedName>
    <definedName name="Z_FAAD9AAC_1337_43AB_BF1F_CCF9DFCF5B78_.wvu.PrintTitles" localSheetId="16" hidden="1">'Attachment 11 - TEC'!$C:$D</definedName>
    <definedName name="Z_FAAD9AAC_1337_43AB_BF1F_CCF9DFCF5B78_.wvu.PrintTitles" localSheetId="18" hidden="1">'Attachment 12 - TEC True-up'!$C:$D</definedName>
    <definedName name="Z_FAAD9AAC_1337_43AB_BF1F_CCF9DFCF5B78_.wvu.Rows" localSheetId="2" hidden="1">'Attachment 2 - ROE Calcs'!#REF!</definedName>
  </definedNames>
  <calcPr calcId="191029"/>
  <customWorkbookViews>
    <customWorkbookView name="Schock, Michael C - Personal View" guid="{E1861F40-EBD5-44AE-868B-FDE0ED504D72}" mergeInterval="0" personalView="1" maximized="1" xWindow="-8" yWindow="-8" windowWidth="1696" windowHeight="1026" tabRatio="928"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3" i="69" l="1"/>
  <c r="H29" i="40"/>
  <c r="H107" i="61" l="1"/>
  <c r="I91" i="61"/>
  <c r="I92" i="61"/>
  <c r="I93" i="61"/>
  <c r="I95" i="61"/>
  <c r="I96" i="61"/>
  <c r="I97" i="61"/>
  <c r="I99" i="61"/>
  <c r="I100" i="61"/>
  <c r="I101" i="61"/>
  <c r="I75" i="61" l="1"/>
  <c r="G47" i="61"/>
  <c r="G46" i="61"/>
  <c r="G45" i="61"/>
  <c r="G44" i="61"/>
  <c r="G43" i="61"/>
  <c r="G42" i="61"/>
  <c r="G41" i="61"/>
  <c r="G40" i="61"/>
  <c r="I36" i="61"/>
  <c r="I84" i="61" l="1"/>
  <c r="I85" i="61"/>
  <c r="I87" i="61"/>
  <c r="I88" i="61"/>
  <c r="I89" i="61"/>
  <c r="A83" i="61" l="1"/>
  <c r="G26" i="53" l="1"/>
  <c r="H33" i="40" l="1"/>
  <c r="I33" i="40"/>
  <c r="H25" i="40"/>
  <c r="I72" i="61" l="1"/>
  <c r="I69" i="61"/>
  <c r="I66" i="61"/>
  <c r="I58" i="61"/>
  <c r="I59" i="61"/>
  <c r="I60" i="61"/>
  <c r="I61" i="61"/>
  <c r="I62" i="61"/>
  <c r="I57" i="61"/>
  <c r="I40" i="61"/>
  <c r="I41" i="61"/>
  <c r="I42" i="61"/>
  <c r="I43" i="61"/>
  <c r="I44" i="61"/>
  <c r="I45" i="61"/>
  <c r="I46" i="61"/>
  <c r="I47" i="61"/>
  <c r="I14" i="61"/>
  <c r="I15" i="61"/>
  <c r="I16" i="61"/>
  <c r="I17" i="61"/>
  <c r="I18" i="61"/>
  <c r="I19" i="61"/>
  <c r="I20" i="61"/>
  <c r="I21" i="61"/>
  <c r="I22" i="61"/>
  <c r="I23" i="61"/>
  <c r="I24" i="61"/>
  <c r="I25" i="61"/>
  <c r="I26" i="61"/>
  <c r="I27" i="61"/>
  <c r="I28" i="61"/>
  <c r="I29" i="61"/>
  <c r="I30" i="61"/>
  <c r="I31" i="61"/>
  <c r="I32" i="61"/>
  <c r="I33" i="61"/>
  <c r="I34" i="61"/>
  <c r="I35" i="61"/>
  <c r="I65" i="61" l="1"/>
  <c r="Q20" i="42" l="1"/>
  <c r="Q21" i="42"/>
  <c r="Q22" i="42"/>
  <c r="Q23" i="42"/>
  <c r="E17" i="39" l="1"/>
  <c r="E69" i="5" s="1"/>
  <c r="T17" i="39"/>
  <c r="D17" i="39"/>
  <c r="C17" i="39"/>
  <c r="AI17" i="39" l="1"/>
  <c r="H69" i="5" s="1"/>
  <c r="T16" i="39"/>
  <c r="E16" i="39"/>
  <c r="E68" i="5" s="1"/>
  <c r="D16" i="39"/>
  <c r="C16" i="39"/>
  <c r="A16" i="39"/>
  <c r="AI16" i="39" l="1"/>
  <c r="H68" i="5" s="1"/>
  <c r="G50" i="53"/>
  <c r="H50" i="53" s="1"/>
  <c r="G6" i="53"/>
  <c r="H6" i="53" s="1"/>
  <c r="G47" i="53"/>
  <c r="G3" i="53"/>
  <c r="G1" i="53"/>
  <c r="G45" i="53" s="1"/>
  <c r="H70" i="53" l="1"/>
  <c r="H56" i="53"/>
  <c r="H57" i="53"/>
  <c r="H58" i="53"/>
  <c r="H59" i="53"/>
  <c r="H60" i="53"/>
  <c r="H61" i="53"/>
  <c r="H62" i="53"/>
  <c r="H63" i="53"/>
  <c r="H64" i="53"/>
  <c r="H65" i="53"/>
  <c r="H66" i="53"/>
  <c r="H67" i="53"/>
  <c r="H55" i="53"/>
  <c r="H37" i="53"/>
  <c r="H36" i="53"/>
  <c r="H35" i="53"/>
  <c r="H34" i="53"/>
  <c r="H33" i="53"/>
  <c r="H32" i="53"/>
  <c r="H31" i="53"/>
  <c r="H30" i="53"/>
  <c r="H29" i="53"/>
  <c r="H28" i="53"/>
  <c r="H25" i="53"/>
  <c r="H24" i="53"/>
  <c r="H23" i="53"/>
  <c r="D131" i="1" s="1"/>
  <c r="H22" i="53"/>
  <c r="H21" i="53"/>
  <c r="H20" i="53"/>
  <c r="H19" i="53"/>
  <c r="H18" i="53"/>
  <c r="H17" i="53"/>
  <c r="H16" i="53"/>
  <c r="H15" i="53"/>
  <c r="H14" i="53"/>
  <c r="H13" i="53"/>
  <c r="H12" i="53"/>
  <c r="H10" i="53"/>
  <c r="G68" i="53"/>
  <c r="G71" i="53" s="1"/>
  <c r="G38" i="53"/>
  <c r="G39" i="53" s="1"/>
  <c r="D91" i="1"/>
  <c r="D87" i="1"/>
  <c r="D85" i="1"/>
  <c r="AD60" i="69"/>
  <c r="AB60" i="69"/>
  <c r="Z60" i="69"/>
  <c r="X60" i="69"/>
  <c r="V60" i="69"/>
  <c r="T60" i="69"/>
  <c r="R60" i="69"/>
  <c r="P60" i="69"/>
  <c r="N60" i="69"/>
  <c r="L60" i="69"/>
  <c r="J60" i="69"/>
  <c r="H60" i="69"/>
  <c r="F60" i="69"/>
  <c r="AF59" i="69"/>
  <c r="AF58" i="69"/>
  <c r="AF60" i="69" s="1"/>
  <c r="AD54" i="69"/>
  <c r="AB54" i="69"/>
  <c r="Z54" i="69"/>
  <c r="X54" i="69"/>
  <c r="V54" i="69"/>
  <c r="T54" i="69"/>
  <c r="R54" i="69"/>
  <c r="P54" i="69"/>
  <c r="N54" i="69"/>
  <c r="L54" i="69"/>
  <c r="J54" i="69"/>
  <c r="H54" i="69"/>
  <c r="F54" i="69"/>
  <c r="AF53" i="69"/>
  <c r="AF52" i="69"/>
  <c r="AD48" i="69"/>
  <c r="AB48" i="69"/>
  <c r="Z48" i="69"/>
  <c r="X48" i="69"/>
  <c r="V48" i="69"/>
  <c r="T48" i="69"/>
  <c r="R48" i="69"/>
  <c r="P48" i="69"/>
  <c r="N48" i="69"/>
  <c r="L48" i="69"/>
  <c r="J48" i="69"/>
  <c r="H48" i="69"/>
  <c r="F48" i="69"/>
  <c r="AF47" i="69"/>
  <c r="AF48" i="69" s="1"/>
  <c r="AF46" i="69"/>
  <c r="AD42" i="69"/>
  <c r="AB42" i="69"/>
  <c r="Z42" i="69"/>
  <c r="X42" i="69"/>
  <c r="V42" i="69"/>
  <c r="T42" i="69"/>
  <c r="R42" i="69"/>
  <c r="P42" i="69"/>
  <c r="N42" i="69"/>
  <c r="L42" i="69"/>
  <c r="J42" i="69"/>
  <c r="H42" i="69"/>
  <c r="F42" i="69"/>
  <c r="AF41" i="69"/>
  <c r="AF40" i="69"/>
  <c r="AD36" i="69"/>
  <c r="AB36" i="69"/>
  <c r="Z36" i="69"/>
  <c r="X36" i="69"/>
  <c r="V36" i="69"/>
  <c r="T36" i="69"/>
  <c r="R36" i="69"/>
  <c r="P36" i="69"/>
  <c r="N36" i="69"/>
  <c r="L36" i="69"/>
  <c r="J36" i="69"/>
  <c r="H36" i="69"/>
  <c r="F36" i="69"/>
  <c r="AF35" i="69"/>
  <c r="AF34" i="69"/>
  <c r="AF36" i="69" s="1"/>
  <c r="AD30" i="69"/>
  <c r="AB30" i="69"/>
  <c r="Z30" i="69"/>
  <c r="X30" i="69"/>
  <c r="V30" i="69"/>
  <c r="T30" i="69"/>
  <c r="R30" i="69"/>
  <c r="P30" i="69"/>
  <c r="N30" i="69"/>
  <c r="L30" i="69"/>
  <c r="J30" i="69"/>
  <c r="H30" i="69"/>
  <c r="F30" i="69"/>
  <c r="A30" i="69"/>
  <c r="A32" i="69" s="1"/>
  <c r="A36" i="69" s="1"/>
  <c r="A38" i="69" s="1"/>
  <c r="AF29" i="69"/>
  <c r="AF28" i="69"/>
  <c r="AF30" i="69" s="1"/>
  <c r="A28" i="69"/>
  <c r="AF20" i="69"/>
  <c r="AF17" i="69"/>
  <c r="D95" i="1" s="1"/>
  <c r="AD14" i="69"/>
  <c r="AB14" i="69"/>
  <c r="Z14" i="69"/>
  <c r="X14" i="69"/>
  <c r="V14" i="69"/>
  <c r="T14" i="69"/>
  <c r="R14" i="69"/>
  <c r="P14" i="69"/>
  <c r="N14" i="69"/>
  <c r="L14" i="69"/>
  <c r="J14" i="69"/>
  <c r="H14" i="69"/>
  <c r="F14" i="69"/>
  <c r="C14" i="69"/>
  <c r="A14" i="69"/>
  <c r="A17" i="69" s="1"/>
  <c r="A20" i="69" s="1"/>
  <c r="AF13" i="69"/>
  <c r="AF12" i="69"/>
  <c r="AF14" i="69" s="1"/>
  <c r="D96" i="1" s="1"/>
  <c r="I96" i="1" s="1"/>
  <c r="AD7" i="69"/>
  <c r="AB7" i="69"/>
  <c r="Z7" i="69"/>
  <c r="X7" i="69"/>
  <c r="V7" i="69"/>
  <c r="T7" i="69"/>
  <c r="R7" i="69"/>
  <c r="P7" i="69"/>
  <c r="N7" i="69"/>
  <c r="L7" i="69"/>
  <c r="J7" i="69"/>
  <c r="H7" i="69"/>
  <c r="D5" i="69"/>
  <c r="F5" i="69" s="1"/>
  <c r="H5" i="69" s="1"/>
  <c r="J5" i="69" s="1"/>
  <c r="L5" i="69" s="1"/>
  <c r="N5" i="69" s="1"/>
  <c r="P5" i="69" s="1"/>
  <c r="R5" i="69" s="1"/>
  <c r="T5" i="69" s="1"/>
  <c r="V5" i="69" s="1"/>
  <c r="X5" i="69" s="1"/>
  <c r="Z5" i="69" s="1"/>
  <c r="AB5" i="69" s="1"/>
  <c r="AD5" i="69" s="1"/>
  <c r="AF5" i="69" s="1"/>
  <c r="J69" i="51"/>
  <c r="J67" i="51"/>
  <c r="J65" i="51"/>
  <c r="D130" i="1" l="1"/>
  <c r="H26" i="53"/>
  <c r="J71" i="51"/>
  <c r="I216" i="1"/>
  <c r="H38" i="53"/>
  <c r="H68" i="53"/>
  <c r="H71" i="53" s="1"/>
  <c r="D132" i="1" s="1"/>
  <c r="AF42" i="69"/>
  <c r="AF54" i="69"/>
  <c r="AF62" i="69" s="1"/>
  <c r="A40" i="69"/>
  <c r="A42" i="69"/>
  <c r="A44" i="69" s="1"/>
  <c r="A34" i="69"/>
  <c r="A29" i="69"/>
  <c r="C30" i="69" s="1"/>
  <c r="H39" i="53" l="1"/>
  <c r="D129" i="1"/>
  <c r="I215" i="1" s="1"/>
  <c r="A35" i="69"/>
  <c r="C36" i="69" s="1"/>
  <c r="A48" i="69"/>
  <c r="A50" i="69" s="1"/>
  <c r="A46" i="69"/>
  <c r="A41" i="69"/>
  <c r="C42" i="69" s="1"/>
  <c r="A47" i="69" l="1"/>
  <c r="C48" i="69"/>
  <c r="A54" i="69"/>
  <c r="A52" i="69"/>
  <c r="A53" i="69" l="1"/>
  <c r="C54" i="69" s="1"/>
  <c r="A56" i="69"/>
  <c r="A60" i="69" l="1"/>
  <c r="A58" i="69"/>
  <c r="A59" i="69" l="1"/>
  <c r="C60" i="69"/>
  <c r="A62" i="69"/>
  <c r="C62" i="69"/>
  <c r="I286" i="1" l="1"/>
  <c r="G284" i="1"/>
  <c r="I284" i="1" s="1"/>
  <c r="J3" i="68" l="1"/>
  <c r="J1" i="68"/>
  <c r="J3" i="67"/>
  <c r="J1" i="67"/>
  <c r="I276" i="1" l="1"/>
  <c r="F17" i="67" l="1"/>
  <c r="F17" i="68"/>
  <c r="A71" i="68" l="1"/>
  <c r="A70" i="68"/>
  <c r="A69" i="68"/>
  <c r="A65" i="68"/>
  <c r="A63" i="68"/>
  <c r="A50" i="68"/>
  <c r="A46" i="68"/>
  <c r="A44" i="68"/>
  <c r="A31" i="68"/>
  <c r="A29" i="68"/>
  <c r="D18" i="68"/>
  <c r="F18" i="68" s="1"/>
  <c r="B18" i="68"/>
  <c r="B19" i="68" s="1"/>
  <c r="B20" i="68" s="1"/>
  <c r="B21" i="68" s="1"/>
  <c r="B22" i="68" s="1"/>
  <c r="B23" i="68" s="1"/>
  <c r="B24" i="68" s="1"/>
  <c r="B25" i="68" s="1"/>
  <c r="B26" i="68" s="1"/>
  <c r="B27" i="68" s="1"/>
  <c r="B28" i="68" s="1"/>
  <c r="B32" i="68" s="1"/>
  <c r="B33" i="68" s="1"/>
  <c r="B34" i="68" s="1"/>
  <c r="B35" i="68" s="1"/>
  <c r="B36" i="68" s="1"/>
  <c r="B37" i="68" s="1"/>
  <c r="B38" i="68" s="1"/>
  <c r="B39" i="68" s="1"/>
  <c r="B40" i="68" s="1"/>
  <c r="B41" i="68" s="1"/>
  <c r="B42" i="68" s="1"/>
  <c r="B43" i="68" s="1"/>
  <c r="B51" i="68" s="1"/>
  <c r="B52" i="68" s="1"/>
  <c r="B53" i="68" s="1"/>
  <c r="B54" i="68" s="1"/>
  <c r="B55" i="68" s="1"/>
  <c r="B56" i="68" s="1"/>
  <c r="B57" i="68" s="1"/>
  <c r="B58" i="68" s="1"/>
  <c r="B59" i="68" s="1"/>
  <c r="B60" i="68" s="1"/>
  <c r="B61" i="68" s="1"/>
  <c r="B62" i="68" s="1"/>
  <c r="G17" i="68"/>
  <c r="G18" i="68" s="1"/>
  <c r="A18" i="68" s="1"/>
  <c r="E10" i="68"/>
  <c r="C10" i="68"/>
  <c r="A71" i="67"/>
  <c r="A70" i="67"/>
  <c r="A69" i="67"/>
  <c r="A65" i="67"/>
  <c r="A63" i="67"/>
  <c r="A50" i="67"/>
  <c r="A46" i="67"/>
  <c r="A44" i="67"/>
  <c r="A31" i="67"/>
  <c r="A29" i="67"/>
  <c r="D18" i="67"/>
  <c r="B18" i="67"/>
  <c r="B19" i="67" s="1"/>
  <c r="B20" i="67" s="1"/>
  <c r="B21" i="67" s="1"/>
  <c r="B22" i="67" s="1"/>
  <c r="B23" i="67" s="1"/>
  <c r="B24" i="67" s="1"/>
  <c r="B25" i="67" s="1"/>
  <c r="B26" i="67" s="1"/>
  <c r="B27" i="67" s="1"/>
  <c r="B28" i="67" s="1"/>
  <c r="B32" i="67" s="1"/>
  <c r="B33" i="67" s="1"/>
  <c r="B34" i="67" s="1"/>
  <c r="B35" i="67" s="1"/>
  <c r="B36" i="67" s="1"/>
  <c r="B37" i="67" s="1"/>
  <c r="B38" i="67" s="1"/>
  <c r="B39" i="67" s="1"/>
  <c r="B40" i="67" s="1"/>
  <c r="B41" i="67" s="1"/>
  <c r="B42" i="67" s="1"/>
  <c r="B43" i="67" s="1"/>
  <c r="B51" i="67" s="1"/>
  <c r="B52" i="67" s="1"/>
  <c r="B53" i="67" s="1"/>
  <c r="B54" i="67" s="1"/>
  <c r="B55" i="67" s="1"/>
  <c r="B56" i="67" s="1"/>
  <c r="B57" i="67" s="1"/>
  <c r="B58" i="67" s="1"/>
  <c r="B59" i="67" s="1"/>
  <c r="B60" i="67" s="1"/>
  <c r="B61" i="67" s="1"/>
  <c r="B62" i="67" s="1"/>
  <c r="G17" i="67"/>
  <c r="G18" i="67" s="1"/>
  <c r="A18" i="67" s="1"/>
  <c r="H17" i="67"/>
  <c r="E10" i="67"/>
  <c r="C10" i="67"/>
  <c r="H17" i="68" l="1"/>
  <c r="D19" i="67"/>
  <c r="F19" i="67" s="1"/>
  <c r="F18" i="67"/>
  <c r="H18" i="68"/>
  <c r="D19" i="68"/>
  <c r="F19" i="68" s="1"/>
  <c r="G19" i="68"/>
  <c r="D20" i="67"/>
  <c r="F20" i="67" s="1"/>
  <c r="H18" i="67"/>
  <c r="G19" i="67"/>
  <c r="H19" i="67" s="1"/>
  <c r="G17" i="1"/>
  <c r="D17" i="1"/>
  <c r="I17" i="1" l="1"/>
  <c r="I19" i="67"/>
  <c r="G20" i="67" s="1"/>
  <c r="A19" i="68"/>
  <c r="H19" i="68"/>
  <c r="I19" i="68" s="1"/>
  <c r="G20" i="68" s="1"/>
  <c r="D20" i="68"/>
  <c r="F20" i="68" s="1"/>
  <c r="A19" i="67"/>
  <c r="D21" i="67"/>
  <c r="F21" i="67" s="1"/>
  <c r="H20" i="67" l="1"/>
  <c r="A20" i="68"/>
  <c r="G21" i="68"/>
  <c r="D21" i="68"/>
  <c r="F21" i="68" s="1"/>
  <c r="H20" i="68"/>
  <c r="D22" i="67"/>
  <c r="F22" i="67" s="1"/>
  <c r="A20" i="67"/>
  <c r="G21" i="67"/>
  <c r="H21" i="68" l="1"/>
  <c r="D22" i="68"/>
  <c r="F22" i="68" s="1"/>
  <c r="G22" i="68"/>
  <c r="A21" i="68"/>
  <c r="G22" i="67"/>
  <c r="A21" i="67"/>
  <c r="D23" i="67"/>
  <c r="F23" i="67" s="1"/>
  <c r="H21" i="67"/>
  <c r="H22" i="67" l="1"/>
  <c r="A22" i="68"/>
  <c r="D23" i="68"/>
  <c r="F23" i="68" s="1"/>
  <c r="H22" i="68"/>
  <c r="I22" i="68" s="1"/>
  <c r="G23" i="68" s="1"/>
  <c r="I22" i="67"/>
  <c r="G23" i="67" s="1"/>
  <c r="D24" i="67"/>
  <c r="F24" i="67" s="1"/>
  <c r="A22" i="67"/>
  <c r="H23" i="67" l="1"/>
  <c r="A23" i="68"/>
  <c r="G24" i="68"/>
  <c r="H23" i="68"/>
  <c r="D24" i="68"/>
  <c r="F24" i="68" s="1"/>
  <c r="A23" i="67"/>
  <c r="G24" i="67"/>
  <c r="D25" i="67"/>
  <c r="F25" i="67" s="1"/>
  <c r="H24" i="67" l="1"/>
  <c r="D25" i="68"/>
  <c r="F25" i="68" s="1"/>
  <c r="H24" i="68"/>
  <c r="G25" i="68"/>
  <c r="A24" i="68"/>
  <c r="D26" i="67"/>
  <c r="F26" i="67" s="1"/>
  <c r="G25" i="67"/>
  <c r="A24" i="67"/>
  <c r="H25" i="67" l="1"/>
  <c r="I25" i="67" s="1"/>
  <c r="G26" i="67" s="1"/>
  <c r="H26" i="67" s="1"/>
  <c r="A25" i="68"/>
  <c r="H25" i="68"/>
  <c r="I25" i="68" s="1"/>
  <c r="G26" i="68" s="1"/>
  <c r="D26" i="68"/>
  <c r="F26" i="68" s="1"/>
  <c r="A25" i="67"/>
  <c r="D27" i="67"/>
  <c r="F27" i="67" s="1"/>
  <c r="G27" i="68" l="1"/>
  <c r="A26" i="68"/>
  <c r="D27" i="68"/>
  <c r="F27" i="68" s="1"/>
  <c r="H26" i="68"/>
  <c r="G27" i="67"/>
  <c r="A26" i="67"/>
  <c r="H27" i="67"/>
  <c r="D28" i="67"/>
  <c r="F28" i="67" s="1"/>
  <c r="H27" i="68" l="1"/>
  <c r="D28" i="68"/>
  <c r="F28" i="68" s="1"/>
  <c r="A27" i="68"/>
  <c r="G28" i="68"/>
  <c r="A27" i="67"/>
  <c r="G28" i="67"/>
  <c r="H28" i="67" s="1"/>
  <c r="I28" i="67" s="1"/>
  <c r="D32" i="67"/>
  <c r="F32" i="67" s="1"/>
  <c r="A28" i="68" l="1"/>
  <c r="H28" i="68"/>
  <c r="I28" i="68" s="1"/>
  <c r="G30" i="68" s="1"/>
  <c r="D32" i="68"/>
  <c r="F32" i="68" s="1"/>
  <c r="D33" i="67"/>
  <c r="F33" i="67" s="1"/>
  <c r="G30" i="67"/>
  <c r="A28" i="67"/>
  <c r="A30" i="68" l="1"/>
  <c r="G32" i="68"/>
  <c r="D33" i="68"/>
  <c r="F33" i="68" s="1"/>
  <c r="H32" i="68"/>
  <c r="A30" i="67"/>
  <c r="G32" i="67"/>
  <c r="H32" i="67"/>
  <c r="D34" i="67"/>
  <c r="F34" i="67" s="1"/>
  <c r="G33" i="68" l="1"/>
  <c r="A32" i="68"/>
  <c r="H33" i="68"/>
  <c r="D34" i="68"/>
  <c r="F34" i="68" s="1"/>
  <c r="D35" i="67"/>
  <c r="F35" i="67" s="1"/>
  <c r="G33" i="67"/>
  <c r="A32" i="67"/>
  <c r="H33" i="67"/>
  <c r="D35" i="68" l="1"/>
  <c r="F35" i="68" s="1"/>
  <c r="G34" i="68"/>
  <c r="A33" i="68"/>
  <c r="A33" i="67"/>
  <c r="G34" i="67"/>
  <c r="H34" i="67" s="1"/>
  <c r="I34" i="67" s="1"/>
  <c r="D36" i="67"/>
  <c r="F36" i="67" s="1"/>
  <c r="H34" i="68" l="1"/>
  <c r="I34" i="68" s="1"/>
  <c r="G35" i="68" s="1"/>
  <c r="A34" i="68"/>
  <c r="D36" i="68"/>
  <c r="F36" i="68" s="1"/>
  <c r="D37" i="67"/>
  <c r="F37" i="67" s="1"/>
  <c r="G35" i="67"/>
  <c r="A34" i="67"/>
  <c r="H35" i="68" l="1"/>
  <c r="D37" i="68"/>
  <c r="F37" i="68" s="1"/>
  <c r="A35" i="68"/>
  <c r="G36" i="68"/>
  <c r="A35" i="67"/>
  <c r="G36" i="67"/>
  <c r="H35" i="67"/>
  <c r="H36" i="67"/>
  <c r="D38" i="67"/>
  <c r="F38" i="67" s="1"/>
  <c r="G37" i="68" l="1"/>
  <c r="A36" i="68"/>
  <c r="H36" i="68"/>
  <c r="D38" i="68"/>
  <c r="F38" i="68" s="1"/>
  <c r="D39" i="67"/>
  <c r="F39" i="67" s="1"/>
  <c r="G37" i="67"/>
  <c r="H37" i="67" s="1"/>
  <c r="I37" i="67" s="1"/>
  <c r="A36" i="67"/>
  <c r="H37" i="68" l="1"/>
  <c r="D39" i="68"/>
  <c r="F39" i="68" s="1"/>
  <c r="I37" i="68"/>
  <c r="G38" i="68" s="1"/>
  <c r="A37" i="68"/>
  <c r="A37" i="67"/>
  <c r="G38" i="67"/>
  <c r="H38" i="67" s="1"/>
  <c r="D40" i="67"/>
  <c r="F40" i="67" s="1"/>
  <c r="H38" i="68" l="1"/>
  <c r="G39" i="68"/>
  <c r="A38" i="68"/>
  <c r="H39" i="68"/>
  <c r="D40" i="68"/>
  <c r="F40" i="68" s="1"/>
  <c r="D41" i="67"/>
  <c r="F41" i="67" s="1"/>
  <c r="G39" i="67"/>
  <c r="A38" i="67"/>
  <c r="H39" i="67"/>
  <c r="D41" i="68" l="1"/>
  <c r="F41" i="68" s="1"/>
  <c r="A39" i="68"/>
  <c r="G40" i="68"/>
  <c r="A39" i="67"/>
  <c r="G40" i="67"/>
  <c r="H40" i="67" s="1"/>
  <c r="I40" i="67" s="1"/>
  <c r="D42" i="67"/>
  <c r="F42" i="67" s="1"/>
  <c r="D51" i="67"/>
  <c r="F51" i="67" s="1"/>
  <c r="H40" i="68" l="1"/>
  <c r="I40" i="68" s="1"/>
  <c r="G41" i="68" s="1"/>
  <c r="H41" i="68" s="1"/>
  <c r="A40" i="68"/>
  <c r="D42" i="68"/>
  <c r="F42" i="68" s="1"/>
  <c r="D51" i="68"/>
  <c r="F51" i="68" s="1"/>
  <c r="D52" i="67"/>
  <c r="F52" i="67" s="1"/>
  <c r="D43" i="67"/>
  <c r="F43" i="67" s="1"/>
  <c r="A40" i="67"/>
  <c r="G41" i="67"/>
  <c r="D52" i="68" l="1"/>
  <c r="F52" i="68" s="1"/>
  <c r="D43" i="68"/>
  <c r="F43" i="68" s="1"/>
  <c r="A41" i="68"/>
  <c r="G42" i="68"/>
  <c r="A41" i="67"/>
  <c r="G42" i="67"/>
  <c r="D53" i="67"/>
  <c r="F53" i="67" s="1"/>
  <c r="H41" i="67"/>
  <c r="H42" i="68" l="1"/>
  <c r="A42" i="68"/>
  <c r="G43" i="68"/>
  <c r="H43" i="68" s="1"/>
  <c r="I43" i="68" s="1"/>
  <c r="D53" i="68"/>
  <c r="F53" i="68" s="1"/>
  <c r="A42" i="67"/>
  <c r="G43" i="67"/>
  <c r="D54" i="67"/>
  <c r="F54" i="67" s="1"/>
  <c r="H42" i="67"/>
  <c r="D54" i="68" l="1"/>
  <c r="F54" i="68" s="1"/>
  <c r="A43" i="68"/>
  <c r="G45" i="68"/>
  <c r="D55" i="67"/>
  <c r="F55" i="67" s="1"/>
  <c r="A43" i="67"/>
  <c r="H43" i="67"/>
  <c r="I43" i="67" s="1"/>
  <c r="G45" i="67" s="1"/>
  <c r="G47" i="68" l="1"/>
  <c r="A45" i="68"/>
  <c r="D55" i="68"/>
  <c r="F55" i="68" s="1"/>
  <c r="G47" i="67"/>
  <c r="A45" i="67"/>
  <c r="D56" i="67"/>
  <c r="F56" i="67" s="1"/>
  <c r="D56" i="68" l="1"/>
  <c r="F56" i="68" s="1"/>
  <c r="G49" i="68"/>
  <c r="A47" i="68"/>
  <c r="A48" i="68" s="1"/>
  <c r="D57" i="67"/>
  <c r="F57" i="67" s="1"/>
  <c r="G49" i="67"/>
  <c r="A47" i="67"/>
  <c r="A48" i="67" s="1"/>
  <c r="G66" i="68" l="1"/>
  <c r="A49" i="68"/>
  <c r="G51" i="68"/>
  <c r="D57" i="68"/>
  <c r="F57" i="68" s="1"/>
  <c r="G66" i="67"/>
  <c r="A49" i="67"/>
  <c r="G51" i="67"/>
  <c r="D58" i="67"/>
  <c r="F58" i="67" s="1"/>
  <c r="G52" i="68" l="1"/>
  <c r="A51" i="68"/>
  <c r="H51" i="68"/>
  <c r="D58" i="68"/>
  <c r="F58" i="68" s="1"/>
  <c r="G68" i="68"/>
  <c r="G52" i="67"/>
  <c r="A51" i="67"/>
  <c r="H51" i="67"/>
  <c r="D59" i="67"/>
  <c r="F59" i="67" s="1"/>
  <c r="G68" i="67"/>
  <c r="D59" i="68" l="1"/>
  <c r="F59" i="68" s="1"/>
  <c r="A52" i="68"/>
  <c r="G53" i="68"/>
  <c r="H52" i="68"/>
  <c r="D60" i="67"/>
  <c r="F60" i="67" s="1"/>
  <c r="A52" i="67"/>
  <c r="G53" i="67"/>
  <c r="H52" i="67"/>
  <c r="D60" i="68" l="1"/>
  <c r="F60" i="68" s="1"/>
  <c r="A53" i="68"/>
  <c r="H53" i="68"/>
  <c r="I53" i="68" s="1"/>
  <c r="G54" i="68" s="1"/>
  <c r="A53" i="67"/>
  <c r="H53" i="67"/>
  <c r="I53" i="67" s="1"/>
  <c r="G54" i="67" s="1"/>
  <c r="D61" i="67"/>
  <c r="F61" i="67" s="1"/>
  <c r="A54" i="68" l="1"/>
  <c r="G55" i="68"/>
  <c r="H54" i="68"/>
  <c r="D61" i="68"/>
  <c r="F61" i="68" s="1"/>
  <c r="A54" i="67"/>
  <c r="G55" i="67"/>
  <c r="H54" i="67"/>
  <c r="D62" i="67"/>
  <c r="F62" i="67" s="1"/>
  <c r="G56" i="68" l="1"/>
  <c r="A55" i="68"/>
  <c r="H55" i="68"/>
  <c r="D62" i="68"/>
  <c r="F62" i="68" s="1"/>
  <c r="A55" i="67"/>
  <c r="G56" i="67"/>
  <c r="H55" i="67"/>
  <c r="A56" i="68" l="1"/>
  <c r="H56" i="68"/>
  <c r="I56" i="68" s="1"/>
  <c r="G57" i="68" s="1"/>
  <c r="A56" i="67"/>
  <c r="H56" i="67"/>
  <c r="I56" i="67" s="1"/>
  <c r="G57" i="67" s="1"/>
  <c r="A57" i="68" l="1"/>
  <c r="G58" i="68"/>
  <c r="H57" i="68"/>
  <c r="A57" i="67"/>
  <c r="G58" i="67"/>
  <c r="H57" i="67"/>
  <c r="A58" i="68" l="1"/>
  <c r="G59" i="68"/>
  <c r="H58" i="68"/>
  <c r="A58" i="67"/>
  <c r="G59" i="67"/>
  <c r="H58" i="67"/>
  <c r="A59" i="68" l="1"/>
  <c r="H59" i="68"/>
  <c r="I59" i="68" s="1"/>
  <c r="G60" i="68" s="1"/>
  <c r="A59" i="67"/>
  <c r="H59" i="67"/>
  <c r="I59" i="67" s="1"/>
  <c r="G60" i="67" s="1"/>
  <c r="A60" i="68" l="1"/>
  <c r="G61" i="68"/>
  <c r="H60" i="68"/>
  <c r="A60" i="67"/>
  <c r="G61" i="67"/>
  <c r="H60" i="67"/>
  <c r="G62" i="68" l="1"/>
  <c r="A61" i="68"/>
  <c r="H61" i="68"/>
  <c r="A61" i="67"/>
  <c r="G62" i="67"/>
  <c r="H61" i="67"/>
  <c r="A62" i="68" l="1"/>
  <c r="H62" i="68"/>
  <c r="I62" i="68" s="1"/>
  <c r="G64" i="68" s="1"/>
  <c r="A64" i="68" s="1"/>
  <c r="A66" i="68" s="1"/>
  <c r="A67" i="68" s="1"/>
  <c r="A68" i="68" s="1"/>
  <c r="A62" i="67"/>
  <c r="H62" i="67"/>
  <c r="I62" i="67" s="1"/>
  <c r="G64" i="67" s="1"/>
  <c r="A64" i="67" l="1"/>
  <c r="A66" i="67" s="1"/>
  <c r="A67" i="67" s="1"/>
  <c r="A68" i="67" s="1"/>
  <c r="C31" i="26" l="1"/>
  <c r="C30" i="26"/>
  <c r="M7" i="63" l="1"/>
  <c r="N7" i="63" s="1"/>
  <c r="O7" i="63" s="1"/>
  <c r="P7" i="63" s="1"/>
  <c r="Q7" i="63" s="1"/>
  <c r="R7" i="63" s="1"/>
  <c r="S7" i="63" s="1"/>
  <c r="T7" i="63" s="1"/>
  <c r="U7" i="63" s="1"/>
  <c r="V7" i="63" s="1"/>
  <c r="W7" i="63" s="1"/>
  <c r="X7" i="63" s="1"/>
  <c r="Y7" i="63" s="1"/>
  <c r="Z7" i="63" s="1"/>
  <c r="AA7" i="63" s="1"/>
  <c r="AB7" i="63" s="1"/>
  <c r="AC7" i="63" s="1"/>
  <c r="E57" i="66" l="1"/>
  <c r="E55" i="66"/>
  <c r="E38" i="66"/>
  <c r="E36" i="66"/>
  <c r="E1" i="66"/>
  <c r="E3" i="66"/>
  <c r="G16" i="27" l="1"/>
  <c r="J9" i="64" l="1"/>
  <c r="J10" i="64"/>
  <c r="J11" i="64"/>
  <c r="J12" i="64"/>
  <c r="J13" i="64"/>
  <c r="J14" i="64"/>
  <c r="J15" i="64"/>
  <c r="J16" i="64"/>
  <c r="J17" i="64"/>
  <c r="J18" i="64"/>
  <c r="J19" i="64"/>
  <c r="J20" i="64"/>
  <c r="J8" i="64"/>
  <c r="I9" i="64"/>
  <c r="I10" i="64"/>
  <c r="I11" i="64"/>
  <c r="I12" i="64"/>
  <c r="I13" i="64"/>
  <c r="I14" i="64"/>
  <c r="I15" i="64"/>
  <c r="I16" i="64"/>
  <c r="I17" i="64"/>
  <c r="I18" i="64"/>
  <c r="I19" i="64"/>
  <c r="I20" i="64"/>
  <c r="I8" i="64"/>
  <c r="H9" i="64"/>
  <c r="H10" i="64"/>
  <c r="H11" i="64"/>
  <c r="H12" i="64"/>
  <c r="H13" i="64"/>
  <c r="H14" i="64"/>
  <c r="H15" i="64"/>
  <c r="H16" i="64"/>
  <c r="H17" i="64"/>
  <c r="H18" i="64"/>
  <c r="H19" i="64"/>
  <c r="H20" i="64"/>
  <c r="H8" i="64"/>
  <c r="G9" i="64"/>
  <c r="G10" i="64"/>
  <c r="G11" i="64"/>
  <c r="G12" i="64"/>
  <c r="G13" i="64"/>
  <c r="G14" i="64"/>
  <c r="G15" i="64"/>
  <c r="G16" i="64"/>
  <c r="G17" i="64"/>
  <c r="G18" i="64"/>
  <c r="G19" i="64"/>
  <c r="G20" i="64"/>
  <c r="G8" i="64"/>
  <c r="F9" i="64"/>
  <c r="F10" i="64"/>
  <c r="F11" i="64"/>
  <c r="F12" i="64"/>
  <c r="F13" i="64"/>
  <c r="F14" i="64"/>
  <c r="F15" i="64"/>
  <c r="F16" i="64"/>
  <c r="F17" i="64"/>
  <c r="F18" i="64"/>
  <c r="F19" i="64"/>
  <c r="F20" i="64"/>
  <c r="F8" i="64"/>
  <c r="J16" i="13"/>
  <c r="J9" i="13"/>
  <c r="J10" i="13"/>
  <c r="J11" i="13"/>
  <c r="J12" i="13"/>
  <c r="J13" i="13"/>
  <c r="J14" i="13"/>
  <c r="J15" i="13"/>
  <c r="J17" i="13"/>
  <c r="J18" i="13"/>
  <c r="J19" i="13"/>
  <c r="J20" i="13"/>
  <c r="J8" i="13"/>
  <c r="I9" i="13"/>
  <c r="I10" i="13"/>
  <c r="I11" i="13"/>
  <c r="I12" i="13"/>
  <c r="I13" i="13"/>
  <c r="I14" i="13"/>
  <c r="I15" i="13"/>
  <c r="I16" i="13"/>
  <c r="I17" i="13"/>
  <c r="I18" i="13"/>
  <c r="I19" i="13"/>
  <c r="I20" i="13"/>
  <c r="H9" i="13"/>
  <c r="H10" i="13"/>
  <c r="H11" i="13"/>
  <c r="H12" i="13"/>
  <c r="H13" i="13"/>
  <c r="H14" i="13"/>
  <c r="H15" i="13"/>
  <c r="H16" i="13"/>
  <c r="H17" i="13"/>
  <c r="H18" i="13"/>
  <c r="H19" i="13"/>
  <c r="H20" i="13"/>
  <c r="I8" i="13"/>
  <c r="H8" i="13"/>
  <c r="G9" i="13"/>
  <c r="G10" i="13"/>
  <c r="G11" i="13"/>
  <c r="G12" i="13"/>
  <c r="G13" i="13"/>
  <c r="G14" i="13"/>
  <c r="G15" i="13"/>
  <c r="G16" i="13"/>
  <c r="G17" i="13"/>
  <c r="G18" i="13"/>
  <c r="G19" i="13"/>
  <c r="G20" i="13"/>
  <c r="F9" i="13"/>
  <c r="F10" i="13"/>
  <c r="F11" i="13"/>
  <c r="F12" i="13"/>
  <c r="F13" i="13"/>
  <c r="F14" i="13"/>
  <c r="F15" i="13"/>
  <c r="F16" i="13"/>
  <c r="F17" i="13"/>
  <c r="F18" i="13"/>
  <c r="F19" i="13"/>
  <c r="F20" i="13"/>
  <c r="G8" i="13"/>
  <c r="F8" i="13"/>
  <c r="D28" i="19" l="1"/>
  <c r="C74" i="66"/>
  <c r="H16" i="40" s="1"/>
  <c r="E65" i="51" s="1"/>
  <c r="C62" i="66"/>
  <c r="C53" i="66"/>
  <c r="G16" i="40" s="1"/>
  <c r="E69" i="51" s="1"/>
  <c r="C45" i="66"/>
  <c r="C33" i="66"/>
  <c r="F16" i="40" s="1"/>
  <c r="E67" i="51" s="1"/>
  <c r="C14" i="66"/>
  <c r="I16" i="40" s="1"/>
  <c r="D145" i="1" l="1"/>
  <c r="H22" i="64" l="1"/>
  <c r="I22" i="64"/>
  <c r="J22" i="64"/>
  <c r="D68" i="1" s="1"/>
  <c r="I22" i="13"/>
  <c r="F22" i="13"/>
  <c r="D57" i="1" s="1"/>
  <c r="J22" i="13"/>
  <c r="D60" i="1" s="1"/>
  <c r="G22" i="13"/>
  <c r="D58" i="1" s="1"/>
  <c r="H22" i="13"/>
  <c r="D59" i="1" s="1"/>
  <c r="D67" i="1" l="1"/>
  <c r="D9" i="65"/>
  <c r="E9" i="65" s="1"/>
  <c r="F9" i="65" s="1"/>
  <c r="G9" i="65" s="1"/>
  <c r="H9" i="65" s="1"/>
  <c r="J1" i="31" l="1"/>
  <c r="J1" i="59" l="1"/>
  <c r="E16" i="27" l="1"/>
  <c r="F16" i="27"/>
  <c r="M3" i="64" l="1"/>
  <c r="M1" i="64"/>
  <c r="B10" i="22" l="1"/>
  <c r="B11" i="22"/>
  <c r="B12" i="22"/>
  <c r="B13" i="22"/>
  <c r="B14" i="22"/>
  <c r="B15" i="22"/>
  <c r="B16" i="22"/>
  <c r="B17" i="22"/>
  <c r="B18" i="22"/>
  <c r="B19" i="22"/>
  <c r="B20" i="22"/>
  <c r="B21" i="22"/>
  <c r="B9" i="22"/>
  <c r="I33" i="59"/>
  <c r="C9" i="22" l="1"/>
  <c r="C19" i="26"/>
  <c r="E10" i="33" s="1"/>
  <c r="E9" i="33"/>
  <c r="E8" i="33"/>
  <c r="D12" i="26"/>
  <c r="I10" i="63"/>
  <c r="J10" i="63" s="1"/>
  <c r="N14" i="65"/>
  <c r="N15" i="65"/>
  <c r="N16" i="65"/>
  <c r="N17" i="65"/>
  <c r="N18" i="65"/>
  <c r="N19" i="65"/>
  <c r="N20" i="65"/>
  <c r="N21" i="65"/>
  <c r="N22" i="65"/>
  <c r="N23" i="65"/>
  <c r="N13" i="65"/>
  <c r="J21" i="65"/>
  <c r="K21" i="65" s="1"/>
  <c r="J23" i="65"/>
  <c r="K23" i="65" s="1"/>
  <c r="J20" i="65"/>
  <c r="K20" i="65" s="1"/>
  <c r="J15" i="65"/>
  <c r="K15" i="65" s="1"/>
  <c r="J13" i="65"/>
  <c r="K13" i="65" s="1"/>
  <c r="M10" i="63"/>
  <c r="AB3" i="65"/>
  <c r="AB5" i="65"/>
  <c r="N11" i="65" s="1"/>
  <c r="W11" i="65" s="1"/>
  <c r="J22" i="65"/>
  <c r="K22" i="65" s="1"/>
  <c r="J19" i="65"/>
  <c r="K19" i="65" s="1"/>
  <c r="J18" i="65"/>
  <c r="K18" i="65" s="1"/>
  <c r="J17" i="65"/>
  <c r="K17" i="65" s="1"/>
  <c r="J16" i="65"/>
  <c r="K16" i="65" s="1"/>
  <c r="A15" i="65"/>
  <c r="A16" i="65" s="1"/>
  <c r="A17" i="65" s="1"/>
  <c r="A18" i="65" s="1"/>
  <c r="A19" i="65" s="1"/>
  <c r="A20" i="65" s="1"/>
  <c r="A21" i="65" s="1"/>
  <c r="A22" i="65" s="1"/>
  <c r="A23" i="65" s="1"/>
  <c r="J14" i="65"/>
  <c r="I9" i="65"/>
  <c r="J9" i="65" s="1"/>
  <c r="K9" i="65" s="1"/>
  <c r="L9" i="65" s="1"/>
  <c r="M9" i="65" s="1"/>
  <c r="N9" i="65" s="1"/>
  <c r="O9" i="65" s="1"/>
  <c r="P9" i="65" s="1"/>
  <c r="Q9" i="65" s="1"/>
  <c r="R9" i="65" s="1"/>
  <c r="S9" i="65" s="1"/>
  <c r="T9" i="65" s="1"/>
  <c r="U9" i="65" s="1"/>
  <c r="V9" i="65" s="1"/>
  <c r="W9" i="65" s="1"/>
  <c r="X9" i="65" s="1"/>
  <c r="Y9" i="65" s="1"/>
  <c r="Z9" i="65" s="1"/>
  <c r="AA9" i="65" s="1"/>
  <c r="J42" i="64"/>
  <c r="M31" i="64"/>
  <c r="M37" i="64"/>
  <c r="M34" i="64"/>
  <c r="J63" i="64"/>
  <c r="I63" i="64"/>
  <c r="H63" i="64"/>
  <c r="G63" i="64"/>
  <c r="F63" i="64"/>
  <c r="E63" i="64"/>
  <c r="C49" i="64"/>
  <c r="C50" i="64" s="1"/>
  <c r="C51" i="64" s="1"/>
  <c r="C52" i="64" s="1"/>
  <c r="C53" i="64" s="1"/>
  <c r="C54" i="64" s="1"/>
  <c r="C55" i="64" s="1"/>
  <c r="C56" i="64" s="1"/>
  <c r="C57" i="64" s="1"/>
  <c r="C58" i="64" s="1"/>
  <c r="C59" i="64" s="1"/>
  <c r="C60" i="64" s="1"/>
  <c r="C61" i="64" s="1"/>
  <c r="I42" i="64"/>
  <c r="H42" i="64"/>
  <c r="G42" i="64"/>
  <c r="F42" i="64"/>
  <c r="E42" i="64"/>
  <c r="M40" i="64"/>
  <c r="M39" i="64"/>
  <c r="M38" i="64"/>
  <c r="M36" i="64"/>
  <c r="M35" i="64"/>
  <c r="M33" i="64"/>
  <c r="M32" i="64"/>
  <c r="M30" i="64"/>
  <c r="M29" i="64"/>
  <c r="M28" i="64"/>
  <c r="C28" i="64"/>
  <c r="C29" i="64" s="1"/>
  <c r="C30" i="64" s="1"/>
  <c r="C31" i="64" s="1"/>
  <c r="C32" i="64" s="1"/>
  <c r="C33" i="64" s="1"/>
  <c r="C34" i="64" s="1"/>
  <c r="C35" i="64" s="1"/>
  <c r="C36" i="64" s="1"/>
  <c r="C37" i="64" s="1"/>
  <c r="C38" i="64" s="1"/>
  <c r="C39" i="64" s="1"/>
  <c r="C40" i="64" s="1"/>
  <c r="E20" i="64"/>
  <c r="M20" i="64" s="1"/>
  <c r="E19" i="64"/>
  <c r="M19" i="64" s="1"/>
  <c r="E18" i="64"/>
  <c r="M18" i="64" s="1"/>
  <c r="E17" i="64"/>
  <c r="M17" i="64" s="1"/>
  <c r="E16" i="64"/>
  <c r="M16" i="64" s="1"/>
  <c r="E15" i="64"/>
  <c r="M15" i="64" s="1"/>
  <c r="E14" i="64"/>
  <c r="M14" i="64" s="1"/>
  <c r="E13" i="64"/>
  <c r="M13" i="64" s="1"/>
  <c r="E12" i="64"/>
  <c r="M12" i="64" s="1"/>
  <c r="E11" i="64"/>
  <c r="M11" i="64" s="1"/>
  <c r="E10" i="64"/>
  <c r="M10" i="64" s="1"/>
  <c r="E9" i="64"/>
  <c r="M9" i="64" s="1"/>
  <c r="C9" i="64"/>
  <c r="C10" i="64" s="1"/>
  <c r="C11" i="64" s="1"/>
  <c r="C12" i="64" s="1"/>
  <c r="C13" i="64" s="1"/>
  <c r="C14" i="64" s="1"/>
  <c r="C15" i="64" s="1"/>
  <c r="C16" i="64" s="1"/>
  <c r="C17" i="64" s="1"/>
  <c r="C18" i="64" s="1"/>
  <c r="C19" i="64" s="1"/>
  <c r="C20" i="64" s="1"/>
  <c r="E8" i="64"/>
  <c r="M8" i="64" s="1"/>
  <c r="M42" i="64" l="1"/>
  <c r="E22" i="64"/>
  <c r="D64" i="1" s="1"/>
  <c r="S11" i="65"/>
  <c r="P11" i="65"/>
  <c r="X11" i="65"/>
  <c r="Q11" i="65"/>
  <c r="Z11" i="65"/>
  <c r="T11" i="65"/>
  <c r="R11" i="65"/>
  <c r="V11" i="65"/>
  <c r="Y11" i="65"/>
  <c r="U11" i="65"/>
  <c r="O11" i="65"/>
  <c r="L13" i="65"/>
  <c r="M13" i="65" s="1"/>
  <c r="K14" i="65"/>
  <c r="L14" i="65" s="1"/>
  <c r="O14" i="65" s="1"/>
  <c r="P14" i="65" s="1"/>
  <c r="Q14" i="65" s="1"/>
  <c r="R14" i="65" s="1"/>
  <c r="S14" i="65" s="1"/>
  <c r="T14" i="65" s="1"/>
  <c r="U14" i="65" s="1"/>
  <c r="V14" i="65" s="1"/>
  <c r="W14" i="65" s="1"/>
  <c r="X14" i="65" s="1"/>
  <c r="Y14" i="65" s="1"/>
  <c r="Z14" i="65" s="1"/>
  <c r="O13" i="65" l="1"/>
  <c r="F22" i="64"/>
  <c r="D65" i="1" s="1"/>
  <c r="G22" i="64"/>
  <c r="D66" i="1" s="1"/>
  <c r="M22" i="64"/>
  <c r="M14" i="65"/>
  <c r="P13" i="65"/>
  <c r="Q13" i="65" s="1"/>
  <c r="R13" i="65" s="1"/>
  <c r="S13" i="65" s="1"/>
  <c r="T13" i="65" s="1"/>
  <c r="U13" i="65" s="1"/>
  <c r="V13" i="65" s="1"/>
  <c r="W13" i="65" s="1"/>
  <c r="X13" i="65" s="1"/>
  <c r="Y13" i="65" s="1"/>
  <c r="Z13" i="65" s="1"/>
  <c r="L15" i="65"/>
  <c r="M15" i="65" s="1"/>
  <c r="O15" i="65" l="1"/>
  <c r="P15" i="65" l="1"/>
  <c r="Q15" i="65" s="1"/>
  <c r="R15" i="65" s="1"/>
  <c r="S15" i="65" s="1"/>
  <c r="T15" i="65" s="1"/>
  <c r="U15" i="65" s="1"/>
  <c r="V15" i="65" s="1"/>
  <c r="W15" i="65" s="1"/>
  <c r="X15" i="65" s="1"/>
  <c r="Y15" i="65" s="1"/>
  <c r="Z15" i="65" s="1"/>
  <c r="L16" i="65" l="1"/>
  <c r="M16" i="65" s="1"/>
  <c r="O16" i="65" l="1"/>
  <c r="P16" i="65" s="1"/>
  <c r="Q16" i="65" s="1"/>
  <c r="R16" i="65" s="1"/>
  <c r="S16" i="65" s="1"/>
  <c r="T16" i="65" s="1"/>
  <c r="U16" i="65" s="1"/>
  <c r="V16" i="65" s="1"/>
  <c r="W16" i="65" s="1"/>
  <c r="X16" i="65" s="1"/>
  <c r="Y16" i="65" s="1"/>
  <c r="Z16" i="65" s="1"/>
  <c r="L17" i="65" l="1"/>
  <c r="M17" i="65" s="1"/>
  <c r="O17" i="65" l="1"/>
  <c r="P17" i="65" s="1"/>
  <c r="Q17" i="65" s="1"/>
  <c r="R17" i="65" s="1"/>
  <c r="S17" i="65" s="1"/>
  <c r="T17" i="65" s="1"/>
  <c r="U17" i="65" s="1"/>
  <c r="V17" i="65" s="1"/>
  <c r="W17" i="65" s="1"/>
  <c r="X17" i="65" s="1"/>
  <c r="Y17" i="65" s="1"/>
  <c r="Z17" i="65" s="1"/>
  <c r="L18" i="65" l="1"/>
  <c r="M18" i="65" s="1"/>
  <c r="O18" i="65" l="1"/>
  <c r="P18" i="65" s="1"/>
  <c r="Q18" i="65" s="1"/>
  <c r="R18" i="65" s="1"/>
  <c r="S18" i="65" s="1"/>
  <c r="T18" i="65" s="1"/>
  <c r="U18" i="65" s="1"/>
  <c r="V18" i="65" s="1"/>
  <c r="W18" i="65" s="1"/>
  <c r="X18" i="65" s="1"/>
  <c r="Y18" i="65" s="1"/>
  <c r="Z18" i="65" s="1"/>
  <c r="L19" i="65" l="1"/>
  <c r="M19" i="65" s="1"/>
  <c r="O19" i="65" l="1"/>
  <c r="P19" i="65" s="1"/>
  <c r="Q19" i="65" s="1"/>
  <c r="R19" i="65" s="1"/>
  <c r="S19" i="65" s="1"/>
  <c r="T19" i="65" s="1"/>
  <c r="U19" i="65" s="1"/>
  <c r="V19" i="65" s="1"/>
  <c r="W19" i="65" s="1"/>
  <c r="X19" i="65" s="1"/>
  <c r="Y19" i="65" s="1"/>
  <c r="Z19" i="65" s="1"/>
  <c r="L20" i="65" l="1"/>
  <c r="M20" i="65" s="1"/>
  <c r="O20" i="65" l="1"/>
  <c r="P20" i="65" s="1"/>
  <c r="Q20" i="65" s="1"/>
  <c r="R20" i="65" s="1"/>
  <c r="S20" i="65" s="1"/>
  <c r="T20" i="65" s="1"/>
  <c r="U20" i="65" s="1"/>
  <c r="V20" i="65" s="1"/>
  <c r="W20" i="65" s="1"/>
  <c r="X20" i="65" s="1"/>
  <c r="Y20" i="65" s="1"/>
  <c r="Z20" i="65" s="1"/>
  <c r="L21" i="65" l="1"/>
  <c r="M21" i="65" s="1"/>
  <c r="O21" i="65" l="1"/>
  <c r="P21" i="65" s="1"/>
  <c r="Q21" i="65" s="1"/>
  <c r="R21" i="65" s="1"/>
  <c r="S21" i="65" s="1"/>
  <c r="T21" i="65" s="1"/>
  <c r="U21" i="65" s="1"/>
  <c r="V21" i="65" s="1"/>
  <c r="W21" i="65" s="1"/>
  <c r="X21" i="65" s="1"/>
  <c r="Y21" i="65" s="1"/>
  <c r="Z21" i="65" s="1"/>
  <c r="L22" i="65" l="1"/>
  <c r="M22" i="65" s="1"/>
  <c r="O22" i="65" l="1"/>
  <c r="P22" i="65" s="1"/>
  <c r="Q22" i="65" s="1"/>
  <c r="R22" i="65" s="1"/>
  <c r="S22" i="65" s="1"/>
  <c r="T22" i="65" s="1"/>
  <c r="U22" i="65" s="1"/>
  <c r="V22" i="65" s="1"/>
  <c r="W22" i="65" s="1"/>
  <c r="X22" i="65" s="1"/>
  <c r="Y22" i="65" s="1"/>
  <c r="Z22" i="65" s="1"/>
  <c r="L23" i="65" l="1"/>
  <c r="M23" i="65" s="1"/>
  <c r="M26" i="65" s="1"/>
  <c r="D138" i="1" s="1"/>
  <c r="O23" i="65" l="1"/>
  <c r="P23" i="65" s="1"/>
  <c r="Q23" i="65" s="1"/>
  <c r="R23" i="65" s="1"/>
  <c r="S23" i="65" s="1"/>
  <c r="T23" i="65" s="1"/>
  <c r="U23" i="65" s="1"/>
  <c r="V23" i="65" s="1"/>
  <c r="W23" i="65" s="1"/>
  <c r="X23" i="65" s="1"/>
  <c r="Y23" i="65" s="1"/>
  <c r="Z23" i="65" s="1"/>
  <c r="AA26" i="65" l="1"/>
  <c r="D88" i="1" s="1"/>
  <c r="M3" i="6" l="1"/>
  <c r="S3" i="39"/>
  <c r="T49" i="5"/>
  <c r="AA3" i="42"/>
  <c r="C9" i="42" s="1"/>
  <c r="I3" i="26"/>
  <c r="M3" i="22"/>
  <c r="D3" i="19"/>
  <c r="D6" i="19" s="1"/>
  <c r="H3" i="33"/>
  <c r="M37" i="51"/>
  <c r="M3" i="51"/>
  <c r="M3" i="40"/>
  <c r="C10" i="40" s="1"/>
  <c r="M3" i="13"/>
  <c r="S3" i="60"/>
  <c r="AM3" i="60"/>
  <c r="J3" i="59"/>
  <c r="J3" i="31"/>
  <c r="L3" i="27"/>
  <c r="AH3" i="62"/>
  <c r="AC4" i="63"/>
  <c r="M8" i="63" s="1"/>
  <c r="J3" i="61"/>
  <c r="A12" i="63"/>
  <c r="A13" i="63" s="1"/>
  <c r="A14" i="63" s="1"/>
  <c r="A15" i="63" s="1"/>
  <c r="A16" i="63" s="1"/>
  <c r="A17" i="63" s="1"/>
  <c r="A18" i="63" s="1"/>
  <c r="A19" i="63" s="1"/>
  <c r="A20" i="63" s="1"/>
  <c r="J1" i="61"/>
  <c r="G59" i="51" l="1"/>
  <c r="E6" i="51"/>
  <c r="S1" i="60"/>
  <c r="K10" i="63" l="1"/>
  <c r="I11" i="63"/>
  <c r="J11" i="63" s="1"/>
  <c r="I20" i="63"/>
  <c r="J20" i="63" s="1"/>
  <c r="I19" i="63"/>
  <c r="J19" i="63" s="1"/>
  <c r="I18" i="63"/>
  <c r="J18" i="63" s="1"/>
  <c r="I17" i="63"/>
  <c r="J17" i="63" s="1"/>
  <c r="I16" i="63"/>
  <c r="J16" i="63" s="1"/>
  <c r="I15" i="63"/>
  <c r="J15" i="63" s="1"/>
  <c r="I14" i="63"/>
  <c r="J14" i="63" s="1"/>
  <c r="I13" i="63"/>
  <c r="J13" i="63" s="1"/>
  <c r="I12" i="63"/>
  <c r="J12" i="63" s="1"/>
  <c r="M11" i="63"/>
  <c r="K11" i="63" l="1"/>
  <c r="L10" i="63"/>
  <c r="N10" i="63"/>
  <c r="O10" i="63" l="1"/>
  <c r="P10" i="63" s="1"/>
  <c r="Q10" i="63" s="1"/>
  <c r="R10" i="63" s="1"/>
  <c r="I33" i="31"/>
  <c r="S10" i="63" l="1"/>
  <c r="N11" i="63"/>
  <c r="AC2" i="63"/>
  <c r="T10" i="63" l="1"/>
  <c r="U10" i="63" s="1"/>
  <c r="V10" i="63" s="1"/>
  <c r="W10" i="63" s="1"/>
  <c r="X10" i="63" s="1"/>
  <c r="Y10" i="63" s="1"/>
  <c r="O11" i="63"/>
  <c r="Z10" i="63" l="1"/>
  <c r="P11" i="63"/>
  <c r="Q11" i="63" s="1"/>
  <c r="R11" i="63" s="1"/>
  <c r="S11" i="63" s="1"/>
  <c r="T11" i="63" s="1"/>
  <c r="U11" i="63" s="1"/>
  <c r="V11" i="63" s="1"/>
  <c r="W11" i="63" s="1"/>
  <c r="X11" i="63" s="1"/>
  <c r="Y11" i="63" s="1"/>
  <c r="Z11" i="63" l="1"/>
  <c r="Y8" i="63"/>
  <c r="X8" i="63"/>
  <c r="W8" i="63"/>
  <c r="V8" i="63"/>
  <c r="U8" i="63"/>
  <c r="T8" i="63"/>
  <c r="S8" i="63"/>
  <c r="R8" i="63"/>
  <c r="Q8" i="63"/>
  <c r="P8" i="63"/>
  <c r="O8" i="63"/>
  <c r="N8" i="63"/>
  <c r="AH1" i="62" l="1"/>
  <c r="L3" i="58"/>
  <c r="I43" i="47" l="1"/>
  <c r="I41" i="47"/>
  <c r="I39" i="47"/>
  <c r="AE14" i="62" l="1"/>
  <c r="AC14" i="62"/>
  <c r="AA14" i="62"/>
  <c r="Y14" i="62"/>
  <c r="W14" i="62"/>
  <c r="U14" i="62"/>
  <c r="S14" i="62"/>
  <c r="Q14" i="62"/>
  <c r="O14" i="62"/>
  <c r="M14" i="62"/>
  <c r="K14" i="62"/>
  <c r="I14" i="62"/>
  <c r="G14" i="62"/>
  <c r="AG13" i="62"/>
  <c r="AG12" i="62"/>
  <c r="S7" i="62"/>
  <c r="E5" i="62"/>
  <c r="G5" i="62" l="1"/>
  <c r="I5" i="62" s="1"/>
  <c r="K5" i="62" s="1"/>
  <c r="M5" i="62" s="1"/>
  <c r="AG14" i="62"/>
  <c r="W7" i="62"/>
  <c r="I7" i="62"/>
  <c r="Y7" i="62"/>
  <c r="K7" i="62"/>
  <c r="AA7" i="62"/>
  <c r="M7" i="62"/>
  <c r="AC7" i="62"/>
  <c r="O7" i="62"/>
  <c r="Q7" i="62"/>
  <c r="U7" i="62"/>
  <c r="AE7" i="62"/>
  <c r="O5" i="62" l="1"/>
  <c r="Q5" i="62" s="1"/>
  <c r="S5" i="62" s="1"/>
  <c r="U5" i="62" s="1"/>
  <c r="W5" i="62" s="1"/>
  <c r="Y5" i="62" s="1"/>
  <c r="AA5" i="62" s="1"/>
  <c r="AC5" i="62" s="1"/>
  <c r="AE5" i="62" s="1"/>
  <c r="AG5" i="62" s="1"/>
  <c r="D166" i="1" l="1"/>
  <c r="E103" i="61"/>
  <c r="I83" i="61"/>
  <c r="E79" i="61"/>
  <c r="I53" i="61"/>
  <c r="T17" i="60" l="1"/>
  <c r="E17" i="60"/>
  <c r="T16" i="60"/>
  <c r="E16" i="60"/>
  <c r="T15" i="60"/>
  <c r="E15" i="60"/>
  <c r="T14" i="60"/>
  <c r="E14" i="60"/>
  <c r="T13" i="60"/>
  <c r="E13" i="60"/>
  <c r="T12" i="60"/>
  <c r="E12" i="60"/>
  <c r="U8" i="60"/>
  <c r="G8" i="60"/>
  <c r="H8" i="60" s="1"/>
  <c r="T1" i="60"/>
  <c r="AM1" i="60"/>
  <c r="I50" i="59"/>
  <c r="I11" i="59"/>
  <c r="A11" i="59"/>
  <c r="A14" i="59" s="1"/>
  <c r="A15" i="59" s="1"/>
  <c r="A16" i="59" s="1"/>
  <c r="A17" i="59" s="1"/>
  <c r="A18" i="59" s="1"/>
  <c r="A22" i="59" s="1"/>
  <c r="A23" i="59" s="1"/>
  <c r="A24" i="59" s="1"/>
  <c r="A25" i="59" s="1"/>
  <c r="A27" i="59" s="1"/>
  <c r="A28" i="59" s="1"/>
  <c r="A29" i="59" s="1"/>
  <c r="A31" i="59" s="1"/>
  <c r="A32" i="59" s="1"/>
  <c r="A33" i="59" s="1"/>
  <c r="A35" i="59" s="1"/>
  <c r="AI15" i="60" l="1"/>
  <c r="AI13" i="60"/>
  <c r="AI17" i="60"/>
  <c r="AI12" i="60"/>
  <c r="AI14" i="60"/>
  <c r="AI16" i="60"/>
  <c r="I8" i="60"/>
  <c r="W8" i="60"/>
  <c r="V8" i="60"/>
  <c r="A36" i="59"/>
  <c r="A37" i="59" s="1"/>
  <c r="A38" i="59" s="1"/>
  <c r="G38" i="59" l="1"/>
  <c r="J8" i="60"/>
  <c r="X8" i="60"/>
  <c r="G40" i="59"/>
  <c r="A40" i="59"/>
  <c r="A45" i="59" s="1"/>
  <c r="A46" i="59" s="1"/>
  <c r="Y8" i="60" l="1"/>
  <c r="K8" i="60"/>
  <c r="Z8" i="60" l="1"/>
  <c r="L8" i="60"/>
  <c r="AA8" i="60" l="1"/>
  <c r="M8" i="60"/>
  <c r="AB8" i="60" l="1"/>
  <c r="N8" i="60"/>
  <c r="AC8" i="60" l="1"/>
  <c r="O8" i="60"/>
  <c r="P8" i="60" l="1"/>
  <c r="AD8" i="60"/>
  <c r="Q8" i="60" l="1"/>
  <c r="AE8" i="60"/>
  <c r="R8" i="60" l="1"/>
  <c r="AG8" i="60" s="1"/>
  <c r="AF8" i="60"/>
  <c r="L1" i="58" l="1"/>
  <c r="F37" i="58"/>
  <c r="L37" i="58" s="1"/>
  <c r="E15" i="6" s="1"/>
  <c r="L36" i="58"/>
  <c r="L35" i="58"/>
  <c r="L34" i="58"/>
  <c r="L33" i="58"/>
  <c r="L32" i="58"/>
  <c r="L31" i="58"/>
  <c r="L30" i="58"/>
  <c r="L29" i="58"/>
  <c r="L28" i="58"/>
  <c r="L27" i="58"/>
  <c r="L26" i="58"/>
  <c r="L25" i="58"/>
  <c r="F20" i="58"/>
  <c r="L20" i="58" s="1"/>
  <c r="L19" i="58"/>
  <c r="L18" i="58"/>
  <c r="L17" i="58"/>
  <c r="L16" i="58"/>
  <c r="L15" i="58"/>
  <c r="L14" i="58"/>
  <c r="L13" i="58"/>
  <c r="L12" i="58"/>
  <c r="L11" i="58"/>
  <c r="L10" i="58"/>
  <c r="L9" i="58"/>
  <c r="B9" i="58"/>
  <c r="L8" i="58"/>
  <c r="F5" i="58"/>
  <c r="H5" i="58" s="1"/>
  <c r="J5" i="58" s="1"/>
  <c r="L5" i="58" s="1"/>
  <c r="L1" i="27"/>
  <c r="M1" i="6"/>
  <c r="S1" i="39"/>
  <c r="T1" i="5"/>
  <c r="AA1" i="42"/>
  <c r="I1" i="26"/>
  <c r="M1" i="22"/>
  <c r="D1" i="19"/>
  <c r="H1" i="33"/>
  <c r="M35" i="51"/>
  <c r="M1" i="51"/>
  <c r="M1" i="47"/>
  <c r="D10" i="68" l="1"/>
  <c r="D10" i="67"/>
  <c r="F10" i="67" s="1"/>
  <c r="G72" i="67" s="1"/>
  <c r="B10" i="58"/>
  <c r="B11" i="58" s="1"/>
  <c r="M1" i="40"/>
  <c r="M1" i="13"/>
  <c r="J1" i="2"/>
  <c r="G73" i="67" l="1"/>
  <c r="G74" i="67" s="1"/>
  <c r="I22" i="1" s="1"/>
  <c r="A72" i="67"/>
  <c r="A73" i="67" s="1"/>
  <c r="B12" i="58"/>
  <c r="A74" i="67" l="1"/>
  <c r="B13" i="58"/>
  <c r="B14" i="58" l="1"/>
  <c r="B15" i="58" s="1"/>
  <c r="B16" i="58" l="1"/>
  <c r="B17" i="58" s="1"/>
  <c r="B18" i="58" s="1"/>
  <c r="B19" i="58" s="1"/>
  <c r="B20" i="58" s="1"/>
  <c r="B25" i="58" s="1"/>
  <c r="B26" i="58" s="1"/>
  <c r="B27" i="58" s="1"/>
  <c r="B28" i="58" s="1"/>
  <c r="B29" i="58" s="1"/>
  <c r="B30" i="58" s="1"/>
  <c r="B31" i="58" s="1"/>
  <c r="B32" i="58" s="1"/>
  <c r="B33" i="58" s="1"/>
  <c r="B34" i="58" s="1"/>
  <c r="B35" i="58" s="1"/>
  <c r="B36" i="58" s="1"/>
  <c r="B37" i="58" s="1"/>
  <c r="F26" i="53" l="1"/>
  <c r="F68" i="53"/>
  <c r="F71" i="53" s="1"/>
  <c r="F38" i="53"/>
  <c r="F39" i="53" l="1"/>
  <c r="T15" i="39"/>
  <c r="T14" i="39"/>
  <c r="T13" i="39"/>
  <c r="T12" i="39"/>
  <c r="T11" i="39"/>
  <c r="T10" i="39"/>
  <c r="E11" i="39"/>
  <c r="E12" i="39"/>
  <c r="E13" i="39"/>
  <c r="E14" i="39"/>
  <c r="E15" i="39"/>
  <c r="E10" i="39"/>
  <c r="M29" i="13" l="1"/>
  <c r="B45" i="42" l="1"/>
  <c r="S45" i="42" l="1"/>
  <c r="Q19" i="42"/>
  <c r="D23" i="19"/>
  <c r="D35" i="19"/>
  <c r="D16" i="19"/>
  <c r="M33" i="13"/>
  <c r="G227" i="1"/>
  <c r="G226" i="1"/>
  <c r="G224" i="1"/>
  <c r="G6" i="39" l="1"/>
  <c r="H6" i="39" s="1"/>
  <c r="I6" i="39" s="1"/>
  <c r="J6" i="39" s="1"/>
  <c r="C38" i="42"/>
  <c r="C16" i="40"/>
  <c r="E25" i="40"/>
  <c r="E29" i="40" s="1"/>
  <c r="E33" i="40" s="1"/>
  <c r="D235" i="1"/>
  <c r="F43" i="47" l="1"/>
  <c r="F41" i="47"/>
  <c r="F39" i="47"/>
  <c r="E12" i="33" l="1"/>
  <c r="E16" i="33" s="1"/>
  <c r="K12" i="47" l="1"/>
  <c r="I45" i="47" l="1"/>
  <c r="J9" i="22" l="1"/>
  <c r="I138" i="1" l="1"/>
  <c r="I88" i="1" l="1"/>
  <c r="D84" i="1" l="1"/>
  <c r="F65" i="51" l="1"/>
  <c r="F48" i="51"/>
  <c r="E12" i="47"/>
  <c r="C12" i="47"/>
  <c r="I217" i="1" l="1"/>
  <c r="F68" i="1" l="1"/>
  <c r="E71" i="51" l="1"/>
  <c r="F69" i="51"/>
  <c r="F67" i="51"/>
  <c r="E54" i="51"/>
  <c r="F52" i="51"/>
  <c r="F50" i="51"/>
  <c r="K30" i="51"/>
  <c r="I30" i="51"/>
  <c r="G30" i="51"/>
  <c r="E30" i="51"/>
  <c r="C30" i="51"/>
  <c r="K29" i="51"/>
  <c r="I29" i="51"/>
  <c r="G29" i="51"/>
  <c r="E29" i="51"/>
  <c r="C29" i="51"/>
  <c r="F26" i="51"/>
  <c r="H26" i="51" s="1"/>
  <c r="J26" i="51" s="1"/>
  <c r="L26" i="51" s="1"/>
  <c r="F25" i="51"/>
  <c r="H25" i="51" s="1"/>
  <c r="J25" i="51" s="1"/>
  <c r="L25" i="51" s="1"/>
  <c r="K22" i="51"/>
  <c r="I22" i="51"/>
  <c r="G22" i="51"/>
  <c r="E22" i="51"/>
  <c r="C22" i="51"/>
  <c r="K21" i="51"/>
  <c r="I21" i="51"/>
  <c r="G21" i="51"/>
  <c r="E21" i="51"/>
  <c r="C21" i="51"/>
  <c r="C20" i="51"/>
  <c r="F18" i="51"/>
  <c r="H18" i="51" s="1"/>
  <c r="J18" i="51" s="1"/>
  <c r="L18" i="51" s="1"/>
  <c r="F17" i="51"/>
  <c r="H17" i="51" s="1"/>
  <c r="J17" i="51" s="1"/>
  <c r="L17" i="51" s="1"/>
  <c r="K14" i="51"/>
  <c r="I14" i="51"/>
  <c r="G14" i="51"/>
  <c r="E14" i="51"/>
  <c r="C14" i="51"/>
  <c r="K13" i="51"/>
  <c r="I13" i="51"/>
  <c r="G13" i="51"/>
  <c r="E13" i="51"/>
  <c r="C13" i="51"/>
  <c r="C12" i="51"/>
  <c r="F10" i="51"/>
  <c r="H10" i="51" s="1"/>
  <c r="J10" i="51" s="1"/>
  <c r="L10" i="51" s="1"/>
  <c r="F9" i="51"/>
  <c r="H9" i="51" s="1"/>
  <c r="J9" i="51" s="1"/>
  <c r="L9" i="51" s="1"/>
  <c r="F45" i="47"/>
  <c r="K24" i="47"/>
  <c r="I24" i="47"/>
  <c r="G24" i="47"/>
  <c r="E24" i="47"/>
  <c r="C24" i="47"/>
  <c r="F21" i="47"/>
  <c r="H21" i="47" s="1"/>
  <c r="J21" i="47" s="1"/>
  <c r="L21" i="47" s="1"/>
  <c r="K18" i="47"/>
  <c r="I18" i="47"/>
  <c r="G18" i="47"/>
  <c r="E18" i="47"/>
  <c r="C18" i="47"/>
  <c r="C17" i="47"/>
  <c r="F15" i="47"/>
  <c r="H15" i="47" s="1"/>
  <c r="J15" i="47" s="1"/>
  <c r="L15" i="47" s="1"/>
  <c r="I12" i="47"/>
  <c r="G12" i="47"/>
  <c r="C11" i="47"/>
  <c r="F9" i="47"/>
  <c r="H9" i="47" s="1"/>
  <c r="J9" i="47" s="1"/>
  <c r="L9" i="47" s="1"/>
  <c r="G39" i="47" l="1"/>
  <c r="G43" i="47"/>
  <c r="G41" i="47"/>
  <c r="G52" i="51"/>
  <c r="H52" i="51" s="1"/>
  <c r="J52" i="51" s="1"/>
  <c r="K52" i="51" s="1"/>
  <c r="F54" i="51"/>
  <c r="G69" i="51"/>
  <c r="H69" i="51" s="1"/>
  <c r="F71" i="51"/>
  <c r="G50" i="51"/>
  <c r="H50" i="51" s="1"/>
  <c r="J50" i="51" s="1"/>
  <c r="K50" i="51" s="1"/>
  <c r="G67" i="51"/>
  <c r="H67" i="51" s="1"/>
  <c r="G65" i="51"/>
  <c r="H65" i="51" s="1"/>
  <c r="G48" i="51"/>
  <c r="H48" i="51" s="1"/>
  <c r="I54" i="51"/>
  <c r="K65" i="51"/>
  <c r="K67" i="51"/>
  <c r="K69" i="51"/>
  <c r="I69" i="51" l="1"/>
  <c r="L69" i="51" s="1"/>
  <c r="M69" i="51" s="1"/>
  <c r="G45" i="47"/>
  <c r="I67" i="51"/>
  <c r="L67" i="51" s="1"/>
  <c r="M67" i="51" s="1"/>
  <c r="G71" i="51"/>
  <c r="G54" i="51"/>
  <c r="K71" i="51"/>
  <c r="H54" i="51"/>
  <c r="I65" i="51"/>
  <c r="J48" i="51"/>
  <c r="K48" i="51" s="1"/>
  <c r="K54" i="51" s="1"/>
  <c r="H71" i="51"/>
  <c r="I71" i="51" l="1"/>
  <c r="J54" i="51"/>
  <c r="L65" i="51"/>
  <c r="M65" i="51" s="1"/>
  <c r="L71" i="51" l="1"/>
  <c r="M71" i="51"/>
  <c r="S46" i="42" l="1"/>
  <c r="U45" i="42" l="1"/>
  <c r="U46" i="42" l="1"/>
  <c r="AA45" i="42"/>
  <c r="Y48" i="42"/>
  <c r="Y45" i="42"/>
  <c r="Y46" i="42"/>
  <c r="S49" i="42"/>
  <c r="S48" i="42"/>
  <c r="K20" i="42"/>
  <c r="J16" i="22" l="1"/>
  <c r="I62" i="13"/>
  <c r="F62" i="13"/>
  <c r="G62" i="13"/>
  <c r="I41" i="13"/>
  <c r="E41" i="13"/>
  <c r="F41" i="13"/>
  <c r="H41" i="13"/>
  <c r="F66" i="1"/>
  <c r="A46" i="42" l="1"/>
  <c r="A47" i="42"/>
  <c r="A48" i="42"/>
  <c r="A49" i="42"/>
  <c r="A45" i="42"/>
  <c r="A11" i="39" l="1"/>
  <c r="C11" i="39"/>
  <c r="D11" i="39"/>
  <c r="A12" i="39"/>
  <c r="C12" i="39"/>
  <c r="D12" i="39"/>
  <c r="A13" i="39"/>
  <c r="C13" i="39"/>
  <c r="D13" i="39"/>
  <c r="A14" i="39"/>
  <c r="C14" i="39"/>
  <c r="D14" i="39"/>
  <c r="A15" i="39"/>
  <c r="C15" i="39"/>
  <c r="D15" i="39"/>
  <c r="D10" i="39"/>
  <c r="C10" i="39"/>
  <c r="A10" i="39"/>
  <c r="E20" i="13" l="1"/>
  <c r="M20" i="13" s="1"/>
  <c r="E19" i="13"/>
  <c r="M19" i="13" s="1"/>
  <c r="E18" i="13"/>
  <c r="M18" i="13" s="1"/>
  <c r="E17" i="13"/>
  <c r="M17" i="13" s="1"/>
  <c r="E16" i="13"/>
  <c r="M16" i="13" s="1"/>
  <c r="E15" i="13"/>
  <c r="M15" i="13" s="1"/>
  <c r="E14" i="13"/>
  <c r="M14" i="13" s="1"/>
  <c r="E13" i="13"/>
  <c r="M13" i="13" s="1"/>
  <c r="E12" i="13"/>
  <c r="M12" i="13" s="1"/>
  <c r="E11" i="13"/>
  <c r="M11" i="13" s="1"/>
  <c r="E10" i="13"/>
  <c r="M10" i="13" s="1"/>
  <c r="E9" i="13"/>
  <c r="M9" i="13" s="1"/>
  <c r="E8" i="13"/>
  <c r="M8" i="13" s="1"/>
  <c r="J62" i="13"/>
  <c r="H62" i="13"/>
  <c r="E62" i="13"/>
  <c r="E22" i="13" l="1"/>
  <c r="E66" i="5" l="1"/>
  <c r="E67" i="5"/>
  <c r="AI14" i="39" l="1"/>
  <c r="H66" i="5" s="1"/>
  <c r="AI15" i="39"/>
  <c r="H67" i="5" s="1"/>
  <c r="AI13" i="39"/>
  <c r="H65" i="5" s="1"/>
  <c r="E65" i="5"/>
  <c r="I50" i="31" l="1"/>
  <c r="M24" i="42" l="1"/>
  <c r="I20" i="42"/>
  <c r="I21" i="42"/>
  <c r="I22" i="42"/>
  <c r="I23" i="42"/>
  <c r="Y47" i="42"/>
  <c r="Y49" i="42"/>
  <c r="S47" i="42"/>
  <c r="U49" i="42"/>
  <c r="AA49" i="42" s="1"/>
  <c r="U23" i="42" s="1"/>
  <c r="K21" i="42" l="1"/>
  <c r="S50" i="42"/>
  <c r="Y50" i="42"/>
  <c r="K23" i="42"/>
  <c r="K22" i="42"/>
  <c r="U48" i="42"/>
  <c r="AA48" i="42" s="1"/>
  <c r="U22" i="42" s="1"/>
  <c r="U47" i="42"/>
  <c r="AA47" i="42" s="1"/>
  <c r="U21" i="42" s="1"/>
  <c r="AA46" i="42"/>
  <c r="U20" i="42" s="1"/>
  <c r="K44" i="1" l="1"/>
  <c r="K118" i="1" s="1"/>
  <c r="K197" i="1" s="1"/>
  <c r="K289" i="1" s="1"/>
  <c r="AI1" i="39"/>
  <c r="J10" i="22" l="1"/>
  <c r="J11" i="22"/>
  <c r="J12" i="22"/>
  <c r="J13" i="22"/>
  <c r="J14" i="22"/>
  <c r="J15" i="22"/>
  <c r="J17" i="22"/>
  <c r="J18" i="22"/>
  <c r="J19" i="22"/>
  <c r="J20" i="22"/>
  <c r="J21" i="22"/>
  <c r="I23" i="22"/>
  <c r="E64" i="5" l="1"/>
  <c r="AI12" i="39" l="1"/>
  <c r="H64" i="5" s="1"/>
  <c r="D14" i="1" l="1"/>
  <c r="C48" i="13" l="1"/>
  <c r="C27" i="13"/>
  <c r="U6" i="39"/>
  <c r="H23" i="22"/>
  <c r="I16" i="31" l="1"/>
  <c r="I16" i="59"/>
  <c r="V6" i="39"/>
  <c r="W6" i="39"/>
  <c r="X6" i="39" l="1"/>
  <c r="K6" i="39" l="1"/>
  <c r="Y6" i="39"/>
  <c r="L6" i="39" l="1"/>
  <c r="Z6" i="39"/>
  <c r="M6" i="39" l="1"/>
  <c r="AA6" i="39"/>
  <c r="N6" i="39" l="1"/>
  <c r="AB6" i="39"/>
  <c r="O6" i="39" l="1"/>
  <c r="AC6" i="39"/>
  <c r="P6" i="39" l="1"/>
  <c r="AD6" i="39"/>
  <c r="Q6" i="39" l="1"/>
  <c r="R6" i="39" s="1"/>
  <c r="AE6" i="39"/>
  <c r="AG6" i="39" l="1"/>
  <c r="AF6" i="39"/>
  <c r="O50" i="42" l="1"/>
  <c r="M50" i="42"/>
  <c r="K50" i="42"/>
  <c r="I50" i="42"/>
  <c r="I19" i="42"/>
  <c r="I24" i="42" s="1"/>
  <c r="C17" i="42"/>
  <c r="Q24" i="42" l="1"/>
  <c r="K19" i="42"/>
  <c r="S23" i="42" l="1"/>
  <c r="S22" i="42"/>
  <c r="S19" i="42"/>
  <c r="S21" i="42"/>
  <c r="S20" i="42"/>
  <c r="U19" i="42"/>
  <c r="W19" i="42" l="1"/>
  <c r="W24" i="42" s="1"/>
  <c r="W25" i="42" s="1"/>
  <c r="G260" i="1" s="1"/>
  <c r="S24" i="42"/>
  <c r="I31" i="59" l="1"/>
  <c r="T1" i="39"/>
  <c r="T47" i="5"/>
  <c r="T3" i="5"/>
  <c r="E62" i="5"/>
  <c r="E63" i="5"/>
  <c r="AI11" i="39" l="1"/>
  <c r="H63" i="5" s="1"/>
  <c r="AI10" i="39"/>
  <c r="H62" i="5" s="1"/>
  <c r="AI3" i="39" l="1"/>
  <c r="C9" i="13" l="1"/>
  <c r="C10" i="13" s="1"/>
  <c r="C11" i="13" s="1"/>
  <c r="C12" i="13" s="1"/>
  <c r="C13" i="13" s="1"/>
  <c r="C14" i="13" s="1"/>
  <c r="C15" i="13" s="1"/>
  <c r="C16" i="13" s="1"/>
  <c r="C17" i="13" s="1"/>
  <c r="C18" i="13" s="1"/>
  <c r="C19" i="13" s="1"/>
  <c r="C20" i="13" s="1"/>
  <c r="I207" i="1" l="1"/>
  <c r="I210" i="1" s="1"/>
  <c r="D56" i="1"/>
  <c r="D61" i="1" s="1"/>
  <c r="I52" i="59"/>
  <c r="I51" i="59"/>
  <c r="M22" i="13" l="1"/>
  <c r="A7" i="33"/>
  <c r="A8" i="33" s="1"/>
  <c r="A9" i="33" l="1"/>
  <c r="A10" i="33" s="1"/>
  <c r="A11" i="33" s="1"/>
  <c r="A12" i="33" s="1"/>
  <c r="A14" i="33" s="1"/>
  <c r="I51" i="31" l="1"/>
  <c r="I52" i="31"/>
  <c r="I11" i="31"/>
  <c r="A11" i="31" l="1"/>
  <c r="A14" i="31" l="1"/>
  <c r="A15" i="31" s="1"/>
  <c r="A16" i="31" s="1"/>
  <c r="A17" i="31" s="1"/>
  <c r="A18" i="31" s="1"/>
  <c r="A22" i="31" s="1"/>
  <c r="A23" i="31" s="1"/>
  <c r="A24" i="31" s="1"/>
  <c r="A25" i="31" s="1"/>
  <c r="A27" i="31" s="1"/>
  <c r="A28" i="31" s="1"/>
  <c r="A29" i="31" l="1"/>
  <c r="A31" i="31" l="1"/>
  <c r="A32" i="31" l="1"/>
  <c r="A33" i="31" l="1"/>
  <c r="A35" i="31" l="1"/>
  <c r="A36" i="31" l="1"/>
  <c r="A37" i="31" s="1"/>
  <c r="A38" i="31" s="1"/>
  <c r="G38" i="31" l="1"/>
  <c r="A40" i="31"/>
  <c r="G40" i="31"/>
  <c r="A45" i="31" l="1"/>
  <c r="A46" i="31" s="1"/>
  <c r="D312" i="1" l="1"/>
  <c r="D16" i="27"/>
  <c r="D155" i="1"/>
  <c r="G23" i="22"/>
  <c r="F23" i="22"/>
  <c r="I15" i="59" s="1"/>
  <c r="E23" i="22"/>
  <c r="C10" i="22"/>
  <c r="C11" i="22" s="1"/>
  <c r="C12" i="22" s="1"/>
  <c r="C13" i="22" s="1"/>
  <c r="C14" i="22" s="1"/>
  <c r="C15" i="22" s="1"/>
  <c r="C16" i="22" s="1"/>
  <c r="C17" i="22" s="1"/>
  <c r="C18" i="22" s="1"/>
  <c r="C19" i="22" s="1"/>
  <c r="C20" i="22" s="1"/>
  <c r="C21" i="22" s="1"/>
  <c r="D15" i="1"/>
  <c r="F34" i="6"/>
  <c r="G24" i="6" s="1"/>
  <c r="H24" i="6" s="1"/>
  <c r="J24" i="6" s="1"/>
  <c r="I34" i="6"/>
  <c r="B10" i="68" s="1"/>
  <c r="F10" i="68" s="1"/>
  <c r="G72" i="68" s="1"/>
  <c r="I211" i="1"/>
  <c r="G285" i="1" s="1"/>
  <c r="I285" i="1" s="1"/>
  <c r="C49" i="13"/>
  <c r="C50" i="13" s="1"/>
  <c r="C51" i="13" s="1"/>
  <c r="C52" i="13" s="1"/>
  <c r="C53" i="13" s="1"/>
  <c r="C54" i="13" s="1"/>
  <c r="C55" i="13" s="1"/>
  <c r="C56" i="13" s="1"/>
  <c r="C57" i="13" s="1"/>
  <c r="C58" i="13" s="1"/>
  <c r="C59" i="13" s="1"/>
  <c r="C60" i="13" s="1"/>
  <c r="D16" i="1"/>
  <c r="D154" i="1"/>
  <c r="D153" i="1"/>
  <c r="D12" i="19"/>
  <c r="M28" i="13"/>
  <c r="M30" i="13"/>
  <c r="M31" i="13"/>
  <c r="M32" i="13"/>
  <c r="M34" i="13"/>
  <c r="M35" i="13"/>
  <c r="M36" i="13"/>
  <c r="M37" i="13"/>
  <c r="M38" i="13"/>
  <c r="M39" i="13"/>
  <c r="M27" i="13"/>
  <c r="G41" i="13"/>
  <c r="J41" i="13"/>
  <c r="C28" i="13"/>
  <c r="C29" i="13" s="1"/>
  <c r="C30" i="13" s="1"/>
  <c r="C31" i="13" s="1"/>
  <c r="C32" i="13" s="1"/>
  <c r="C33" i="13" s="1"/>
  <c r="C34" i="13" s="1"/>
  <c r="C35" i="13" s="1"/>
  <c r="C36" i="13" s="1"/>
  <c r="C37" i="13" s="1"/>
  <c r="C38" i="13" s="1"/>
  <c r="C39" i="13" s="1"/>
  <c r="A55" i="5"/>
  <c r="A54" i="5"/>
  <c r="J3" i="2"/>
  <c r="D8" i="2"/>
  <c r="D10" i="2" s="1"/>
  <c r="D13" i="2" s="1"/>
  <c r="K200" i="1"/>
  <c r="K292" i="1"/>
  <c r="K121" i="1"/>
  <c r="K47" i="1"/>
  <c r="D50" i="1"/>
  <c r="B64" i="1"/>
  <c r="B72" i="1" s="1"/>
  <c r="F64" i="1"/>
  <c r="F80" i="1" s="1"/>
  <c r="F153" i="1" s="1"/>
  <c r="G64" i="1"/>
  <c r="B65" i="1"/>
  <c r="B73" i="1" s="1"/>
  <c r="F65" i="1"/>
  <c r="F91" i="1" s="1"/>
  <c r="B66" i="1"/>
  <c r="B74" i="1" s="1"/>
  <c r="G66" i="1"/>
  <c r="B67" i="1"/>
  <c r="B75" i="1" s="1"/>
  <c r="B68" i="1"/>
  <c r="B76" i="1" s="1"/>
  <c r="D124" i="1"/>
  <c r="F133" i="1"/>
  <c r="F134" i="1" s="1"/>
  <c r="F135" i="1"/>
  <c r="B144" i="1"/>
  <c r="F150" i="1"/>
  <c r="F154" i="1"/>
  <c r="D203" i="1"/>
  <c r="I231" i="1"/>
  <c r="D295" i="1"/>
  <c r="I270" i="1"/>
  <c r="G233" i="1"/>
  <c r="D228" i="1"/>
  <c r="K23" i="22"/>
  <c r="D260" i="1" s="1"/>
  <c r="D152" i="1"/>
  <c r="J23" i="22"/>
  <c r="I18" i="59" s="1"/>
  <c r="G20" i="6" l="1"/>
  <c r="H20" i="6" s="1"/>
  <c r="J20" i="6" s="1"/>
  <c r="G21" i="6"/>
  <c r="H21" i="6" s="1"/>
  <c r="J21" i="6" s="1"/>
  <c r="G22" i="6"/>
  <c r="H22" i="6" s="1"/>
  <c r="J22" i="6" s="1"/>
  <c r="G23" i="6"/>
  <c r="H23" i="6" s="1"/>
  <c r="J23" i="6" s="1"/>
  <c r="G73" i="68"/>
  <c r="L36" i="6" s="1"/>
  <c r="A72" i="68"/>
  <c r="A73" i="68" s="1"/>
  <c r="I14" i="31"/>
  <c r="I14" i="59"/>
  <c r="I17" i="31"/>
  <c r="I17" i="59"/>
  <c r="H16" i="27"/>
  <c r="D313" i="1" s="1"/>
  <c r="D159" i="1" s="1"/>
  <c r="D163" i="1" s="1"/>
  <c r="G91" i="1"/>
  <c r="G16" i="1"/>
  <c r="G142" i="1"/>
  <c r="G65" i="1"/>
  <c r="I22" i="31"/>
  <c r="I22" i="59"/>
  <c r="G57" i="1"/>
  <c r="E225" i="1"/>
  <c r="G225" i="1" s="1"/>
  <c r="D149" i="1"/>
  <c r="D39" i="19"/>
  <c r="M3" i="47"/>
  <c r="D261" i="1"/>
  <c r="I15" i="31"/>
  <c r="D262" i="1"/>
  <c r="I18" i="31"/>
  <c r="G18" i="6"/>
  <c r="H18" i="6" s="1"/>
  <c r="J18" i="6" s="1"/>
  <c r="G19" i="6"/>
  <c r="H19" i="6" s="1"/>
  <c r="J19" i="6" s="1"/>
  <c r="G17" i="6"/>
  <c r="H17" i="6" s="1"/>
  <c r="J17" i="6" s="1"/>
  <c r="G14" i="1"/>
  <c r="I14" i="1" s="1"/>
  <c r="D150" i="1"/>
  <c r="M41" i="13"/>
  <c r="D72" i="1"/>
  <c r="D75" i="1"/>
  <c r="I218" i="1"/>
  <c r="D74" i="1"/>
  <c r="D73" i="1"/>
  <c r="I219" i="1"/>
  <c r="G15" i="1"/>
  <c r="I15" i="1" s="1"/>
  <c r="D76" i="1"/>
  <c r="I31" i="31"/>
  <c r="D69" i="1"/>
  <c r="H102" i="61" l="1"/>
  <c r="D98" i="61"/>
  <c r="H94" i="61"/>
  <c r="H86" i="61"/>
  <c r="D86" i="61"/>
  <c r="H98" i="61"/>
  <c r="D102" i="61"/>
  <c r="I102" i="61" s="1"/>
  <c r="D90" i="61"/>
  <c r="D94" i="61"/>
  <c r="I94" i="61" s="1"/>
  <c r="H90" i="61"/>
  <c r="H77" i="61"/>
  <c r="H79" i="61" s="1"/>
  <c r="D77" i="61"/>
  <c r="G74" i="68"/>
  <c r="A74" i="68" s="1"/>
  <c r="J34" i="6"/>
  <c r="G33" i="47"/>
  <c r="G42" i="51" s="1"/>
  <c r="E6" i="47"/>
  <c r="D156" i="1"/>
  <c r="I57" i="1"/>
  <c r="I49" i="59"/>
  <c r="I45" i="59"/>
  <c r="I23" i="31"/>
  <c r="I23" i="59"/>
  <c r="I24" i="31"/>
  <c r="I24" i="59"/>
  <c r="G261" i="1"/>
  <c r="D77" i="1"/>
  <c r="G228" i="1"/>
  <c r="I228" i="1" s="1"/>
  <c r="G283" i="1" s="1"/>
  <c r="I283" i="1" s="1"/>
  <c r="I282" i="1" s="1"/>
  <c r="D18" i="1" s="1"/>
  <c r="I18" i="1" s="1"/>
  <c r="I45" i="31"/>
  <c r="I220" i="1"/>
  <c r="I16" i="1"/>
  <c r="H103" i="61" l="1"/>
  <c r="D103" i="61"/>
  <c r="I86" i="61"/>
  <c r="I98" i="61"/>
  <c r="I90" i="61"/>
  <c r="K24" i="6"/>
  <c r="L24" i="6" s="1"/>
  <c r="P69" i="5" s="1"/>
  <c r="D79" i="61"/>
  <c r="I77" i="61"/>
  <c r="I79" i="61" s="1"/>
  <c r="K21" i="6"/>
  <c r="L21" i="6" s="1"/>
  <c r="P66" i="5" s="1"/>
  <c r="K23" i="6"/>
  <c r="L23" i="6" s="1"/>
  <c r="P68" i="5" s="1"/>
  <c r="K22" i="6"/>
  <c r="L22" i="6" s="1"/>
  <c r="P67" i="5" s="1"/>
  <c r="K20" i="6"/>
  <c r="L20" i="6" s="1"/>
  <c r="P65" i="5" s="1"/>
  <c r="G131" i="1"/>
  <c r="I131" i="1" s="1"/>
  <c r="G130" i="1"/>
  <c r="I130" i="1" s="1"/>
  <c r="G132" i="1"/>
  <c r="I132" i="1" s="1"/>
  <c r="D169" i="1"/>
  <c r="D170" i="1"/>
  <c r="I56" i="59" s="1"/>
  <c r="D168" i="1"/>
  <c r="G133" i="1"/>
  <c r="I133" i="1" s="1"/>
  <c r="G134" i="1"/>
  <c r="I134" i="1" s="1"/>
  <c r="G143" i="1"/>
  <c r="G150" i="1"/>
  <c r="G67" i="1"/>
  <c r="G129" i="1"/>
  <c r="I129" i="1" s="1"/>
  <c r="G135" i="1"/>
  <c r="I135" i="1" s="1"/>
  <c r="I32" i="31"/>
  <c r="I32" i="59"/>
  <c r="D136" i="1"/>
  <c r="D139" i="1" s="1"/>
  <c r="D94" i="1" s="1"/>
  <c r="G59" i="1"/>
  <c r="I59" i="1" s="1"/>
  <c r="I233" i="1"/>
  <c r="K233" i="1" s="1"/>
  <c r="G149" i="1"/>
  <c r="I49" i="31"/>
  <c r="D263" i="1"/>
  <c r="G95" i="1"/>
  <c r="I95" i="1" s="1"/>
  <c r="G18" i="5"/>
  <c r="I65" i="1"/>
  <c r="I103" i="61" l="1"/>
  <c r="I94" i="1"/>
  <c r="I97" i="1" s="1"/>
  <c r="D97" i="1"/>
  <c r="G60" i="1"/>
  <c r="I60" i="1" s="1"/>
  <c r="I61" i="1" s="1"/>
  <c r="G137" i="1"/>
  <c r="G144" i="1"/>
  <c r="G68" i="1"/>
  <c r="I68" i="1" s="1"/>
  <c r="I25" i="31"/>
  <c r="I25" i="59"/>
  <c r="I73" i="1"/>
  <c r="G19" i="5" s="1"/>
  <c r="I67" i="1"/>
  <c r="I75" i="1" s="1"/>
  <c r="I56" i="31"/>
  <c r="E261" i="1"/>
  <c r="I28" i="59" s="1"/>
  <c r="I36" i="59" s="1"/>
  <c r="I27" i="59"/>
  <c r="I35" i="59" s="1"/>
  <c r="I142" i="1"/>
  <c r="I91" i="1"/>
  <c r="I262" i="1" l="1"/>
  <c r="I29" i="59"/>
  <c r="I37" i="59" s="1"/>
  <c r="I38" i="59" s="1"/>
  <c r="I46" i="59" s="1"/>
  <c r="I69" i="1"/>
  <c r="G61" i="1"/>
  <c r="I76" i="1"/>
  <c r="I77" i="1" s="1"/>
  <c r="I137" i="1"/>
  <c r="I29" i="31"/>
  <c r="I37" i="31" s="1"/>
  <c r="I260" i="1"/>
  <c r="I27" i="31"/>
  <c r="I35" i="31" s="1"/>
  <c r="I261" i="1"/>
  <c r="I28" i="31"/>
  <c r="I36" i="31" s="1"/>
  <c r="G168" i="1" l="1"/>
  <c r="G155" i="1"/>
  <c r="G154" i="1"/>
  <c r="I144" i="1"/>
  <c r="I263" i="1"/>
  <c r="AA10" i="63" s="1"/>
  <c r="I38" i="31"/>
  <c r="I46" i="31" s="1"/>
  <c r="D160" i="1" l="1"/>
  <c r="AB10" i="63" s="1"/>
  <c r="AC10" i="63" s="1"/>
  <c r="E41" i="47" l="1"/>
  <c r="H41" i="47" s="1"/>
  <c r="J41" i="47" s="1"/>
  <c r="K25" i="40" l="1"/>
  <c r="F10" i="40" s="1"/>
  <c r="K41" i="47"/>
  <c r="K17" i="6" l="1"/>
  <c r="L17" i="6" s="1"/>
  <c r="K19" i="6"/>
  <c r="L19" i="6" s="1"/>
  <c r="P64" i="5" s="1"/>
  <c r="K18" i="6"/>
  <c r="L18" i="6" s="1"/>
  <c r="P63" i="5" s="1"/>
  <c r="L34" i="6" l="1"/>
  <c r="P62" i="5"/>
  <c r="G82" i="1"/>
  <c r="G83" i="1" s="1"/>
  <c r="I143" i="1"/>
  <c r="I145" i="1" s="1"/>
  <c r="G26" i="5" l="1"/>
  <c r="G87" i="1"/>
  <c r="I87" i="1" s="1"/>
  <c r="G84" i="1"/>
  <c r="G85" i="1" s="1"/>
  <c r="G27" i="5" l="1"/>
  <c r="I27" i="5" s="1"/>
  <c r="I85" i="1"/>
  <c r="G152" i="1"/>
  <c r="I155" i="1" l="1"/>
  <c r="I154" i="1"/>
  <c r="I152" i="1"/>
  <c r="I168" i="1"/>
  <c r="E10" i="40"/>
  <c r="D80" i="1" s="1"/>
  <c r="I169" i="1"/>
  <c r="I55" i="31" l="1"/>
  <c r="I55" i="59"/>
  <c r="I54" i="31"/>
  <c r="I54" i="59"/>
  <c r="G170" i="1"/>
  <c r="I170" i="1" s="1"/>
  <c r="I84" i="1" l="1"/>
  <c r="I136" i="1"/>
  <c r="I139" i="1" s="1"/>
  <c r="I149" i="1" l="1"/>
  <c r="I150" i="1"/>
  <c r="G22" i="5" l="1"/>
  <c r="G23" i="5" s="1"/>
  <c r="I23" i="5" s="1"/>
  <c r="I156" i="1"/>
  <c r="G30" i="5" l="1"/>
  <c r="G31" i="5" s="1"/>
  <c r="I31" i="5" s="1"/>
  <c r="I33" i="5" s="1"/>
  <c r="F69" i="5" s="1"/>
  <c r="G69" i="5" s="1"/>
  <c r="F62" i="5" l="1"/>
  <c r="G62" i="5" s="1"/>
  <c r="F68" i="5"/>
  <c r="G68" i="5" s="1"/>
  <c r="F64" i="5"/>
  <c r="G64" i="5" s="1"/>
  <c r="F63" i="5"/>
  <c r="G63" i="5" s="1"/>
  <c r="F66" i="5"/>
  <c r="G66" i="5" s="1"/>
  <c r="F65" i="5"/>
  <c r="G65" i="5" s="1"/>
  <c r="F67" i="5"/>
  <c r="G67" i="5" s="1"/>
  <c r="D81" i="1"/>
  <c r="I81" i="1" l="1"/>
  <c r="E39" i="47" l="1"/>
  <c r="H39" i="47" l="1"/>
  <c r="E43" i="47" l="1"/>
  <c r="J39" i="47"/>
  <c r="K39" i="47" l="1"/>
  <c r="K33" i="40"/>
  <c r="H10" i="40" s="1"/>
  <c r="H43" i="47"/>
  <c r="E45" i="47"/>
  <c r="D83" i="1" l="1"/>
  <c r="I83" i="1" s="1"/>
  <c r="J43" i="47"/>
  <c r="H45" i="47"/>
  <c r="K29" i="40" l="1"/>
  <c r="G10" i="40" s="1"/>
  <c r="K43" i="47"/>
  <c r="K45" i="47" s="1"/>
  <c r="J45" i="47"/>
  <c r="D82" i="1" l="1"/>
  <c r="L10" i="40"/>
  <c r="D89" i="1" l="1"/>
  <c r="D99" i="1" s="1"/>
  <c r="D173" i="1" s="1"/>
  <c r="I82" i="1"/>
  <c r="I89" i="1" l="1"/>
  <c r="I99" i="1" s="1"/>
  <c r="D167" i="1"/>
  <c r="D171" i="1" s="1"/>
  <c r="D176" i="1" l="1"/>
  <c r="I8" i="59"/>
  <c r="I173" i="1"/>
  <c r="I241" i="1" s="1"/>
  <c r="I8" i="31"/>
  <c r="I40" i="31" s="1"/>
  <c r="I53" i="31" s="1"/>
  <c r="I57" i="31" l="1"/>
  <c r="I61" i="31" s="1"/>
  <c r="G40" i="5"/>
  <c r="G41" i="5" s="1"/>
  <c r="I41" i="5" s="1"/>
  <c r="I63" i="31"/>
  <c r="I167" i="1"/>
  <c r="I171" i="1" s="1"/>
  <c r="I240" i="1" s="1"/>
  <c r="I242" i="1" s="1"/>
  <c r="I40" i="59"/>
  <c r="I246" i="1" s="1"/>
  <c r="I66" i="59"/>
  <c r="AK14" i="60" l="1"/>
  <c r="AK12" i="60"/>
  <c r="AK15" i="60"/>
  <c r="AK16" i="60"/>
  <c r="AK17" i="60"/>
  <c r="AK13" i="60"/>
  <c r="I64" i="31"/>
  <c r="G36" i="5"/>
  <c r="G37" i="5" s="1"/>
  <c r="I37" i="5" s="1"/>
  <c r="I43" i="5" s="1"/>
  <c r="I176" i="1"/>
  <c r="I63" i="59"/>
  <c r="I53" i="59"/>
  <c r="I57" i="59" s="1"/>
  <c r="I245" i="1" s="1"/>
  <c r="I247" i="1" s="1"/>
  <c r="I249" i="1" s="1"/>
  <c r="N69" i="5" l="1"/>
  <c r="N68" i="5"/>
  <c r="I64" i="5"/>
  <c r="J64" i="5" s="1"/>
  <c r="L64" i="5" s="1"/>
  <c r="I69" i="5"/>
  <c r="J69" i="5" s="1"/>
  <c r="L69" i="5" s="1"/>
  <c r="I68" i="5"/>
  <c r="J68" i="5" s="1"/>
  <c r="L68" i="5" s="1"/>
  <c r="N62" i="5"/>
  <c r="AL14" i="60"/>
  <c r="N64" i="5"/>
  <c r="AL15" i="60"/>
  <c r="AL12" i="60"/>
  <c r="AL16" i="60"/>
  <c r="AL17" i="60"/>
  <c r="N67" i="5"/>
  <c r="N63" i="5"/>
  <c r="AL13" i="60"/>
  <c r="N65" i="5"/>
  <c r="N66" i="5"/>
  <c r="I66" i="5"/>
  <c r="J66" i="5" s="1"/>
  <c r="L66" i="5" s="1"/>
  <c r="I67" i="5"/>
  <c r="J67" i="5" s="1"/>
  <c r="L67" i="5" s="1"/>
  <c r="I65" i="5"/>
  <c r="J65" i="5" s="1"/>
  <c r="L65" i="5" s="1"/>
  <c r="I63" i="5"/>
  <c r="J63" i="5" s="1"/>
  <c r="L63" i="5" s="1"/>
  <c r="I62" i="5"/>
  <c r="J62" i="5" s="1"/>
  <c r="L62" i="5" s="1"/>
  <c r="I61" i="59"/>
  <c r="I64" i="59"/>
  <c r="O69" i="5" l="1"/>
  <c r="Q69" i="5" s="1"/>
  <c r="O68" i="5"/>
  <c r="Q68" i="5" s="1"/>
  <c r="O66" i="5"/>
  <c r="Q66" i="5" s="1"/>
  <c r="O64" i="5"/>
  <c r="Q64" i="5" s="1"/>
  <c r="O65" i="5"/>
  <c r="Q65" i="5" s="1"/>
  <c r="O63" i="5"/>
  <c r="Q63" i="5" s="1"/>
  <c r="O67" i="5"/>
  <c r="Q67" i="5" s="1"/>
  <c r="AM12" i="60"/>
  <c r="I65" i="59"/>
  <c r="I67" i="59" s="1"/>
  <c r="O62" i="5" l="1"/>
  <c r="Q62" i="5" s="1"/>
  <c r="N83" i="5"/>
  <c r="D179" i="1" s="1"/>
  <c r="O82" i="5" l="1"/>
  <c r="D19" i="1" s="1"/>
  <c r="D20" i="1" s="1"/>
  <c r="I179" i="1"/>
  <c r="I19" i="1" l="1"/>
  <c r="I20" i="1" s="1"/>
  <c r="AM13" i="60" l="1"/>
  <c r="AM14" i="60"/>
  <c r="AM15" i="60"/>
  <c r="AM16" i="60"/>
  <c r="AM17" i="60"/>
  <c r="L16" i="40"/>
  <c r="AM31" i="60" l="1"/>
  <c r="D178" i="1" s="1"/>
  <c r="D182" i="1" s="1"/>
  <c r="I178" i="1" l="1"/>
  <c r="I182" i="1" s="1"/>
  <c r="I11" i="1" s="1"/>
  <c r="I23" i="1" s="1"/>
  <c r="D32" i="1" s="1"/>
  <c r="I36" i="1" l="1"/>
  <c r="D36" i="1"/>
  <c r="M12" i="63"/>
  <c r="K12" i="63"/>
  <c r="L12" i="63" s="1"/>
  <c r="L11" i="63"/>
  <c r="D40" i="1" l="1"/>
  <c r="D37" i="1"/>
  <c r="D38" i="1"/>
  <c r="D39" i="1" s="1"/>
  <c r="I37" i="1"/>
  <c r="I38" i="1"/>
  <c r="I39" i="1" s="1"/>
  <c r="I40" i="1"/>
  <c r="N12" i="63"/>
  <c r="O12" i="63" s="1"/>
  <c r="P12" i="63" s="1"/>
  <c r="Q12" i="63" s="1"/>
  <c r="R12" i="63" s="1"/>
  <c r="S12" i="63" s="1"/>
  <c r="T12" i="63" s="1"/>
  <c r="U12" i="63" s="1"/>
  <c r="V12" i="63" s="1"/>
  <c r="W12" i="63" s="1"/>
  <c r="X12" i="63" s="1"/>
  <c r="Y12" i="63" s="1"/>
  <c r="AA11" i="63"/>
  <c r="Z12" i="63" l="1"/>
  <c r="AA12" i="63" s="1"/>
  <c r="AB12" i="63" s="1"/>
  <c r="AC12" i="63" s="1"/>
  <c r="M13" i="63"/>
  <c r="K13" i="63"/>
  <c r="L13" i="63" s="1"/>
  <c r="AB11" i="63"/>
  <c r="AC11" i="63" s="1"/>
  <c r="N13" i="63" l="1"/>
  <c r="O13" i="63" s="1"/>
  <c r="P13" i="63" s="1"/>
  <c r="Q13" i="63" s="1"/>
  <c r="R13" i="63" s="1"/>
  <c r="S13" i="63" s="1"/>
  <c r="T13" i="63" s="1"/>
  <c r="U13" i="63" s="1"/>
  <c r="V13" i="63" s="1"/>
  <c r="W13" i="63" s="1"/>
  <c r="X13" i="63" s="1"/>
  <c r="Y13" i="63" s="1"/>
  <c r="Z13" i="63" l="1"/>
  <c r="K14" i="63" l="1"/>
  <c r="L14" i="63" s="1"/>
  <c r="M14" i="63"/>
  <c r="AA13" i="63"/>
  <c r="N14" i="63" l="1"/>
  <c r="AB13" i="63"/>
  <c r="AC13" i="63" s="1"/>
  <c r="O14" i="63" l="1"/>
  <c r="P14" i="63" s="1"/>
  <c r="M15" i="63"/>
  <c r="K15" i="63"/>
  <c r="L15" i="63" s="1"/>
  <c r="Q14" i="63" l="1"/>
  <c r="R14" i="63" s="1"/>
  <c r="S14" i="63" s="1"/>
  <c r="T14" i="63" s="1"/>
  <c r="U14" i="63" s="1"/>
  <c r="V14" i="63" s="1"/>
  <c r="W14" i="63" s="1"/>
  <c r="X14" i="63" s="1"/>
  <c r="Y14" i="63" s="1"/>
  <c r="N15" i="63"/>
  <c r="O15" i="63" s="1"/>
  <c r="P15" i="63" s="1"/>
  <c r="Q15" i="63" s="1"/>
  <c r="R15" i="63" s="1"/>
  <c r="S15" i="63" s="1"/>
  <c r="T15" i="63" s="1"/>
  <c r="U15" i="63" s="1"/>
  <c r="V15" i="63" s="1"/>
  <c r="W15" i="63" s="1"/>
  <c r="X15" i="63" s="1"/>
  <c r="Y15" i="63" s="1"/>
  <c r="Z14" i="63" l="1"/>
  <c r="AA14" i="63" s="1"/>
  <c r="AB14" i="63" s="1"/>
  <c r="AC14" i="63" s="1"/>
  <c r="M16" i="63"/>
  <c r="K16" i="63"/>
  <c r="L16" i="63" s="1"/>
  <c r="Z15" i="63"/>
  <c r="AA15" i="63" s="1"/>
  <c r="AB15" i="63" s="1"/>
  <c r="AC15" i="63" s="1"/>
  <c r="N16" i="63" l="1"/>
  <c r="O16" i="63" s="1"/>
  <c r="P16" i="63" s="1"/>
  <c r="Q16" i="63" s="1"/>
  <c r="R16" i="63" s="1"/>
  <c r="S16" i="63" s="1"/>
  <c r="T16" i="63" s="1"/>
  <c r="U16" i="63" s="1"/>
  <c r="V16" i="63" s="1"/>
  <c r="W16" i="63" s="1"/>
  <c r="X16" i="63" s="1"/>
  <c r="Y16" i="63" s="1"/>
  <c r="M17" i="63" l="1"/>
  <c r="K17" i="63"/>
  <c r="L17" i="63" s="1"/>
  <c r="Z16" i="63"/>
  <c r="AA16" i="63" s="1"/>
  <c r="AB16" i="63" s="1"/>
  <c r="AC16" i="63" s="1"/>
  <c r="N17" i="63" l="1"/>
  <c r="O17" i="63" s="1"/>
  <c r="P17" i="63" s="1"/>
  <c r="Q17" i="63" s="1"/>
  <c r="R17" i="63" s="1"/>
  <c r="S17" i="63" s="1"/>
  <c r="T17" i="63" s="1"/>
  <c r="U17" i="63" s="1"/>
  <c r="V17" i="63" s="1"/>
  <c r="W17" i="63" s="1"/>
  <c r="X17" i="63" s="1"/>
  <c r="Y17" i="63" s="1"/>
  <c r="M18" i="63" l="1"/>
  <c r="K18" i="63"/>
  <c r="L18" i="63" s="1"/>
  <c r="Z17" i="63"/>
  <c r="AA17" i="63" s="1"/>
  <c r="AB17" i="63" s="1"/>
  <c r="AC17" i="63" s="1"/>
  <c r="N18" i="63" l="1"/>
  <c r="O18" i="63" s="1"/>
  <c r="P18" i="63" s="1"/>
  <c r="Q18" i="63" s="1"/>
  <c r="R18" i="63" l="1"/>
  <c r="S18" i="63" s="1"/>
  <c r="M19" i="63"/>
  <c r="K19" i="63"/>
  <c r="L19" i="63" s="1"/>
  <c r="T18" i="63" l="1"/>
  <c r="U18" i="63" s="1"/>
  <c r="N19" i="63"/>
  <c r="O19" i="63" s="1"/>
  <c r="P19" i="63" s="1"/>
  <c r="Q19" i="63" s="1"/>
  <c r="R19" i="63" s="1"/>
  <c r="S19" i="63" s="1"/>
  <c r="T19" i="63" s="1"/>
  <c r="U19" i="63" s="1"/>
  <c r="V19" i="63" s="1"/>
  <c r="W19" i="63" s="1"/>
  <c r="X19" i="63" s="1"/>
  <c r="Y19" i="63" s="1"/>
  <c r="V18" i="63" l="1"/>
  <c r="W18" i="63" s="1"/>
  <c r="X18" i="63" s="1"/>
  <c r="Y18" i="63" s="1"/>
  <c r="M20" i="63"/>
  <c r="K20" i="63"/>
  <c r="L20" i="63" s="1"/>
  <c r="Z19" i="63"/>
  <c r="AA19" i="63" s="1"/>
  <c r="AB19" i="63" s="1"/>
  <c r="AC19" i="63" s="1"/>
  <c r="Z18" i="63" l="1"/>
  <c r="AA18" i="63" s="1"/>
  <c r="AB18" i="63" s="1"/>
  <c r="AC18" i="63" s="1"/>
  <c r="N20" i="63"/>
  <c r="O20" i="63" s="1"/>
  <c r="P20" i="63" s="1"/>
  <c r="Q20" i="63" l="1"/>
  <c r="R20" i="63" l="1"/>
  <c r="S20" i="63" s="1"/>
  <c r="T20" i="63" s="1"/>
  <c r="U20" i="63" l="1"/>
  <c r="V20" i="63" s="1"/>
  <c r="W20" i="63" s="1"/>
  <c r="X20" i="63" l="1"/>
  <c r="Y20" i="63" s="1"/>
  <c r="Z20" i="63" s="1"/>
  <c r="AA20" i="63" s="1"/>
  <c r="AB20" i="63" s="1"/>
  <c r="AC20" i="63" s="1"/>
  <c r="AC24" i="63" s="1"/>
</calcChain>
</file>

<file path=xl/sharedStrings.xml><?xml version="1.0" encoding="utf-8"?>
<sst xmlns="http://schemas.openxmlformats.org/spreadsheetml/2006/main" count="2463" uniqueCount="1332">
  <si>
    <t>page 1 of 5</t>
  </si>
  <si>
    <t xml:space="preserve">Formula Rate - Non-Levelized </t>
  </si>
  <si>
    <t xml:space="preserve">     Rate Formula Template</t>
  </si>
  <si>
    <t xml:space="preserve"> </t>
  </si>
  <si>
    <t xml:space="preserve"> Utilizing FERC Form 1 Data</t>
  </si>
  <si>
    <t>Line</t>
  </si>
  <si>
    <t>Allocated</t>
  </si>
  <si>
    <t>No.</t>
  </si>
  <si>
    <t>Amount</t>
  </si>
  <si>
    <t>(Note T)</t>
  </si>
  <si>
    <t>Total</t>
  </si>
  <si>
    <t>Allocator</t>
  </si>
  <si>
    <t xml:space="preserve">  Account No. 454</t>
  </si>
  <si>
    <t>TP</t>
  </si>
  <si>
    <t>(Note A)</t>
  </si>
  <si>
    <t>(Note B)</t>
  </si>
  <si>
    <t>(Note C)</t>
  </si>
  <si>
    <t>(Note D)</t>
  </si>
  <si>
    <t>page 2 of 5</t>
  </si>
  <si>
    <t>(1)</t>
  </si>
  <si>
    <t>(2)</t>
  </si>
  <si>
    <t>(3)</t>
  </si>
  <si>
    <t>(4)</t>
  </si>
  <si>
    <t>(5)</t>
  </si>
  <si>
    <t>(6)</t>
  </si>
  <si>
    <t>Transmission</t>
  </si>
  <si>
    <t>Company Total</t>
  </si>
  <si>
    <t xml:space="preserve">                  Allocator</t>
  </si>
  <si>
    <t>(Col 3 times Col 4)</t>
  </si>
  <si>
    <t>RATE BASE:</t>
  </si>
  <si>
    <t>GROSS PLANT IN SERVICE</t>
  </si>
  <si>
    <t xml:space="preserve">  Production</t>
  </si>
  <si>
    <t>NA</t>
  </si>
  <si>
    <t xml:space="preserve">  Transmission</t>
  </si>
  <si>
    <t xml:space="preserve">  Distribution</t>
  </si>
  <si>
    <t xml:space="preserve">  General &amp; Intangible</t>
  </si>
  <si>
    <t>W/S</t>
  </si>
  <si>
    <t xml:space="preserve">  Common</t>
  </si>
  <si>
    <t>CE</t>
  </si>
  <si>
    <t>GP=</t>
  </si>
  <si>
    <t>ACCUMULATED DEPRECIATION</t>
  </si>
  <si>
    <t>219.20-24.c</t>
  </si>
  <si>
    <t>219.26.c</t>
  </si>
  <si>
    <t>NET PLANT IN SERVICE</t>
  </si>
  <si>
    <t xml:space="preserve">  Account No. 281 (enter negative)</t>
  </si>
  <si>
    <t xml:space="preserve">  Account No. 282 (enter negative)</t>
  </si>
  <si>
    <t xml:space="preserve">  Account No. 283 (enter negative)</t>
  </si>
  <si>
    <t xml:space="preserve">  Account No. 190 </t>
  </si>
  <si>
    <t xml:space="preserve">  Account No. 255 (enter negative)</t>
  </si>
  <si>
    <t xml:space="preserve">LAND HELD FOR FUTURE USE </t>
  </si>
  <si>
    <t xml:space="preserve">  CWC  </t>
  </si>
  <si>
    <t>TE</t>
  </si>
  <si>
    <t xml:space="preserve">  Prepayments (Account 165)</t>
  </si>
  <si>
    <t>GP</t>
  </si>
  <si>
    <t xml:space="preserve">     Less Account 565</t>
  </si>
  <si>
    <t xml:space="preserve">     Less FERC Annual Fees</t>
  </si>
  <si>
    <t xml:space="preserve">  LABOR RELATED</t>
  </si>
  <si>
    <t xml:space="preserve">          Payroll</t>
  </si>
  <si>
    <t>263.i</t>
  </si>
  <si>
    <t xml:space="preserve">          Highway and vehicle</t>
  </si>
  <si>
    <t xml:space="preserve">  PLANT RELATED</t>
  </si>
  <si>
    <t xml:space="preserve">         Property</t>
  </si>
  <si>
    <t xml:space="preserve">         Other</t>
  </si>
  <si>
    <t xml:space="preserve">         Payments in lieu of taxes</t>
  </si>
  <si>
    <t xml:space="preserve">INCOME TAXES          </t>
  </si>
  <si>
    <t xml:space="preserve">     T=1 - {[(1 - SIT) * (1 - FIT)] / (1 - SIT * FIT * p)} =</t>
  </si>
  <si>
    <t xml:space="preserve">       and FIT, SIT &amp; p are as given in footnote K.</t>
  </si>
  <si>
    <t>Total Income Taxes</t>
  </si>
  <si>
    <t xml:space="preserve">RETURN </t>
  </si>
  <si>
    <t xml:space="preserve">                SUPPORTING CALCULATIONS AND NOTES</t>
  </si>
  <si>
    <t>TRANSMISSION PLANT INCLUDED IN ISO RATES</t>
  </si>
  <si>
    <t>TP=</t>
  </si>
  <si>
    <t xml:space="preserve">TRANSMISSION EXPENSES </t>
  </si>
  <si>
    <t>TE=</t>
  </si>
  <si>
    <t>WAGES &amp; SALARY ALLOCATOR   (W&amp;S)</t>
  </si>
  <si>
    <t>Form 1 Reference</t>
  </si>
  <si>
    <t>$</t>
  </si>
  <si>
    <t>Allocation</t>
  </si>
  <si>
    <t>W&amp;S Allocator</t>
  </si>
  <si>
    <t xml:space="preserve">  Other</t>
  </si>
  <si>
    <t>($ / Allocation)</t>
  </si>
  <si>
    <t>=</t>
  </si>
  <si>
    <t>% Electric</t>
  </si>
  <si>
    <t xml:space="preserve">  Electric</t>
  </si>
  <si>
    <t>200.3.c</t>
  </si>
  <si>
    <t xml:space="preserve">  Gas</t>
  </si>
  <si>
    <t>201.3.d</t>
  </si>
  <si>
    <t>*</t>
  </si>
  <si>
    <t xml:space="preserve">  Water</t>
  </si>
  <si>
    <t>201.3.e</t>
  </si>
  <si>
    <t>RETURN (R)</t>
  </si>
  <si>
    <t>Common Stock</t>
  </si>
  <si>
    <t>Cost</t>
  </si>
  <si>
    <t>%</t>
  </si>
  <si>
    <t>Weighted</t>
  </si>
  <si>
    <t>=WCLTD</t>
  </si>
  <si>
    <t>=R</t>
  </si>
  <si>
    <t>REVENUE CREDITS</t>
  </si>
  <si>
    <t>ACCOUNT 447 (SALES FOR RESALE)</t>
  </si>
  <si>
    <t>(Note Q)</t>
  </si>
  <si>
    <t xml:space="preserve">  Total of (a)-(b)</t>
  </si>
  <si>
    <t>page 5 of 5</t>
  </si>
  <si>
    <t>Note</t>
  </si>
  <si>
    <t>Letter</t>
  </si>
  <si>
    <t>A</t>
  </si>
  <si>
    <t>B</t>
  </si>
  <si>
    <t>C</t>
  </si>
  <si>
    <t>D</t>
  </si>
  <si>
    <t>E</t>
  </si>
  <si>
    <t>F</t>
  </si>
  <si>
    <t>G</t>
  </si>
  <si>
    <t>Identified in Form 1 as being only transmission related.</t>
  </si>
  <si>
    <t>H</t>
  </si>
  <si>
    <t>I</t>
  </si>
  <si>
    <t>J</t>
  </si>
  <si>
    <t>K</t>
  </si>
  <si>
    <t>FIT =</t>
  </si>
  <si>
    <t>SIT=</t>
  </si>
  <si>
    <t>p =</t>
  </si>
  <si>
    <t>L</t>
  </si>
  <si>
    <t>M</t>
  </si>
  <si>
    <t>N</t>
  </si>
  <si>
    <t>O</t>
  </si>
  <si>
    <t>Enter dollar amounts</t>
  </si>
  <si>
    <t>P</t>
  </si>
  <si>
    <t>Q</t>
  </si>
  <si>
    <t>R</t>
  </si>
  <si>
    <t>Includes income related only to transmission facilities, such as pole attachments, rentals and special use.</t>
  </si>
  <si>
    <t>S</t>
  </si>
  <si>
    <t>T</t>
  </si>
  <si>
    <t>U</t>
  </si>
  <si>
    <t>V</t>
  </si>
  <si>
    <t>W</t>
  </si>
  <si>
    <t>205.46.g</t>
  </si>
  <si>
    <t>207.75.g</t>
  </si>
  <si>
    <t>354.20.b</t>
  </si>
  <si>
    <t>354.21.b</t>
  </si>
  <si>
    <t>354.23.b</t>
  </si>
  <si>
    <t>X</t>
  </si>
  <si>
    <t>Y</t>
  </si>
  <si>
    <t>page 3 of 5</t>
  </si>
  <si>
    <t>page 4 of 5</t>
  </si>
  <si>
    <t>Account Nos. 561.4, 561.8, and 575.7 consist of RTO expenses billed to load-serving entities and are not included in Transmission Owner revenue requirements.</t>
  </si>
  <si>
    <t>(Note E)</t>
  </si>
  <si>
    <t>(Note K)</t>
  </si>
  <si>
    <t>WORKING CAPITAL  (Note H)</t>
  </si>
  <si>
    <t xml:space="preserve">  Materials &amp; Supplies  (Note G)</t>
  </si>
  <si>
    <t>TAXES OTHER THAN INCOME TAXES  (Note J)</t>
  </si>
  <si>
    <t>COMMON PLANT ALLOCATOR  (CE)  (Note O)</t>
  </si>
  <si>
    <t>= WS</t>
  </si>
  <si>
    <t>Preferred Dividends  (118.29c) (positive number)</t>
  </si>
  <si>
    <t>Inputs Required:</t>
  </si>
  <si>
    <t>Includes only FICA, unemployment, highway, property, gross receipts, and other assessments charged in the current year.  Taxes related to income are excluded.  Gross receipts taxes are not included in transmission revenue requirement in the Rate Formula Template, since they are recovered elsewhere.</t>
  </si>
  <si>
    <t>Revenue Credits for Sched 1A  - Note A</t>
  </si>
  <si>
    <t>Net Schedule 1A Expenses (Line 1 - Line 2)</t>
  </si>
  <si>
    <t>Note:</t>
  </si>
  <si>
    <t>Gross Transmission Plant - Total</t>
  </si>
  <si>
    <t>Net Transmission Plant - Total</t>
  </si>
  <si>
    <t>O&amp;M EXPENSE</t>
  </si>
  <si>
    <t>Total O&amp;M Allocated to Transmission</t>
  </si>
  <si>
    <t>Annual Allocation Factor for O&amp;M</t>
  </si>
  <si>
    <t>TAXES OTHER THAN INCOME TAXES</t>
  </si>
  <si>
    <t>5</t>
  </si>
  <si>
    <t>Total Other Taxes</t>
  </si>
  <si>
    <t>Annual Allocation Factor for Other Taxes</t>
  </si>
  <si>
    <t>7</t>
  </si>
  <si>
    <t>Annual Allocation Factor for Expense</t>
  </si>
  <si>
    <t>INCOME TAXES</t>
  </si>
  <si>
    <t>8</t>
  </si>
  <si>
    <t>9</t>
  </si>
  <si>
    <t>Annual Allocation Factor for Income Taxes</t>
  </si>
  <si>
    <t>10</t>
  </si>
  <si>
    <t>Return on Rate Base</t>
  </si>
  <si>
    <t>11</t>
  </si>
  <si>
    <t>Annual Allocation Factor for Return on Rate Base</t>
  </si>
  <si>
    <t>12</t>
  </si>
  <si>
    <t>Annual Allocation Factor for Return</t>
  </si>
  <si>
    <t>Line No.</t>
  </si>
  <si>
    <t>Project Name</t>
  </si>
  <si>
    <t>Annual Expense Charge</t>
  </si>
  <si>
    <t xml:space="preserve">Project Net Plant </t>
  </si>
  <si>
    <t>Annual Return Charge</t>
  </si>
  <si>
    <t>Project Depreciation Expense</t>
  </si>
  <si>
    <t>(Col. 3 * Col. 4)</t>
  </si>
  <si>
    <t>(Col. 6 * Col. 7)</t>
  </si>
  <si>
    <t>Project Net Plant is the Project Gross Plant Identified in Column 3 less the associated Accumulated Depreciation.</t>
  </si>
  <si>
    <t>page 1 of 1</t>
  </si>
  <si>
    <t>Schedule 1A Rate Calculation</t>
  </si>
  <si>
    <t>Reference</t>
  </si>
  <si>
    <t>page 1 of 2</t>
  </si>
  <si>
    <t>(line 3 divided by line 1, col. 3)</t>
  </si>
  <si>
    <t>(line 5 divided by line 1, col. 3)</t>
  </si>
  <si>
    <t>page 2 of 2</t>
  </si>
  <si>
    <t>RTEP Project Number</t>
  </si>
  <si>
    <t>Notes</t>
  </si>
  <si>
    <t>Schedule 1A rate $/MWh (Line 3/ Line 4)</t>
  </si>
  <si>
    <t>Project Gross Plant is the total capital investment for the project calculated in the same method as the gross plant value in line 1 above.  This value includes subsequent capital investments required to maintain the project in-service.</t>
  </si>
  <si>
    <t xml:space="preserve">DEPRECIATION AND AMORTIZATION EXPENSE </t>
  </si>
  <si>
    <t>December</t>
  </si>
  <si>
    <t>January</t>
  </si>
  <si>
    <t>February</t>
  </si>
  <si>
    <t>March</t>
  </si>
  <si>
    <t>April</t>
  </si>
  <si>
    <t>May</t>
  </si>
  <si>
    <t>July</t>
  </si>
  <si>
    <t>August</t>
  </si>
  <si>
    <t>September</t>
  </si>
  <si>
    <t>November</t>
  </si>
  <si>
    <t>October</t>
  </si>
  <si>
    <t>3</t>
  </si>
  <si>
    <t>4</t>
  </si>
  <si>
    <t>13</t>
  </si>
  <si>
    <t>14</t>
  </si>
  <si>
    <t>June</t>
  </si>
  <si>
    <t>Production</t>
  </si>
  <si>
    <t>Distribution</t>
  </si>
  <si>
    <t>General</t>
  </si>
  <si>
    <t>Intangible</t>
  </si>
  <si>
    <t>Common</t>
  </si>
  <si>
    <t>207.58.g</t>
  </si>
  <si>
    <t>205.5.g</t>
  </si>
  <si>
    <t>207.99.g</t>
  </si>
  <si>
    <t>13-month Average</t>
  </si>
  <si>
    <t>[A]</t>
  </si>
  <si>
    <t>Notes:</t>
  </si>
  <si>
    <t>Reference for December balances as would be reported in FERC Form 1.</t>
  </si>
  <si>
    <t>219.25.c</t>
  </si>
  <si>
    <t>200.21.c</t>
  </si>
  <si>
    <t>219.28.c</t>
  </si>
  <si>
    <t>Acct. No. 281</t>
  </si>
  <si>
    <t>Acct. No. 282</t>
  </si>
  <si>
    <t>Acct. No. 283</t>
  </si>
  <si>
    <t>Acct. No. 190</t>
  </si>
  <si>
    <t>Acct. No. 255</t>
  </si>
  <si>
    <t>December 31</t>
  </si>
  <si>
    <t>(enter negative)</t>
  </si>
  <si>
    <t>[B]</t>
  </si>
  <si>
    <t>Property Taxes</t>
  </si>
  <si>
    <t>Highway and Vehicle Taxes</t>
  </si>
  <si>
    <t>Payroll Taxes</t>
  </si>
  <si>
    <t>Other Taxes</t>
  </si>
  <si>
    <t>Payroll Taxes Total</t>
  </si>
  <si>
    <t>Payments in lieu of taxes</t>
  </si>
  <si>
    <t>Proprietary</t>
  </si>
  <si>
    <t>Capital</t>
  </si>
  <si>
    <t>Preferred Stock</t>
  </si>
  <si>
    <t>Account 216.1</t>
  </si>
  <si>
    <t>Long Term Debt</t>
  </si>
  <si>
    <t>112.16.c</t>
  </si>
  <si>
    <t>112.12.c</t>
  </si>
  <si>
    <t>207.57.g</t>
  </si>
  <si>
    <t>True-up Adjustment</t>
  </si>
  <si>
    <t>Projected Annual Revenue Requirement</t>
  </si>
  <si>
    <t>Actual Annual Revenue Requirement</t>
  </si>
  <si>
    <t>Subtotal</t>
  </si>
  <si>
    <t>(a)</t>
  </si>
  <si>
    <t>(b)</t>
  </si>
  <si>
    <t xml:space="preserve">(c) </t>
  </si>
  <si>
    <t>(d)</t>
  </si>
  <si>
    <t>(e)</t>
  </si>
  <si>
    <t>(f)</t>
  </si>
  <si>
    <t>(g)</t>
  </si>
  <si>
    <t>(h)</t>
  </si>
  <si>
    <t>(i)</t>
  </si>
  <si>
    <t>(j)</t>
  </si>
  <si>
    <t>NOTE</t>
  </si>
  <si>
    <t xml:space="preserve">     Less LSE Expenses Included in Transmission O&amp;M Accounts  (Note W)</t>
  </si>
  <si>
    <t xml:space="preserve">     Less EPRI &amp; Reg. Comm. Exp. &amp; Non-safety  Ad.  (Note I)</t>
  </si>
  <si>
    <t xml:space="preserve">     Plus Transmission Related Reg. Comm.  Exp.  (Note I)</t>
  </si>
  <si>
    <t>Amortized Investment Tax Credit (266.8.f) (enter negative)</t>
  </si>
  <si>
    <t>Less transmission plant excluded from ISO rates  (Note M)</t>
  </si>
  <si>
    <t>Less transmission plant included in OATT Ancillary Services  (Note N )</t>
  </si>
  <si>
    <t xml:space="preserve">  a. Bundled Non-RQ Sales for Resale (311.x.h)</t>
  </si>
  <si>
    <t>ACCOUNT 454 (RENT FROM ELECTRIC PROPERTY)  (Note R)</t>
  </si>
  <si>
    <t>(State Income Tax Rate or Composite SIT)</t>
  </si>
  <si>
    <t>(percent of federal income tax deductible for state purposes)</t>
  </si>
  <si>
    <t>Calculate using a 13 month average balance.</t>
  </si>
  <si>
    <t>True-up Adjustment - Over (Under) Recovery</t>
  </si>
  <si>
    <t>Months</t>
  </si>
  <si>
    <t>Monthly</t>
  </si>
  <si>
    <t>Project Gross Plant</t>
  </si>
  <si>
    <t>Removes dollar amount of transmission plant included in the development of OATT ancillary services rates and generation step-up facilities, which are deemed included in OATT ancillary services.  For these purposes, generation step-up facilities are those facilities at a generator substation on which there is no through-flow when the generator is shut down.</t>
  </si>
  <si>
    <t>[C]</t>
  </si>
  <si>
    <t>Formula Rate Protocols</t>
  </si>
  <si>
    <t>1. Rate of Return on Common Equity ("ROE")</t>
  </si>
  <si>
    <t>2. Postretirement Benefits Other Than Pension ("PBOP")</t>
  </si>
  <si>
    <t>*sometimes referred to as Other Post Employment Benefits, or "OPEB"</t>
  </si>
  <si>
    <t>FERC Account</t>
  </si>
  <si>
    <t>Depr %</t>
  </si>
  <si>
    <t>ACCOUNT 451 (MISCELLANEOUS SERVICE REVENUE) (Note S)</t>
  </si>
  <si>
    <t>Excludes revenues unrelated to transmission services.</t>
  </si>
  <si>
    <t>FAS 143 - ARO</t>
  </si>
  <si>
    <t>FAS 106</t>
  </si>
  <si>
    <t>FAS 109</t>
  </si>
  <si>
    <t>FERC Account No. 283  is adjusted for the following items.</t>
  </si>
  <si>
    <t>[D]</t>
  </si>
  <si>
    <t>[E]</t>
  </si>
  <si>
    <t>FERC Account No. 282 is adjusted for the following items.</t>
  </si>
  <si>
    <t>Section VIII.A</t>
  </si>
  <si>
    <t>Nominal Federal Income Tax Rate</t>
  </si>
  <si>
    <t>Nominal State Income Tax Rate</t>
  </si>
  <si>
    <t>Times Apportionment Percentage</t>
  </si>
  <si>
    <t>Combined State Income Tax Rate</t>
  </si>
  <si>
    <t>State Income Tax Rate</t>
  </si>
  <si>
    <t>Federal Income Tax Rate</t>
  </si>
  <si>
    <t>Combined Rate</t>
  </si>
  <si>
    <t>Return Calculation</t>
  </si>
  <si>
    <t>Source  Reference</t>
  </si>
  <si>
    <t>Income Tax Rates</t>
  </si>
  <si>
    <t>Source</t>
  </si>
  <si>
    <t xml:space="preserve">  CWIP</t>
  </si>
  <si>
    <t>Tax Effect of Permanent Differences and AFUDC Equity</t>
  </si>
  <si>
    <t xml:space="preserve">       Less Preferred Stock </t>
  </si>
  <si>
    <t xml:space="preserve">       Less Accumulated Other Comprehensive Income Account 219</t>
  </si>
  <si>
    <t>Income Taxes</t>
  </si>
  <si>
    <t>Income Tax Calculation</t>
  </si>
  <si>
    <t xml:space="preserve">ITC adjustment </t>
  </si>
  <si>
    <t xml:space="preserve">Permanent Differences and AFUDC Equity Tax Adjustment </t>
  </si>
  <si>
    <t>(Excess)/Deficient Deferred Income Taxes</t>
  </si>
  <si>
    <t xml:space="preserve">(Excess)/Deficient Deferred Income Tax Adjustment </t>
  </si>
  <si>
    <t>Calculated</t>
  </si>
  <si>
    <t>Calculation of PBOP Expenses</t>
  </si>
  <si>
    <t>GENERAL, INTANGIBLE, AND COMMON (G,I, &amp; C) DEPRECIATION EXPENSE</t>
  </si>
  <si>
    <t>Total G, I, &amp; C depreciation expense</t>
  </si>
  <si>
    <t>Annual allocation factor for G, I, &amp; C depreciation expense</t>
  </si>
  <si>
    <t>(line 7 divided by line 1, col. 3)</t>
  </si>
  <si>
    <t xml:space="preserve">Annual Revenue Requirement </t>
  </si>
  <si>
    <t>(Sum Col. 5, 8, &amp; 9)</t>
  </si>
  <si>
    <t xml:space="preserve">     PBOP Expense Adjustment in Year</t>
  </si>
  <si>
    <t>DA</t>
  </si>
  <si>
    <t>company records</t>
  </si>
  <si>
    <t>(Line 12 * Line 15)</t>
  </si>
  <si>
    <t>(Line 13 * Line 16)</t>
  </si>
  <si>
    <t>(Line 14 * Line 17)</t>
  </si>
  <si>
    <t>Sum lines 29 to 32</t>
  </si>
  <si>
    <t>(line 22 * line 24)</t>
  </si>
  <si>
    <t>(Line 22 + Line 33)</t>
  </si>
  <si>
    <t>Line 1</t>
  </si>
  <si>
    <t xml:space="preserve">Rate Base </t>
  </si>
  <si>
    <t>(Note G)</t>
  </si>
  <si>
    <t>Accumulated Depreciation</t>
  </si>
  <si>
    <t>Project Net Plant</t>
  </si>
  <si>
    <t>Net Plant Detail</t>
  </si>
  <si>
    <t>Based on a 13-month average</t>
  </si>
  <si>
    <t>(line 12 divided by line 2, col. 3)</t>
  </si>
  <si>
    <t xml:space="preserve">TABLE 1:  Summary Cost of Long Term Debt  </t>
  </si>
  <si>
    <t>CALCULATION OF COST OF DEBT</t>
  </si>
  <si>
    <t>YEAR ENDED</t>
  </si>
  <si>
    <t>(c)</t>
  </si>
  <si>
    <t>Net</t>
  </si>
  <si>
    <t>Average Net</t>
  </si>
  <si>
    <t>Outstanding</t>
  </si>
  <si>
    <t>Effective</t>
  </si>
  <si>
    <t>Debt Cost</t>
  </si>
  <si>
    <t>ORIGINAL</t>
  </si>
  <si>
    <t>Net Proceeds</t>
  </si>
  <si>
    <t>in Year*</t>
  </si>
  <si>
    <t>Cost Rate</t>
  </si>
  <si>
    <t>at t = N</t>
  </si>
  <si>
    <t>t=N</t>
  </si>
  <si>
    <t>Issue Date</t>
  </si>
  <si>
    <t>Maturity Date</t>
  </si>
  <si>
    <t>ISSUANCE</t>
  </si>
  <si>
    <t>At Issuance</t>
  </si>
  <si>
    <t>at t=N</t>
  </si>
  <si>
    <t>z*</t>
  </si>
  <si>
    <t>Ratios</t>
  </si>
  <si>
    <t>(h) * (i)</t>
  </si>
  <si>
    <t>Long Term Debt Cost at Year Ended:</t>
  </si>
  <si>
    <t>First Mortgage Bonds:</t>
  </si>
  <si>
    <t>**</t>
  </si>
  <si>
    <t>t = time</t>
  </si>
  <si>
    <t>The current portion of long term debt is included in the Net Amount Outstanding at t = N in these calculations.</t>
  </si>
  <si>
    <t>The outstanding amount (column (e)) for debt retired during the year is the outstanding amount at the last month it was outstanding.</t>
  </si>
  <si>
    <t>*  z = Average of monthly balances for months outstanding during the year (averge of the balances for the 12 months of the year, with zero in months that the issuance is not outstanding in a month.).</t>
  </si>
  <si>
    <t>Interim (individual debenture) debt cost calculations shall be taken to four decimals in percentages (7.2300%, 5.2582%); Final Total Weighted Average Debt Cost for the Formula Rate shall be rounded to two decimals of a percent (7.03%).</t>
  </si>
  <si>
    <t>TABLE 2:  Effective Cost Rates For Traditional Front-Loaded Debt Issuances:</t>
  </si>
  <si>
    <t>(aa)</t>
  </si>
  <si>
    <t>(bb)</t>
  </si>
  <si>
    <t>(cc)</t>
  </si>
  <si>
    <t>(dd)</t>
  </si>
  <si>
    <t>(ee)</t>
  </si>
  <si>
    <t>(ff)</t>
  </si>
  <si>
    <t>(gg)</t>
  </si>
  <si>
    <t>(hh)</t>
  </si>
  <si>
    <t>(ii)</t>
  </si>
  <si>
    <t>(jj)</t>
  </si>
  <si>
    <t>(kk)</t>
  </si>
  <si>
    <t>(Discount)</t>
  </si>
  <si>
    <t xml:space="preserve">Loss/Gain on </t>
  </si>
  <si>
    <t>Effective Cost Rate*</t>
  </si>
  <si>
    <t>Issue</t>
  </si>
  <si>
    <t>Maturity</t>
  </si>
  <si>
    <t>Premium</t>
  </si>
  <si>
    <t>Issuance</t>
  </si>
  <si>
    <t>Reacquired</t>
  </si>
  <si>
    <t>Proceeds</t>
  </si>
  <si>
    <t>Coupon</t>
  </si>
  <si>
    <t xml:space="preserve">Annual </t>
  </si>
  <si>
    <t>(Yield to Maturity</t>
  </si>
  <si>
    <t xml:space="preserve">Long Term Debt Issuances </t>
  </si>
  <si>
    <t>Affiliate</t>
  </si>
  <si>
    <t>Date</t>
  </si>
  <si>
    <t>Issued</t>
  </si>
  <si>
    <t>at Issuance</t>
  </si>
  <si>
    <t>Expense</t>
  </si>
  <si>
    <t>Debt</t>
  </si>
  <si>
    <t>Ratio</t>
  </si>
  <si>
    <t>Rate</t>
  </si>
  <si>
    <t>Interest</t>
  </si>
  <si>
    <t>at Issuance, t = 0)</t>
  </si>
  <si>
    <t>TOTALS</t>
  </si>
  <si>
    <t>* YTM at issuance calculated from an acceptable bond table or from YTM = Internal Rate of Return (IRR) calculation</t>
  </si>
  <si>
    <t>112.15.c</t>
  </si>
  <si>
    <t>Account 219</t>
  </si>
  <si>
    <t xml:space="preserve">  Account No. 451</t>
  </si>
  <si>
    <t xml:space="preserve">DA </t>
  </si>
  <si>
    <t>Total Annual Revenue Requirement</t>
  </si>
  <si>
    <t>Net Revenue Requirement
with True-up</t>
  </si>
  <si>
    <t>Pro-rated Q1</t>
  </si>
  <si>
    <t>Pro-rated Q2</t>
  </si>
  <si>
    <t>Pro-rated Q3</t>
  </si>
  <si>
    <t>Pro-rated Q4</t>
  </si>
  <si>
    <t>Amount included in revenues reported on pages 328-330 of FERC Form 1.</t>
  </si>
  <si>
    <t>% of Total Revenue Requirement</t>
  </si>
  <si>
    <t>Revenue Received</t>
  </si>
  <si>
    <t>Col c, line 1 * Col e</t>
  </si>
  <si>
    <t>2a</t>
  </si>
  <si>
    <t>2b</t>
  </si>
  <si>
    <t>GROSS REV. REQUIREMENT (WITHOUT INCENTIVE)</t>
  </si>
  <si>
    <t>NET REVENUE REQUIREMENT</t>
  </si>
  <si>
    <t>True-up Adjustment with Interest</t>
  </si>
  <si>
    <t>Actual RTEP Credit Revenues for true-up year</t>
  </si>
  <si>
    <t>4a</t>
  </si>
  <si>
    <t xml:space="preserve">Col. h + Col. i </t>
  </si>
  <si>
    <t>Sum of line 4, 6, &amp; 8</t>
  </si>
  <si>
    <t>Sum of line 11 and 13</t>
  </si>
  <si>
    <t>(Note B &amp; C)</t>
  </si>
  <si>
    <t xml:space="preserve">  TEC Revenue </t>
  </si>
  <si>
    <t>Goodwill</t>
  </si>
  <si>
    <t>233.5.f</t>
  </si>
  <si>
    <t>(1) - (2) - (3) - (4) - (5)</t>
  </si>
  <si>
    <t>(Page 1, line 9)</t>
  </si>
  <si>
    <t>Page 1, line 14</t>
  </si>
  <si>
    <t>(Note C &amp; H)</t>
  </si>
  <si>
    <t>(Note D &amp; H)</t>
  </si>
  <si>
    <t>Additional Incentive Annual Allocation Factor for Return (Note F)</t>
  </si>
  <si>
    <t xml:space="preserve">  Account No. 456</t>
  </si>
  <si>
    <t>ACCOUNT 456 (OTHER ELECTRIC REVENUE)  (Note V)</t>
  </si>
  <si>
    <t>[1]</t>
  </si>
  <si>
    <t>[2]</t>
  </si>
  <si>
    <t>[3]</t>
  </si>
  <si>
    <t>[4]</t>
  </si>
  <si>
    <t>[5]</t>
  </si>
  <si>
    <t>[6]</t>
  </si>
  <si>
    <t>[7]</t>
  </si>
  <si>
    <t>Attachment 3, Line 14, Col. 1 (Notes U &amp; X)</t>
  </si>
  <si>
    <t>Attachment 3, Line 14, Col. 3 (Notes U &amp; X)</t>
  </si>
  <si>
    <t>Attachment 4, Line 14, Col. 1 (Notes U &amp; X)</t>
  </si>
  <si>
    <t>Attachment 4, Line 14, Col. 3 (Notes U &amp; X)</t>
  </si>
  <si>
    <t>1a</t>
  </si>
  <si>
    <t>1b</t>
  </si>
  <si>
    <t>1c</t>
  </si>
  <si>
    <t>2</t>
  </si>
  <si>
    <t>3b</t>
  </si>
  <si>
    <t>3c</t>
  </si>
  <si>
    <t>5a</t>
  </si>
  <si>
    <t>5b</t>
  </si>
  <si>
    <t>5c</t>
  </si>
  <si>
    <t>1z</t>
  </si>
  <si>
    <t>2z</t>
  </si>
  <si>
    <t>3z</t>
  </si>
  <si>
    <t>4z</t>
  </si>
  <si>
    <t>5z</t>
  </si>
  <si>
    <t>6z</t>
  </si>
  <si>
    <t>Total other than income taxes (sum lines 1z, 2z, 3z, 4z, 5z, 6z) 
[tie to 114.14c]</t>
  </si>
  <si>
    <t>Z</t>
  </si>
  <si>
    <t xml:space="preserve">Includes only CWIP authorized by the Commission for inclusion in rate base.  </t>
  </si>
  <si>
    <t>AA</t>
  </si>
  <si>
    <t>BB</t>
  </si>
  <si>
    <t>Rate Base</t>
  </si>
  <si>
    <t>Preferred Dividends</t>
  </si>
  <si>
    <t xml:space="preserve"> enter positive</t>
  </si>
  <si>
    <t>Proprietary Capital</t>
  </si>
  <si>
    <t>Capitalization</t>
  </si>
  <si>
    <t>Total  Capitalization</t>
  </si>
  <si>
    <t>Debt %</t>
  </si>
  <si>
    <t>Total Long Term Debt</t>
  </si>
  <si>
    <t>Preferred %</t>
  </si>
  <si>
    <t>Common %</t>
  </si>
  <si>
    <t>Preferred Cost</t>
  </si>
  <si>
    <t>Common Cost</t>
  </si>
  <si>
    <t>Weighted Cost of Debt</t>
  </si>
  <si>
    <t>Total Long Term Debt (WCLTD)</t>
  </si>
  <si>
    <t>Weighted Cost of Preferred</t>
  </si>
  <si>
    <t>Weighted Cost of Common</t>
  </si>
  <si>
    <t>Rate of Return on Rate Base ( ROR )</t>
  </si>
  <si>
    <t>Investment Return = Rate Base * Rate of Return</t>
  </si>
  <si>
    <t>Incentive ROE Calculation</t>
  </si>
  <si>
    <t>Gross Plant Calculation</t>
  </si>
  <si>
    <t>Accumulated Depreciation Calculation</t>
  </si>
  <si>
    <t>Taxes Other than Income Calculation</t>
  </si>
  <si>
    <t>Capital Structure Calculation</t>
  </si>
  <si>
    <t>Stated Value Inputs</t>
  </si>
  <si>
    <t>Debt Cost Calculation</t>
  </si>
  <si>
    <t>To be completed after Attachment 11 for the True-up Year is updated using actual data</t>
  </si>
  <si>
    <t>Utilizing a 13-month average.              [C] Taken to Attachment 11, Page 2, Col. 6</t>
  </si>
  <si>
    <t>Other Rate Base Items</t>
  </si>
  <si>
    <t xml:space="preserve">       Less Account 216.1 &amp; Goodwill</t>
  </si>
  <si>
    <t>Attachment 8, Line 14, Col. 1</t>
  </si>
  <si>
    <t>Attachment 8, Line 14, Col. 2</t>
  </si>
  <si>
    <t>Attachment 8, Line 14, Col. 6</t>
  </si>
  <si>
    <t>Attachment 8, Line 14, Col. 3 &amp; 5</t>
  </si>
  <si>
    <t>Attachment 8, Line 14, Col. 4</t>
  </si>
  <si>
    <t>3a</t>
  </si>
  <si>
    <t>Actual Revenues for Attachment 11</t>
  </si>
  <si>
    <t>Transmission-related only</t>
  </si>
  <si>
    <t>3d</t>
  </si>
  <si>
    <t>1d</t>
  </si>
  <si>
    <t>5d</t>
  </si>
  <si>
    <t>112.3.c</t>
  </si>
  <si>
    <t>207.98.g</t>
  </si>
  <si>
    <t>[G]</t>
  </si>
  <si>
    <t>CIAC</t>
  </si>
  <si>
    <t>Incremental Return and incomes taxes for increase in ROE</t>
  </si>
  <si>
    <t>Incremental Return and incomes taxes for increase in ROE divided by rate base</t>
  </si>
  <si>
    <t>Prepayments shall exclude prepayments of income taxes.</t>
  </si>
  <si>
    <t xml:space="preserve">ADJUSTMENTS TO RATE BASE  </t>
  </si>
  <si>
    <t>(table 2, col. cc)</t>
  </si>
  <si>
    <t>(col. g/col. g total)</t>
  </si>
  <si>
    <t>((col e. * col. F)/12)</t>
  </si>
  <si>
    <t>(line 10 divided by line 2, col. 3)</t>
  </si>
  <si>
    <t>[A] [C]</t>
  </si>
  <si>
    <t>Asset Retirement Costs</t>
  </si>
  <si>
    <t>cost per labor dollar (line 3 / line 4)</t>
  </si>
  <si>
    <t>PBOP Expense for current year (line 5 * line 6)</t>
  </si>
  <si>
    <t>(Note F)</t>
  </si>
  <si>
    <t>ADIT Transmission Total (including Plant &amp; Labor Related Transmission ADITs and applicable transmission adjustments from notes below)</t>
  </si>
  <si>
    <t>TEC Revenue Requirement True-up with Interest</t>
  </si>
  <si>
    <t>True-up Adjustment Principal
Over/(Under)</t>
  </si>
  <si>
    <t>Applicable Interest Rate on 
Over/(Under)</t>
  </si>
  <si>
    <t xml:space="preserve">Total FirstEnergy PBOP expenses </t>
  </si>
  <si>
    <t>Labor dollars (FirstEnergy)</t>
  </si>
  <si>
    <t>Company Records</t>
  </si>
  <si>
    <t>207.74.g</t>
  </si>
  <si>
    <t xml:space="preserve">GROSS REV. REQUIREMENT </t>
  </si>
  <si>
    <t xml:space="preserve">  Preferred Stock  (112.3d) (Attachment 8, Line 14, Col. 2) (Note X)</t>
  </si>
  <si>
    <t xml:space="preserve">  Common Stock Attachment 8, Line 14, Col. 6) (Note X)</t>
  </si>
  <si>
    <t>Reserve for Depreciation of Asset Retirement Costs</t>
  </si>
  <si>
    <t>Balance excludes Asset Retirements Costs</t>
  </si>
  <si>
    <t>Balance excludes reserve for depreciation of asset retirement costs</t>
  </si>
  <si>
    <t>ADIT Total Transmission-related only, including Plant &amp; Labor Related Transmission ADITs (prior to adjusments from notes below)</t>
  </si>
  <si>
    <t>Beginning 283 Including adjustments)</t>
  </si>
  <si>
    <t>Q1 Activity</t>
  </si>
  <si>
    <t>Ending Q1</t>
  </si>
  <si>
    <t>Q2 Activity</t>
  </si>
  <si>
    <t xml:space="preserve">Ending Q2 </t>
  </si>
  <si>
    <t>Q3 Activity</t>
  </si>
  <si>
    <t xml:space="preserve">Ending Q3 </t>
  </si>
  <si>
    <t>Q4 Activity</t>
  </si>
  <si>
    <t>Ending Q4</t>
  </si>
  <si>
    <r>
      <t>Effective Cost Rate of Individual Debenture (YTM at issuance):  the t=0 Cashflow C</t>
    </r>
    <r>
      <rPr>
        <vertAlign val="subscript"/>
        <sz val="10"/>
        <rFont val="Arial"/>
        <family val="2"/>
      </rPr>
      <t xml:space="preserve">o </t>
    </r>
    <r>
      <rPr>
        <sz val="10"/>
        <rFont val="Arial"/>
        <family val="2"/>
      </rPr>
      <t>equals Net Proceeds column (gg); Semi-annual (or other) interest cashflows (C</t>
    </r>
    <r>
      <rPr>
        <vertAlign val="subscript"/>
        <sz val="10"/>
        <rFont val="Arial"/>
        <family val="2"/>
      </rPr>
      <t>t=1</t>
    </r>
    <r>
      <rPr>
        <sz val="10"/>
        <rFont val="Arial"/>
        <family val="2"/>
      </rPr>
      <t>, C</t>
    </r>
    <r>
      <rPr>
        <vertAlign val="subscript"/>
        <sz val="10"/>
        <rFont val="Arial"/>
        <family val="2"/>
      </rPr>
      <t>t=2</t>
    </r>
    <r>
      <rPr>
        <sz val="10"/>
        <rFont val="Arial"/>
        <family val="2"/>
      </rPr>
      <t>, etc.).</t>
    </r>
  </si>
  <si>
    <t>Transmission Enhancement Charge (TEC) Worksheet</t>
  </si>
  <si>
    <t>TEC Worksheet Support</t>
  </si>
  <si>
    <t>TEC - True-up</t>
  </si>
  <si>
    <t>205.44.g</t>
  </si>
  <si>
    <t>[D] Company records</t>
  </si>
  <si>
    <t>Removes transmission plant determined by Commission order to be state-jurisdictional according to the seven-factor test (until Form 1 balances are adjusted to reflect application of seven-factor test).</t>
  </si>
  <si>
    <t>Col d, line 2 / Col. d, line 3</t>
  </si>
  <si>
    <t>Removes dollar amount of transmission expenses included in the OATT ancillary services rates, including Account Nos. 561.1 - 561.3, and 561.BA., and related to generation step-up facilities, which are deemed included in OATT ancillary services.  For these purposes, generation step-up facilities are those facilities at a generator substation on which there is no through-flow when the generator is shut down.</t>
  </si>
  <si>
    <t>Lines 3-4 cannot change absent a Section 205 or 206 filing approved or accepted by FERC in a separate proceeding</t>
  </si>
  <si>
    <t>COLUMN A</t>
  </si>
  <si>
    <t>COLUMN B</t>
  </si>
  <si>
    <t>COLUMN C</t>
  </si>
  <si>
    <t>COLUMN D</t>
  </si>
  <si>
    <t>COLUMN E</t>
  </si>
  <si>
    <t>COLUMN F</t>
  </si>
  <si>
    <t>Description</t>
  </si>
  <si>
    <r>
      <t xml:space="preserve">(col. cc + col. dd </t>
    </r>
    <r>
      <rPr>
        <sz val="12"/>
        <color rgb="FFFF0000"/>
        <rFont val="Arial"/>
        <family val="2"/>
      </rPr>
      <t>-</t>
    </r>
    <r>
      <rPr>
        <sz val="12"/>
        <rFont val="Arial"/>
        <family val="2"/>
      </rPr>
      <t xml:space="preserve"> col. ee </t>
    </r>
    <r>
      <rPr>
        <sz val="12"/>
        <color rgb="FFFF0000"/>
        <rFont val="Arial"/>
        <family val="2"/>
      </rPr>
      <t>-</t>
    </r>
    <r>
      <rPr>
        <sz val="12"/>
        <rFont val="Arial"/>
        <family val="2"/>
      </rPr>
      <t xml:space="preserve"> col. ff)</t>
    </r>
  </si>
  <si>
    <t>ARAM</t>
  </si>
  <si>
    <t>Protected (P)  Non-Protected (N)</t>
  </si>
  <si>
    <t>PTRR</t>
  </si>
  <si>
    <t>Page 1, B+D+F+H</t>
  </si>
  <si>
    <t>Page 1, row 3,7,11 Column A+B+D+F+H</t>
  </si>
  <si>
    <t>A-C</t>
  </si>
  <si>
    <t>D-E</t>
  </si>
  <si>
    <t>Account</t>
  </si>
  <si>
    <t xml:space="preserve">Projected Activity </t>
  </si>
  <si>
    <t>Prorated Ending Balance</t>
  </si>
  <si>
    <t>Prorated - Estimated End (Before Adjustments)</t>
  </si>
  <si>
    <t>Sum of end ADIT Adjustments</t>
  </si>
  <si>
    <t>Total Account 190</t>
  </si>
  <si>
    <t>Total Account 282</t>
  </si>
  <si>
    <t>Total Account 283</t>
  </si>
  <si>
    <t>Total ADIT Subject to Normalization</t>
  </si>
  <si>
    <t xml:space="preserve"> Notes:</t>
  </si>
  <si>
    <t>ATRR</t>
  </si>
  <si>
    <t>Page 1, row 4,8,12 column   A+B+D+F+H</t>
  </si>
  <si>
    <t>H-J</t>
  </si>
  <si>
    <t>D-K</t>
  </si>
  <si>
    <t>E-M</t>
  </si>
  <si>
    <t>K+L-M-N</t>
  </si>
  <si>
    <t>Actual Activity</t>
  </si>
  <si>
    <t>Prorated - Actual End (Before Adjustments)</t>
  </si>
  <si>
    <t>Prorated Activity  Not Projected</t>
  </si>
  <si>
    <t>ADIT Adjustments not projected</t>
  </si>
  <si>
    <t>1. Attachment 5c will only be populated within the ATRR</t>
  </si>
  <si>
    <t>Page 1, row 2,4,6 Column A+B+D+F+H</t>
  </si>
  <si>
    <t>J-L</t>
  </si>
  <si>
    <t>M-N</t>
  </si>
  <si>
    <t>Line 7= J-N-O                               Lines 8-9= -J+N+O</t>
  </si>
  <si>
    <t>Beginning 190 (including adjustments)</t>
  </si>
  <si>
    <t xml:space="preserve">Beginning 282 (including adjustments) </t>
  </si>
  <si>
    <t xml:space="preserve">Beginning 283 Including adjustments) </t>
  </si>
  <si>
    <t xml:space="preserve">Beginning 190 (including adjustments) </t>
  </si>
  <si>
    <t>Years Remaining at Year End</t>
  </si>
  <si>
    <t>Total FirstEnergy PBOP expenses</t>
  </si>
  <si>
    <t>1. Attachment 5b will only be populated within the PTRR</t>
  </si>
  <si>
    <t>354.24, 354.25, 354.26.b</t>
  </si>
  <si>
    <t>Normalization [F]</t>
  </si>
  <si>
    <t>[F]</t>
  </si>
  <si>
    <t>Sourced from Attachment 5b, page 1, col. O for PTRR &amp; Attachment 5C, page 2, col. O for ATRR</t>
  </si>
  <si>
    <t>Attachment 5, Line 1, Col. 1 (Notes C, F)</t>
  </si>
  <si>
    <t>Attachment 5, Line 1, Col. 3 (Notes C, F)</t>
  </si>
  <si>
    <t>Attachment 5, Line 1, Col. 4 (Notes C, F)</t>
  </si>
  <si>
    <t>Attachment 5, Line 1, Col. 5 (Notes C, F)</t>
  </si>
  <si>
    <t>Line 1= A-E-F                               Lines 2-3= -A+E+F</t>
  </si>
  <si>
    <t>Line 5= H-M-O                               Lines 6-7= -H+M+O</t>
  </si>
  <si>
    <t>Operation and Maintenance Expenses</t>
  </si>
  <si>
    <t>Account Reference</t>
  </si>
  <si>
    <t>Operation</t>
  </si>
  <si>
    <t>Operation Supervision and Engineering</t>
  </si>
  <si>
    <t>Load Dispatch-Reliability</t>
  </si>
  <si>
    <t>Load Dispatch-Monitor and Operate Transmission System</t>
  </si>
  <si>
    <t>Load-Dispatch-Transmission Service and Scheduling</t>
  </si>
  <si>
    <t>Scheduling, System Control and Dispatch Services</t>
  </si>
  <si>
    <t>Reliability, Planning and Standards Development</t>
  </si>
  <si>
    <t>Transmission Service Studies</t>
  </si>
  <si>
    <t>Generation Interconnection Studies</t>
  </si>
  <si>
    <t>Reliability, Planning and Standards Development Services</t>
  </si>
  <si>
    <t>Station Expenses</t>
  </si>
  <si>
    <t>Overhead Lines Expense</t>
  </si>
  <si>
    <t>Underground Lines Expense</t>
  </si>
  <si>
    <t>Transmission of Electricity by Others</t>
  </si>
  <si>
    <t>Miscellaneous Transmission Expense</t>
  </si>
  <si>
    <t>Rents</t>
  </si>
  <si>
    <t>TOTAL Operation (Enter Total of Lines 83 thru 98)</t>
  </si>
  <si>
    <t>Maintenance</t>
  </si>
  <si>
    <t>Maintenance Supervision and Engineering</t>
  </si>
  <si>
    <t>Maintenance of Structures</t>
  </si>
  <si>
    <t>Maintenance of Computer Hardware</t>
  </si>
  <si>
    <t>Maintenance of Computer Software</t>
  </si>
  <si>
    <t>Maintenance of Communication Equipment</t>
  </si>
  <si>
    <t>Maintenance of Miscellaneous Regional Transmission Plant</t>
  </si>
  <si>
    <t>Maintenance of Station Equipment</t>
  </si>
  <si>
    <t>Maintenance of Overhead Lines</t>
  </si>
  <si>
    <t>Maintenance of Underground Lines</t>
  </si>
  <si>
    <t>Maintenance of Miscellaneous Transmission Plant</t>
  </si>
  <si>
    <t>TOTAL Maintenance (Total of lines 101 thru 110)</t>
  </si>
  <si>
    <t>December balances as would be reported in FERC Form 1</t>
  </si>
  <si>
    <t>Administrative and General (A&amp;G) Expenses</t>
  </si>
  <si>
    <t>Administrative and General Salaries</t>
  </si>
  <si>
    <t>Office Supplies and Expenses</t>
  </si>
  <si>
    <t>Less 922</t>
  </si>
  <si>
    <t>Administrative Expenses Transferred - Credit</t>
  </si>
  <si>
    <t>Outside Services Employed</t>
  </si>
  <si>
    <t>Property Insurance</t>
  </si>
  <si>
    <t>Injuries and Damages</t>
  </si>
  <si>
    <t>Employee Pensions and Benefits</t>
  </si>
  <si>
    <t>Franchise Requirements</t>
  </si>
  <si>
    <t>Regulatory Commission Expense</t>
  </si>
  <si>
    <t>Less 929</t>
  </si>
  <si>
    <t>(Less) Duplicate Charges-Cr.</t>
  </si>
  <si>
    <t>General Advertising Expenses</t>
  </si>
  <si>
    <t>Miscellaneous General Expenses</t>
  </si>
  <si>
    <t>Total Operation (Enter Total of lines 181 thru 193)</t>
  </si>
  <si>
    <t>Maintenance of General Plant</t>
  </si>
  <si>
    <t>Note: (1)</t>
  </si>
  <si>
    <t>TOTAL Transmission Expenses (Total of lines 99 and 111)</t>
  </si>
  <si>
    <t>TOTAL A&amp;G Expenses (Total of lines 194 and 196)</t>
  </si>
  <si>
    <t xml:space="preserve">cost per labor dollar </t>
  </si>
  <si>
    <t>FF1 Page 321 Line No.</t>
  </si>
  <si>
    <t>Account Balance [A]</t>
  </si>
  <si>
    <t xml:space="preserve">FF1 Page 323 Line No. </t>
  </si>
  <si>
    <t>Account Balance [B]</t>
  </si>
  <si>
    <t>Estimated  Ending Balance (Before Adjustments)</t>
  </si>
  <si>
    <t>Ending ADIT Balance Included in Formula Rate</t>
  </si>
  <si>
    <t>Normalization</t>
  </si>
  <si>
    <t>Actual  Ending Balance (Before Adjustments)</t>
  </si>
  <si>
    <t>Other: [H]</t>
  </si>
  <si>
    <t>[H]</t>
  </si>
  <si>
    <t>Include any additional adjustments to ADIT items as may be recognized in the future to be proper for PTRR/ATRR calculation purposes.</t>
  </si>
  <si>
    <t>(A)</t>
  </si>
  <si>
    <t>PJM Bill</t>
  </si>
  <si>
    <t>Month</t>
  </si>
  <si>
    <t>-</t>
  </si>
  <si>
    <t>Attachment 13b line 26, col E</t>
  </si>
  <si>
    <t>Return with incentive adder</t>
  </si>
  <si>
    <t>Income Tax with incentive adder</t>
  </si>
  <si>
    <t>Line 22</t>
  </si>
  <si>
    <t>Line 33</t>
  </si>
  <si>
    <t>Return and income taxes without adder</t>
  </si>
  <si>
    <t>Excess and Deficient ADIT</t>
  </si>
  <si>
    <t>Income Tax Adjustments Worksheet</t>
  </si>
  <si>
    <t>COLUMN G</t>
  </si>
  <si>
    <t>COLUMN H</t>
  </si>
  <si>
    <t>(Excess)/Deficient ADIT Transmission - Beg Balance of Year
(Note B)</t>
  </si>
  <si>
    <t>Current Period Other Activity
(Note C)</t>
  </si>
  <si>
    <t>Amortization Period 
(Note D)</t>
  </si>
  <si>
    <t>Amortization
(Note E)</t>
  </si>
  <si>
    <t>(Excess)/Deficient ADIT Transmission - Ending Balance of Year
(Note F)
(Col. B + Col. C) - Col. F</t>
  </si>
  <si>
    <t>Non-property (Note A):</t>
  </si>
  <si>
    <t>Account 190</t>
  </si>
  <si>
    <t>Account 282</t>
  </si>
  <si>
    <t>Account 283</t>
  </si>
  <si>
    <t>Non-property gross up for Taxes</t>
  </si>
  <si>
    <t xml:space="preserve">Total Non-Property </t>
  </si>
  <si>
    <t>(Excess)/Deficient ADIT Transmission - Beginning Balance of Year
(Note B)</t>
  </si>
  <si>
    <t>Property (Note A):</t>
  </si>
  <si>
    <t>Total Property (Total of lines 6 thru 9)</t>
  </si>
  <si>
    <t>Amortized Excess/Deficient ADITs  (Note C)</t>
  </si>
  <si>
    <t>Total Non-Property &amp; Property Amortization, excluding gross up for taxes (Total of lines 1-3,6-8 and 11) (Note G)</t>
  </si>
  <si>
    <t>Beginning balance of year is the end of the prior year balance as reflected on FERC Form No. 1, pages 232 (Account 182.3) and 278 (Account 254)</t>
  </si>
  <si>
    <t>In the event the Company populates the data enterable fields, it will support the data entered as just and reasonable in its annual update</t>
  </si>
  <si>
    <t>The amortization periods shall be consistent with the following:</t>
  </si>
  <si>
    <t>Protected Property &amp; Non-Protected Property:</t>
  </si>
  <si>
    <t>ARAM, or directly assigned based on average remaining life of assets for property items not in PowerTax</t>
  </si>
  <si>
    <t>Protected Non-Property &amp; Non-Protected Non-Property will be directly assigned and presented in the table above</t>
  </si>
  <si>
    <t>Ending balance of year is the end of current year balance, as reflected on FERC Form No. 1, pages 232 (Account 182.3) and 278 (Account 254)</t>
  </si>
  <si>
    <t>Ln.</t>
  </si>
  <si>
    <t>Project ID</t>
  </si>
  <si>
    <t>Text Description</t>
  </si>
  <si>
    <t>January 31</t>
  </si>
  <si>
    <t>February 28/29</t>
  </si>
  <si>
    <t>March 31</t>
  </si>
  <si>
    <t>April 30</t>
  </si>
  <si>
    <t>May 31</t>
  </si>
  <si>
    <t>June 30</t>
  </si>
  <si>
    <t>July 31</t>
  </si>
  <si>
    <t>August 31</t>
  </si>
  <si>
    <t>September 30</t>
  </si>
  <si>
    <t>October 31</t>
  </si>
  <si>
    <t>November 30</t>
  </si>
  <si>
    <t>Average (a)</t>
  </si>
  <si>
    <t>[Placeholder 1]</t>
  </si>
  <si>
    <t>[Placeholder 2]</t>
  </si>
  <si>
    <t>Total CWIP in Rate Base</t>
  </si>
  <si>
    <t>Incentive ROE NITS Worksheet Support</t>
  </si>
  <si>
    <t>Additional Annual Allocation Factor for Income Taxes and Return</t>
  </si>
  <si>
    <t>Return and income taxes with ROE adder</t>
  </si>
  <si>
    <t>Plus any increased ROE adder incentive NITS</t>
  </si>
  <si>
    <t>Plus any increased ROE adder incentive TEC</t>
  </si>
  <si>
    <t>ROE Basis Pts adder</t>
  </si>
  <si>
    <t>Incremental return and income taxes</t>
  </si>
  <si>
    <t>Attach 2a Line 33 / Page 2, Line 14, Col. 5</t>
  </si>
  <si>
    <t>Attach 2a Line 22 / Page 2, Line 14, Col. 5</t>
  </si>
  <si>
    <t xml:space="preserve">  Unamortized Regulatory asset</t>
  </si>
  <si>
    <r>
      <t xml:space="preserve">Tax Effect of Permanent Differences and AFUDC Equity </t>
    </r>
    <r>
      <rPr>
        <strike/>
        <sz val="12"/>
        <rFont val="Times New Roman"/>
        <family val="1"/>
      </rPr>
      <t xml:space="preserve"> </t>
    </r>
  </si>
  <si>
    <t xml:space="preserve">(Excess)/Deficient Deferred Income Taxes </t>
  </si>
  <si>
    <t>Line 37 / Line 38</t>
  </si>
  <si>
    <t>Projected
Attachment 11
p 2 of 2, col. 15</t>
  </si>
  <si>
    <t>Actual
Attachment 11
p 2 of 2, col. 15</t>
  </si>
  <si>
    <t>Attachment 11, Page 2, Line 3, Col. 13</t>
  </si>
  <si>
    <t>1e</t>
  </si>
  <si>
    <t>1f</t>
  </si>
  <si>
    <t>ANNUAL ALLOCATION FACTOR CALCULATION (Note A)</t>
  </si>
  <si>
    <t>(Sum Col. 10 &amp; 12)</t>
  </si>
  <si>
    <t xml:space="preserve">(Sum Col. 13 &amp; 14) </t>
  </si>
  <si>
    <t>ROE Basis Pts Adder for Incentive Projects</t>
  </si>
  <si>
    <t>Total True-up Adjustment with Interest
Over/(Under)</t>
  </si>
  <si>
    <t xml:space="preserve">[A] [C] </t>
  </si>
  <si>
    <t>Monthly Amort. Expense</t>
  </si>
  <si>
    <t>Yearly Amort. Expense</t>
  </si>
  <si>
    <t>Beginning of Amortization Period</t>
  </si>
  <si>
    <t>Amortization Period (months)</t>
  </si>
  <si>
    <t>Project Name (A)</t>
  </si>
  <si>
    <t>Amortization Amount (B)</t>
  </si>
  <si>
    <t>Average (D)</t>
  </si>
  <si>
    <t>Return (E)</t>
  </si>
  <si>
    <t>Income Tax on Return (F)</t>
  </si>
  <si>
    <t>Revenue Requirement (G) (H)</t>
  </si>
  <si>
    <t>Year (C)</t>
  </si>
  <si>
    <t>(C) Enter the year of amortization starting with 1 for the year the amortization begins and increment by 1 for every subsequent year until the amoritization period ends</t>
  </si>
  <si>
    <t>Months Remaining at year beginning</t>
  </si>
  <si>
    <t>CC</t>
  </si>
  <si>
    <t>ROE Calculation</t>
  </si>
  <si>
    <t>Return and Taxes</t>
  </si>
  <si>
    <t>Return and Income taxes with ROE</t>
  </si>
  <si>
    <t>Annual Allocation Factor for Income taxes and Return (ROE)</t>
  </si>
  <si>
    <t>Incremental Return and Taxes</t>
  </si>
  <si>
    <t>Construction Work in Progress (b)</t>
  </si>
  <si>
    <t>(b) CWIP will not be included unless authorized by the Commission</t>
  </si>
  <si>
    <t>Project Gross Plant is the total capital investment for the project, including subsequent capital investments required to maintain the project in-service.  Utilizes a 13-month average.</t>
  </si>
  <si>
    <t>FirstEnergy 2019 Actuarial Study</t>
  </si>
  <si>
    <t>FirstEnergy 2019 Actual: Company Records</t>
  </si>
  <si>
    <t>Source (B)</t>
  </si>
  <si>
    <t>Amortization Amount (C)</t>
  </si>
  <si>
    <t>Year (D)</t>
  </si>
  <si>
    <t>Yearly Amort. Expense (E)</t>
  </si>
  <si>
    <t>Average (F)</t>
  </si>
  <si>
    <t>(E)</t>
  </si>
  <si>
    <t>(H) Revenue Requirement will not be billed until the year the amortization begins.Once a project is fully amortized, it will be removed from this attachment and will have no revenue requirement</t>
  </si>
  <si>
    <t>Cumulative Months Amortized by end of year</t>
  </si>
  <si>
    <t>Regulatory Asset Name (A)</t>
  </si>
  <si>
    <t>(B) Regulatory asset references to be noted based on FERC Page. Row. Col.#</t>
  </si>
  <si>
    <t>(C) Amortization Amount to be entered at year 0. For all future years, the beginning amount will be the ending balance from the previous year</t>
  </si>
  <si>
    <t>(D) Enter the year of amortization starting with 0 and increment by 1 for every subsequent year until the amoritization period ends</t>
  </si>
  <si>
    <t>Attachment 17, Line 3, Col P 216.b (Notes X &amp; Z)</t>
  </si>
  <si>
    <t>Annual MWh in AP Zone - Note B</t>
  </si>
  <si>
    <t>(B)</t>
  </si>
  <si>
    <t>(C)</t>
  </si>
  <si>
    <t>(D)</t>
  </si>
  <si>
    <t>NOTES</t>
  </si>
  <si>
    <t>Col. f - Col. g</t>
  </si>
  <si>
    <t>Col. h line 2x / Col. h line 3  * Col. j line 4</t>
  </si>
  <si>
    <t>Attachment 5, Line 1, Col. 2 (Notes C, F)</t>
  </si>
  <si>
    <t xml:space="preserve">     CIT=(T/(1-T)) * (1-(WCLTD/R)) =</t>
  </si>
  <si>
    <t xml:space="preserve">      1 / (1 - T) </t>
  </si>
  <si>
    <t>Company records</t>
  </si>
  <si>
    <t>FERC Account No. 190 is adjusted for the following items.</t>
  </si>
  <si>
    <t>NITS Charge Code (A)</t>
  </si>
  <si>
    <t>TEC Charge Code (A)</t>
  </si>
  <si>
    <t>True-up (B)</t>
  </si>
  <si>
    <t>Return with ROE</t>
  </si>
  <si>
    <t>Income Tax with ROE</t>
  </si>
  <si>
    <t>[C] Company records</t>
  </si>
  <si>
    <t>Utilize only in the instance there exists Commision approved ROE incentive projects</t>
  </si>
  <si>
    <t>(A) Amounts represent a subset of the total PJM bill for the entire AP Zone</t>
  </si>
  <si>
    <t>The amortization of the tax reg asset/liability will occur through FERC income statement Accounts 410.1. and 411.1 for property and 410.1 for non-property</t>
  </si>
  <si>
    <t>Total Annual Allocation Factor for Income Taxes and Return (ROE)</t>
  </si>
  <si>
    <t>TOTAL GROSS PLANT (sum Lines 1-5)</t>
  </si>
  <si>
    <t>TOTAL ACCUM. DEPRECIATION  (sum Lines 7-11)</t>
  </si>
  <si>
    <t>(Line 1- Line 7)</t>
  </si>
  <si>
    <t>(Line 2- Line 8)</t>
  </si>
  <si>
    <t>(Line 3 - Line 9)</t>
  </si>
  <si>
    <t>(Line 4 - Line 10)</t>
  </si>
  <si>
    <t>(Line 5 - Line 11)</t>
  </si>
  <si>
    <t>TOTAL NET PLANT (sum Lines 13-17)</t>
  </si>
  <si>
    <t>TOTAL ADJUSTMENTS  (sum Lines 19-27)</t>
  </si>
  <si>
    <t>TOTAL WORKING CAPITAL  (sum Lines 31 - 33)</t>
  </si>
  <si>
    <t>RATE BASE  (sum Lines 18, 28, 29, &amp; 34)</t>
  </si>
  <si>
    <t>Attachment 7, Line 6z</t>
  </si>
  <si>
    <t>Attachment 2b, Line 2 (Note AA)</t>
  </si>
  <si>
    <t>Attachment 11, Line 4, col 12 (Note AA)</t>
  </si>
  <si>
    <t>Total transmission plant  (page 2, Line 2, column 3)</t>
  </si>
  <si>
    <t>Transmission plant included in ISO rates  (Line 1 less Lines 2 &amp; 3)</t>
  </si>
  <si>
    <t>Percentage of transmission plant included in ISO Rates  (Line 4 divided by Line 1)</t>
  </si>
  <si>
    <t>Total transmission expenses  (page 3, Line 1, column 3)</t>
  </si>
  <si>
    <t>Included transmission expenses  (Line 6 less Line 7)</t>
  </si>
  <si>
    <t>Percentage of transmission expenses after adjustment  (Line 8 divided by Line 6)</t>
  </si>
  <si>
    <t>Percentage of transmission plant included in ISO Rates  (Line 5)</t>
  </si>
  <si>
    <t>Percentage of transmission expenses included in ISO Rates  (Line 9 times Line 10)</t>
  </si>
  <si>
    <t xml:space="preserve">  Total  (sum Lines 12-15)</t>
  </si>
  <si>
    <t>(Line 17 / Line 20)</t>
  </si>
  <si>
    <t>(Line 16, col. 6)</t>
  </si>
  <si>
    <t xml:space="preserve">  Total  (sum Lines 17 - 19)</t>
  </si>
  <si>
    <t>General Note:  References to pages in this formulary rate are indicated as:  (page#, Line#, col.#)</t>
  </si>
  <si>
    <t>References to data from FERC Form 1 are indicated as:   #.y.x  (page, Line, column)</t>
  </si>
  <si>
    <t>Any actual ROE incentive must be approved by the Commission; therefore, Line will remain zero until a project(s) is granted an ROE incentive adder.</t>
  </si>
  <si>
    <t>Line 34 minus Attachment 2 Line 34</t>
  </si>
  <si>
    <t>Annual Allocation Factor for Income taxes and Return (scaled basis points adder)</t>
  </si>
  <si>
    <t>Total Annual Allocation Factor for Income Taxes and Return (scaled basis points adder)</t>
  </si>
  <si>
    <t>(page 4, Line 38)</t>
  </si>
  <si>
    <t>(page 4, Line 39)</t>
  </si>
  <si>
    <t>(page 4, Line 40)</t>
  </si>
  <si>
    <t>Return and Income taxes with scaled basis pts adder</t>
  </si>
  <si>
    <t xml:space="preserve">       where WCLTD=(page 4, Line 31) and R= (page 4, Line 34)</t>
  </si>
  <si>
    <t>Line 22 + Line 23</t>
  </si>
  <si>
    <t>Line 26 + Line 27</t>
  </si>
  <si>
    <t>Line 28 - Line 24</t>
  </si>
  <si>
    <t>Total  (sum Lines 31-33)</t>
  </si>
  <si>
    <t>Amortization of Regulatory Assets</t>
  </si>
  <si>
    <t>Amortization Account</t>
  </si>
  <si>
    <t>Attachment 19, Line 2, Col. K</t>
  </si>
  <si>
    <t>Attachment 19, Line 2, Col. Y (Note X)</t>
  </si>
  <si>
    <r>
      <t xml:space="preserve">  b. Bundled Sales for Resale </t>
    </r>
    <r>
      <rPr>
        <sz val="12"/>
        <color theme="1"/>
        <rFont val="Times New Roman"/>
        <family val="1"/>
      </rPr>
      <t>included in Divisor on page 1</t>
    </r>
  </si>
  <si>
    <t xml:space="preserve">DIVISOR </t>
  </si>
  <si>
    <t>1 Coincident Peak (CP) (MW)</t>
  </si>
  <si>
    <t>Average 12 CPs (MW)</t>
  </si>
  <si>
    <t>(Note CC)</t>
  </si>
  <si>
    <t>Annual Rate ($/MW/Yr)</t>
  </si>
  <si>
    <t>Peak Rate</t>
  </si>
  <si>
    <t>Off-Peak Rate</t>
  </si>
  <si>
    <t>Point-to-Point Rate ($/MW/Year)</t>
  </si>
  <si>
    <t>Point-to-Point Rate ($/MW/Month)</t>
  </si>
  <si>
    <t>Point-to-Point Rate ($/MW/Week)</t>
  </si>
  <si>
    <t>Point-to-Point Rate ($/MW/Day)</t>
  </si>
  <si>
    <t>Point-to-Point Rate ($/MWh)</t>
  </si>
  <si>
    <t>(Note BB)</t>
  </si>
  <si>
    <t>page 1 of 3</t>
  </si>
  <si>
    <t>ADIT Detail</t>
  </si>
  <si>
    <t>BALANCE AS</t>
  </si>
  <si>
    <t>ACCOUNT 255:</t>
  </si>
  <si>
    <t>TOTAL ACCOUNT 255</t>
  </si>
  <si>
    <t>ACCOUNT 282:</t>
  </si>
  <si>
    <t>TOTAL ACCOUNT 282</t>
  </si>
  <si>
    <t>ACCOUNT 283:</t>
  </si>
  <si>
    <t>TOTAL ACCOUNT 283</t>
  </si>
  <si>
    <t>ACCOUNT 190:</t>
  </si>
  <si>
    <t>TOTAL ACCOUNT 190</t>
  </si>
  <si>
    <t>BALANCE ENDING AS</t>
  </si>
  <si>
    <t>4B</t>
  </si>
  <si>
    <t>Gross Receipts Tax</t>
  </si>
  <si>
    <t xml:space="preserve">        Gross Receipts</t>
  </si>
  <si>
    <t>273.8.k</t>
  </si>
  <si>
    <t>275.2.k</t>
  </si>
  <si>
    <t xml:space="preserve">277.9.k </t>
  </si>
  <si>
    <t xml:space="preserve">234.8.c </t>
  </si>
  <si>
    <t xml:space="preserve">267.h </t>
  </si>
  <si>
    <t>[I]</t>
  </si>
  <si>
    <t>True-up adjustment is calculated on the project true-up schedule, attachment 12 column j. Enter values in Col. 14 as negative</t>
  </si>
  <si>
    <t>Attachment H-34A</t>
  </si>
  <si>
    <t>O&amp;M and A&amp;G</t>
  </si>
  <si>
    <t>Transmission O&amp;M Expense</t>
  </si>
  <si>
    <t>A&amp;G Expense</t>
  </si>
  <si>
    <t>Keystone Appalachian Transmission Company</t>
  </si>
  <si>
    <t>Enter Commission approved project specific ROE incentive basis points adder, which is a scaled factor against a 100 to derive the approved percentage adder</t>
  </si>
  <si>
    <t>3. Depreciation Rates (1)</t>
  </si>
  <si>
    <t>** This Total Weighted Average Debt Cost will be shown on page 4, line 31, column 5 of formula rate Attachment H-34A</t>
  </si>
  <si>
    <t>GROSS REVENUE REQUIREMENT [page 3, Line 39, col 5]</t>
  </si>
  <si>
    <t>Attachment 3, Line 14, Col. 2 (Notes U &amp; X)</t>
  </si>
  <si>
    <t>Attachment 3, Line 14, Col. 4 &amp; 5 (Notes U &amp; X)</t>
  </si>
  <si>
    <t>Attachment 3, Line 14, Col. 6 (Notes U &amp; X)</t>
  </si>
  <si>
    <t>Attachment 4, Line 14, Col. 2 (Notes U &amp; X)</t>
  </si>
  <si>
    <t>Attachment 4, Line 14, Col. 4 &amp; 5 (Notes U &amp; X)</t>
  </si>
  <si>
    <t>Attachment 4, Line 14, Col. 6 (Notes U &amp; X)</t>
  </si>
  <si>
    <t>Attachment 6, Line 9 (Note C)</t>
  </si>
  <si>
    <t>TOTAL O&amp;M and A&amp;G  (sum Lines 1, 4, 7, 8, 9, 10 less 2, 3, 5, 6)</t>
  </si>
  <si>
    <t>TOTAL DEPRECIATION  (sum Lines 12, 13, 14)</t>
  </si>
  <si>
    <t>TOTAL OTHER TAXES  (sum Lines 16 - 22)</t>
  </si>
  <si>
    <t xml:space="preserve">      1 / (1 - T)  (from Line 24)</t>
  </si>
  <si>
    <t>Income Tax Calculation = Line 25 * Line 35</t>
  </si>
  <si>
    <t>ITC adjustment (Line 26 * Line 27)</t>
  </si>
  <si>
    <t>Permanent Differences and AFUDC Equity Tax Adjustment (Line 26 * Line 28)</t>
  </si>
  <si>
    <t>(Excess)/Deficient Deferred Income Tax Adjustment (Line 26 * Line 29)</t>
  </si>
  <si>
    <t>sum Lines 30 through 33</t>
  </si>
  <si>
    <t>(sum Lines 36, 37, 38)</t>
  </si>
  <si>
    <t>Page 3, Line 34, Col. 5 / Page 2, Line 14, Col. 5</t>
  </si>
  <si>
    <t>Page 3, Line 35, Col. 5 / Page 2, Line 14, Col. 5</t>
  </si>
  <si>
    <t xml:space="preserve">The balances in accounts 190 281, 282, and 283 shall be adjusted for items as listed on Attachment 5.  For example, any and all amounts in contra accounts identified as regulatory assets or liabilities related to FASB 106 or 109 should be excluded.  The balance of Account 255 is reduced by prior flow throughs and excluded if the utility chose to utilize amortization of tax credits against taxable income as discussed in Note K.  Account 281 is not allocated. </t>
  </si>
  <si>
    <t xml:space="preserve">Line 6 - EPRI Annual Membership Dues listed in Form 1 at 353.f, all Regulatory Commission Expenses itemized at 351.h, and non-safety related advertising included in Account 930.1.  Line 7 - Regulatory Commission Expenses directly related to transmission service, ISO filings, or transmission siting itemized at 351.h. </t>
  </si>
  <si>
    <r>
      <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t>
    </r>
    <r>
      <rPr>
        <sz val="12"/>
        <color theme="1"/>
        <rFont val="Times New Roman"/>
        <family val="1"/>
      </rPr>
      <t xml:space="preserve"> (page 3, Line 26).</t>
    </r>
  </si>
  <si>
    <t>Attachment H-34A, Page 4, Line 7</t>
  </si>
  <si>
    <t>Attachment H-34A, page 2, Line 35, Col. 5</t>
  </si>
  <si>
    <t>Attachment H-34A, page 4, Line 30, Col. 6</t>
  </si>
  <si>
    <t>Attachment H-34A, page 4, Line 31, Col. 3</t>
  </si>
  <si>
    <t>Attachment H-34A, page 4, Line 32, Col. 3</t>
  </si>
  <si>
    <t>Attachment H-34A, page 4, Line 33, Col. 3</t>
  </si>
  <si>
    <t>Attachment H-34A, page 4, Line 34, Col. 3</t>
  </si>
  <si>
    <t>Attachment H-34A, page 4, Line 31, Col. 4</t>
  </si>
  <si>
    <t>Attachment H-34A, page 4, Line 32, Col. 4</t>
  </si>
  <si>
    <t>Attachment H-34A, page 4, Line 33, Col. 4</t>
  </si>
  <si>
    <t>Attachment H-34A, page 4, Line 31, Col. 5</t>
  </si>
  <si>
    <t>Attachment H-34A, page 4, Line 32, Col. 5</t>
  </si>
  <si>
    <t>Attachment H-34A, page 4, Line 33, Col. 5</t>
  </si>
  <si>
    <t>Attachment H-34A, page 3, Line 24, Col. 3</t>
  </si>
  <si>
    <t>Attachment H-34A, page 3, Line 26, Col. 3</t>
  </si>
  <si>
    <t>Attachment H-34A, page 3, Line 27, Col. 3</t>
  </si>
  <si>
    <t>Attachment H-34A, page 3, Line 28, Col. 3</t>
  </si>
  <si>
    <t>Attachment H-34A, page 3, Line 29, Col. 3</t>
  </si>
  <si>
    <t>Attachment H-34A, page 3, Line 31, Col. 5</t>
  </si>
  <si>
    <t>Attachment H-34A, page 3, Line 32, Col. 5</t>
  </si>
  <si>
    <t>Attachment H-34A, page 3, Line 33, Col. 5</t>
  </si>
  <si>
    <t>Attachment H-34A, Page 3, Line 35, Col. 5</t>
  </si>
  <si>
    <t>Attachment H-34A, Page 3, Line 34, Col. 5</t>
  </si>
  <si>
    <t>Attachment H-34A, page 4, Line 33, Col. 5 plus 100 bps (Note A)</t>
  </si>
  <si>
    <t>Line 17 will reflect the ROE, as reflected on Attachment H-34A, Page 4, Line 33, Col. 5</t>
  </si>
  <si>
    <t>Taken to Attachment H-34A, page 2, Lines 1-5, Col. 3</t>
  </si>
  <si>
    <t>Taken to Attachment H-34A, page 2, Lines 7-11, Col. 3</t>
  </si>
  <si>
    <t>Year-end balance with adjustments for FAS143, FAS106, FAS109, CIACs and normalization to populate Attachment H-34A, page 2, Lines 19-23, col. 3 for accounts 281, 282, 283, 190, and 255, respectively</t>
  </si>
  <si>
    <t>See Attachment H-34A, page 5, note K; A utility that elected to utilize amortization of tax credits against taxable income, rather than book tax credits to Account No. 255 and reduce rate base, must reduce its income tax expense by the amount of the Amortized Investment Tax Credit (Form 1, 266.8.f).</t>
  </si>
  <si>
    <t>page 2 of 3</t>
  </si>
  <si>
    <t>page 3 of 3</t>
  </si>
  <si>
    <t>PBOP Adjustment for Attachment H-34A, page 3, line 8 (line 7 - line 8)</t>
  </si>
  <si>
    <t>Attach. H-34A, p. 2, line 2, col. 5 (Note A)</t>
  </si>
  <si>
    <t>Attach. H-34A, p. 2, line 14, col. 5 (Note B)</t>
  </si>
  <si>
    <t>Attach. H-34A, p. 3, line 11, col. 5</t>
  </si>
  <si>
    <t>Attach. H-34A, p. 3, lines 13 &amp; 14, col. 5</t>
  </si>
  <si>
    <t>Attach. H-34A, p. 3, line 23, col. 5</t>
  </si>
  <si>
    <t>Attach. H-34A, p. 3, line 34, col. 5</t>
  </si>
  <si>
    <t>Attach. H-34A, p. 3, line 35, col. 5</t>
  </si>
  <si>
    <t xml:space="preserve">Gross Transmission Plant is that identified on page 2 line 2 of Attachment H-34A. </t>
  </si>
  <si>
    <t>Net Transmission Plant is that identified on page 2 line 14 of Attachment H-34A.</t>
  </si>
  <si>
    <t>Project Depreciation Expense is the actual value booked for the project and included in the Depreciation Expense in Attachment H-34A, page 3, line 12.</t>
  </si>
  <si>
    <t>Page 2 Col. 6 *(Attachment H-34A, Page 4, line 29 *(Page 2, Col. 11/100))</t>
  </si>
  <si>
    <t>Col. A*((Attachment H-34A, Page 4, Line 29, Col. 6)*Col. B/100+Attachment H-34A, Page 4, Line 24, Col. 6)</t>
  </si>
  <si>
    <t>To be completed in conjunction with Attachment H-34A</t>
  </si>
  <si>
    <t>Abandoned Plant</t>
  </si>
  <si>
    <t>Construction Work in Progress</t>
  </si>
  <si>
    <t>(E) Column O * Attachment H-34A, page 4, line 34, col. 6</t>
  </si>
  <si>
    <t>(G) Column A + Column P + Column Q</t>
  </si>
  <si>
    <t>(F) Column P * Attachment H-34A, page 3, line 25, col 3</t>
  </si>
  <si>
    <r>
      <t xml:space="preserve">(D) Average calculated as [Sum of Columns (B) through (N)] </t>
    </r>
    <r>
      <rPr>
        <sz val="12"/>
        <rFont val="Calibri"/>
        <family val="2"/>
      </rPr>
      <t>÷</t>
    </r>
    <r>
      <rPr>
        <sz val="12"/>
        <rFont val="Times New Roman"/>
        <family val="1"/>
      </rPr>
      <t xml:space="preserve"> 13</t>
    </r>
  </si>
  <si>
    <r>
      <t xml:space="preserve">(a) Average calculated as [Sum of Columns (C) through (O)] </t>
    </r>
    <r>
      <rPr>
        <sz val="12"/>
        <rFont val="Calibri"/>
        <family val="2"/>
      </rPr>
      <t>÷</t>
    </r>
    <r>
      <rPr>
        <sz val="12"/>
        <rFont val="Times New Roman"/>
        <family val="1"/>
      </rPr>
      <t xml:space="preserve"> 13.</t>
    </r>
  </si>
  <si>
    <t>(entered on Attachment H-34A,
page 5 of 5, Note K)</t>
  </si>
  <si>
    <t>Regulatory Assets</t>
  </si>
  <si>
    <t>Sourced from Attachment 5a, pages 1-3, Col. B</t>
  </si>
  <si>
    <t>(Note H)</t>
  </si>
  <si>
    <t>Col. A * Attachment H-34A, Page 4, Line 24, Col. 6</t>
  </si>
  <si>
    <t>Taken to Attachment H-34A, Page 3, Line 37, Col. 3</t>
  </si>
  <si>
    <t xml:space="preserve">[H] </t>
  </si>
  <si>
    <t xml:space="preserve">Utilizes a 13-month average.       </t>
  </si>
  <si>
    <t>Additional TEC Incentive Revenue taken to Attachment H-34A, Page 3, Line 38, Col. 3</t>
  </si>
  <si>
    <t>As provided by PJM and in effect at the time of the annual rate calculations pursuant to Section 34.1 of the PJM OATT. Includes CP for the AP Zone.</t>
  </si>
  <si>
    <t>Peak as would be reported on page 401, column d of Form 1 at the time of AP Zonal peak for the twelve month period ending October 31 of the calendar year used to calculate rates.   The projection year will utilize the most recent preceding 12-month period at the time of the filing.</t>
  </si>
  <si>
    <t>Revenues received pursuant to PJM Schedule 1A revenue allocation procedures for transmission service outside of AP Zone during the year used to calculate rates under Attachment H-34A</t>
  </si>
  <si>
    <t>(Notes C &amp; D)</t>
  </si>
  <si>
    <t>(Attachment 15, Line 12, Col. F) (Notes C &amp; E)</t>
  </si>
  <si>
    <t>labor (labor not capitalized) current year</t>
  </si>
  <si>
    <t>PBOP expense in Account 926 for current year</t>
  </si>
  <si>
    <t xml:space="preserve">KATCo's ROE is set to: </t>
  </si>
  <si>
    <t>Load expressed in MWh consistent with load used for billing under Schedule 1A for the AP Zone.  Data from RTO settlement systems for the calendar year prior to the rate year.</t>
  </si>
  <si>
    <t>Keystone Appalachian Transmission Company Labor: Company Records</t>
  </si>
  <si>
    <t>Keystone Appalachian Transmission Company Account 926: Company Records</t>
  </si>
  <si>
    <t>Annual allocation factor is utilized to calculate the incremental income tax and return for a scaled basis points adder to the ROE and will be utilized only in the instance there exists Commission approved ROE incentive projects; else there will exist no incremental income tax and return.</t>
  </si>
  <si>
    <t>Line 17 - ROE adder is a scaling factor to calculate the incremental return and income taxes, which will be utilized to calculate additional revenue requirement only in the instance there exists Commission approved ROE incentive projects.</t>
  </si>
  <si>
    <t xml:space="preserve">  Section 30.9 credits</t>
  </si>
  <si>
    <t>(page 4, Line 41)</t>
  </si>
  <si>
    <t xml:space="preserve">  Other Revenue credits</t>
  </si>
  <si>
    <t>(page 4, Line 42)</t>
  </si>
  <si>
    <t>40 a</t>
  </si>
  <si>
    <t>Firm Point-to-Point</t>
  </si>
  <si>
    <t>40 b</t>
  </si>
  <si>
    <t xml:space="preserve">Other </t>
  </si>
  <si>
    <t>SECTION 30.9 CREDITS</t>
  </si>
  <si>
    <t>OTHER REVENUE CREDITS</t>
  </si>
  <si>
    <t>NITS Revenue Requirement True-up with Interest</t>
  </si>
  <si>
    <t>(F)</t>
  </si>
  <si>
    <t>20-Months Average Interest Rate (a)</t>
  </si>
  <si>
    <t>True-Up Adj.</t>
  </si>
  <si>
    <t>Compounding</t>
  </si>
  <si>
    <t>Year 1 True-Up Adjustment + Interest</t>
  </si>
  <si>
    <t>Year 2 True-Up Adjustment + Interest</t>
  </si>
  <si>
    <t>Principle Amortization</t>
  </si>
  <si>
    <t>Interest Amortization</t>
  </si>
  <si>
    <t>Year 3 Monthly Amortization</t>
  </si>
  <si>
    <t>Year 3 True-Up Adjustment + Interest</t>
  </si>
  <si>
    <t>Total Amount Refunded/Surcharged</t>
  </si>
  <si>
    <t>True-Up Before Interest</t>
  </si>
  <si>
    <t>Interest Refunded/Surcharged</t>
  </si>
  <si>
    <t>Base Over (Under) Recovery</t>
  </si>
  <si>
    <t>Total Over (Under) Recovery plus True-Up with Interest</t>
  </si>
  <si>
    <t>[a]</t>
  </si>
  <si>
    <t>[b]</t>
  </si>
  <si>
    <t>TOTAL REVENUE CREDITS  (sum Lines 2-7)</t>
  </si>
  <si>
    <t>(Attachment 13, Line 47) enter negative</t>
  </si>
  <si>
    <t>(Line 1 - Line 8 + Line 9)</t>
  </si>
  <si>
    <t>((col. gg / col. cc)*100)</t>
  </si>
  <si>
    <t>(col. cc * col. ii)</t>
  </si>
  <si>
    <t>(Table 2, Col. kk)</t>
  </si>
  <si>
    <t>(table 2, col. gg)</t>
  </si>
  <si>
    <t>Transmission Enhancement Credit taken to Attachment H-34A, Page 1, Line 7, Col 3</t>
  </si>
  <si>
    <t>Other (C)</t>
  </si>
  <si>
    <t xml:space="preserve">(B) The PJM NITS &amp; TEC charges will include a true-up for the (over)/under recovery from a prior rate period. The total without true-up for NITS and TEC will be taken to Attachment 12 and Attachment 13 respectively. </t>
  </si>
  <si>
    <t>Text Description (b)</t>
  </si>
  <si>
    <t>Allocator utilized (f)</t>
  </si>
  <si>
    <t>Prepayments - FERC Account No. 165 (d) (e)</t>
  </si>
  <si>
    <t>Materials &amp; Supplies - FERC Account No. 154</t>
  </si>
  <si>
    <t>FERC Form No. 1 p.227.8.c &amp; 16.c</t>
  </si>
  <si>
    <t>Land held for Future Use - FERC Account No. 105</t>
  </si>
  <si>
    <r>
      <t>FERC Form No. 1 p.214.</t>
    </r>
    <r>
      <rPr>
        <b/>
        <sz val="12"/>
        <rFont val="Calibri"/>
        <family val="2"/>
        <scheme val="minor"/>
      </rPr>
      <t>x</t>
    </r>
    <r>
      <rPr>
        <sz val="12"/>
        <rFont val="Calibri"/>
        <family val="2"/>
        <scheme val="minor"/>
      </rPr>
      <t>.d</t>
    </r>
  </si>
  <si>
    <t>FERC Account No. 228.1 (d)</t>
  </si>
  <si>
    <t>FERC Account No. 228.2 (d)</t>
  </si>
  <si>
    <t>FERC Account No. 228.3 (d)</t>
  </si>
  <si>
    <t>FERC Account No. 228.4 (d)</t>
  </si>
  <si>
    <t>FERC Account No. 242 (d)</t>
  </si>
  <si>
    <t>Other Reserves (d)</t>
  </si>
  <si>
    <t>(a) Average calculated as [Sum of Columns (C) through (O)] ÷ 13</t>
  </si>
  <si>
    <t>(d) Line items listed are either partially or wholly allocated to transmission and monthly amounts includes transmission-related balance only</t>
  </si>
  <si>
    <t>(e) Prepayments shall exclude prepayments of income taxes</t>
  </si>
  <si>
    <t>(f) Allocator utilized are TE, TP, GP, WS, or EXCL. Any line item allocated by "EXCL" will only show year-end balances</t>
  </si>
  <si>
    <t>(F) Includes only Regulatory assets that are designated to earn a return. Average calculated as [Sum of Columns (L) through (X)] ÷ 13. Total from Col (Y) line 2 will be taken to Attachment H-34A, page 2, line 27, Col.3 when the amortization begins. Until such time, Attachment H-34A, page 2, line 27, Col.3 will be 0</t>
  </si>
  <si>
    <t>(line 10 / line 11)</t>
  </si>
  <si>
    <t>(line 10 / line 12)</t>
  </si>
  <si>
    <t>(line 14/12)</t>
  </si>
  <si>
    <t>(line 14/52)</t>
  </si>
  <si>
    <t>(line 16/5; line 16/7)</t>
  </si>
  <si>
    <t>(line 14/4,160; line 14/8,760)</t>
  </si>
  <si>
    <t>Total Interest (Sourced from Attachment 13a, line 46)</t>
  </si>
  <si>
    <t>Includes the annual income tax cost or benefits due to permanent differences or differences between the amounts of expenses or revenues recognized in one period for ratemaking purposes and the amounts recognized for income tax purposes which do not reverse in one or more other periods, including the cost of income taxes on the Allowance for Other Funds Used During Construction. Balance shall not include permament differences in the income tax allowance calculations (other than Equity AFUDC) unless and until specific Commision approval is obtained to include such differences in a separate 205 proceeding.</t>
  </si>
  <si>
    <t>Page 4, Line 37 must equal zero since all short-term power sales must be unbundled and the transmission component reflected in Account No. 456.1 and all other uses are to be included in the divisor.</t>
  </si>
  <si>
    <t>The revenues credited on page 1, Lines 2-6 do not include revenues associated with FERC annual charges, gross receipts taxes, ancillary services, or facilities not included in this template (e.g., direct assignment facilities and GSUs) which are not recovered under this Rate Formula Template. The revenue on Line 7 is supported by its own reference.</t>
  </si>
  <si>
    <t>Attachment 14, Line 18, Col. P (Notes C &amp; X)</t>
  </si>
  <si>
    <t>Attachment 14, Line 4, Col. P (Notes G &amp; X)</t>
  </si>
  <si>
    <t>Attachment 14, Line 3, Col. P (Note X)</t>
  </si>
  <si>
    <r>
      <t>On Page 4, Line 40</t>
    </r>
    <r>
      <rPr>
        <sz val="12"/>
        <color theme="1"/>
        <rFont val="Times New Roman"/>
        <family val="1"/>
      </rPr>
      <t>,</t>
    </r>
    <r>
      <rPr>
        <sz val="12"/>
        <color rgb="FFFF0000"/>
        <rFont val="Times New Roman"/>
        <family val="1"/>
      </rPr>
      <t xml:space="preserve"> </t>
    </r>
    <r>
      <rPr>
        <sz val="12"/>
        <rFont val="Times New Roman"/>
        <family val="1"/>
      </rPr>
      <t>enter revenues from RTO settlements that are associated with NITS and firm Point-to-Point Service for which the load is not included in the divisor to derive AP Zonal rates.  Exclude non-firm Point-to-Point revenues and revenues related to RTEP projects unless provisions per settlement agreement section 2.22 requires inclusion.</t>
    </r>
  </si>
  <si>
    <t>DD</t>
  </si>
  <si>
    <t>(Note DD)</t>
  </si>
  <si>
    <t xml:space="preserve">Upon enactment of changes in tax law, income tax rates (federal, state) and other actions taken by a taxing authority, deferred taxes are re-measured and adjusted in the Company's books of account, resulting in excess or deficient accumulated deferred taxes.  Such excess or deficient deferred taxes attributed to the transmission function will be based upon tax records and calculated in the calendar year in which the excess or deficient amount was measured and recorded for financial reporting purposes.  </t>
  </si>
  <si>
    <t>(C) Any charges shall be entered as positives and refunds shall be entered as negatives. Includes any necessary prior period adjustments including those identified through the discovery or challenge procedures, as defined within the protocols.</t>
  </si>
  <si>
    <t>(b) Sublines in Col. (A) could be added or removed  without a FPA Section 205 filing</t>
  </si>
  <si>
    <r>
      <t xml:space="preserve">Upon a tax rate change (federal, state), the Company remeasures its deferred tax assets and liabilities to account for the new applicable corporate tax rate.  For schedule M items not directly taken to the P&amp;L, the result of this remeasurement is a change to the net deferred tax assets/liabilities recorded in accounts 190, 282, and 283 with a corresponding change in regulatory assets (account 182.3) and regulatory liabilities (account 254) to reflect the return of/collection from excess/deficient deferred taxes to/from customers.  The remeasurement is effectuated within PowerTax and Tax Provision, which maintain both the timing difference and APB11 deferred tax balance (the historical ADIT based on the timing difference and the rate in effect when the timing difference occurred).  The difference in the two results is reclassified from ADIT to regulatory assets/liabilities for deficient/excess ADIT.  Within the FERC Form 1, deficient and excess ADITs in Account 182.3 and Account 254, respectively are presented grossed-up for tax purposes.  For ratemaking purposes, these grossed-up balances are treated as FAS109 and subsequently removed from rate base, thereby ensuring rate base neutrality for tax rate changes. </t>
    </r>
    <r>
      <rPr>
        <sz val="10"/>
        <color rgb="FFFF0000"/>
        <rFont val="Calibri"/>
        <family val="2"/>
        <scheme val="minor"/>
      </rPr>
      <t xml:space="preserve"> </t>
    </r>
    <r>
      <rPr>
        <sz val="10"/>
        <color theme="1"/>
        <rFont val="Calibri"/>
        <family val="2"/>
        <scheme val="minor"/>
      </rPr>
      <t>The Company would follow the process described above to remeasure ADIT balances (increase or decrease) due to any future federal or state income tax rate change.</t>
    </r>
  </si>
  <si>
    <t xml:space="preserve">
KATCo will utilize a hypothetical equity component equal to the weighted average actual capital structure of the SFCs, based on the most-recent ATRR value for each of the three operating companies, at the time the formula rate is first populated.  The hypothetical rate will remain fixed at that initially-populated rate for a 3-year period commencing at the effective date of an asset transfer or the first time the formula rate is populated, whichever occurs sooner, and will not fluctuate for the later of the duration of the 3-year period or the 4- year mortatorium period as defined in the settlement agreement in Docket # ER21-265. Thereafter, KATCo shall maintain its actual capital structure based on a 13-month average within a FERC-acceptable range. </t>
  </si>
  <si>
    <t>The amortization gross-up for taxes occurs on Attachment H-34A, page 3, line 33, Col. 3.  ARO related EDIT shall not be included within the formula rate.</t>
  </si>
  <si>
    <t>42a</t>
  </si>
  <si>
    <t>Labor Related Revenues</t>
  </si>
  <si>
    <t>W&amp;S</t>
  </si>
  <si>
    <t>42b</t>
  </si>
  <si>
    <t>Plant Related Revenues</t>
  </si>
  <si>
    <t>42c</t>
  </si>
  <si>
    <t>Transmission Related Revenues</t>
  </si>
  <si>
    <t>42d</t>
  </si>
  <si>
    <t>Other</t>
  </si>
  <si>
    <t>FERC Form No. 1, Page 356.1</t>
  </si>
  <si>
    <t>FERC Form No. 1, 336.7.b (Note U)</t>
  </si>
  <si>
    <t>FERC Form No. 1, 336.1.f &amp; 336.10.f  (Note U)</t>
  </si>
  <si>
    <t>FERC Form No. 1, 336.11.b (Note U)</t>
  </si>
  <si>
    <t>Attachment 7, Line 1z</t>
  </si>
  <si>
    <t>Attachment 7, Line 2z</t>
  </si>
  <si>
    <t>Attachment 7, Line 3z</t>
  </si>
  <si>
    <t>Attachment 7, Line 4z</t>
  </si>
  <si>
    <t>Attachment 7, Line 5z</t>
  </si>
  <si>
    <t>Rate Base (page 2, Line 35) * Rate of Return (page 4, Line 34, col. 6)</t>
  </si>
  <si>
    <t>(sum Lines 11, 15, 23, 34, 35)</t>
  </si>
  <si>
    <t>FERC Form No. 1,(310-311)</t>
  </si>
  <si>
    <t>FERC Form No. 1, (300.17.b)</t>
  </si>
  <si>
    <t>FERC Form No. 1,(300.19.b)</t>
  </si>
  <si>
    <t>FERC Form No. 1, (330.x.n)</t>
  </si>
  <si>
    <t>As agreed to as part of the settlement of Docket No. ER21-253 and ER21-265, Cash Working Capital is a challengeable input that is capped at one-eighth of O&amp;M and A&amp;G allocated to transmission at page 3, Line 9, column 5 minus amortization of regulatory assets (page 3, Line 8, col. 5) unless supported by a fully-developed and reliable lead/lag study.  Interested parties will not challenge the input for the cash working capital allowance for three (3) rate years following the effective date of the ultimately settled formula, provided that the CWC input does not exceed the one-eighth cap.  In no case shall the calculation include service company depreciation expense in the cash working capital base.</t>
  </si>
  <si>
    <t>Plant in Service, Accumulated Depreciation, and Depreciation Expense amounts exclude Asset Retirement Obligation amounts unless authorized by FERC. FERC account 405 – Amortization of Other Electric Plant amounts are excluded unless approved and authorized by FERC.</t>
  </si>
  <si>
    <t>Attachment 5 - ADIT Summary, Line 2</t>
  </si>
  <si>
    <t>Attachment 5-ADIT Summary, Lines 3, 4, and 5</t>
  </si>
  <si>
    <t>Note [b]</t>
  </si>
  <si>
    <t>The ATRR is used to compare against the billed revenue in the true-up calculation. This calculation excludes prior year true-up amounts.</t>
  </si>
  <si>
    <r>
      <t>(Found using Excel Solver/Goal Seek</t>
    </r>
    <r>
      <rPr>
        <sz val="12"/>
        <color rgb="FFFF0000"/>
        <rFont val="Times New Roman"/>
        <family val="1"/>
      </rPr>
      <t>/or equivalent</t>
    </r>
    <r>
      <rPr>
        <sz val="12"/>
        <rFont val="Times New Roman"/>
        <family val="1"/>
      </rPr>
      <t>) Note [c]</t>
    </r>
  </si>
  <si>
    <t>[c]</t>
  </si>
  <si>
    <t>The goal is to determine the value to input in Col. (D), Line 28 such that the value in in Col. (D), line 41 becomes zero.  For example, using Excel's Goal Seek function, the goal would be to set Excel cell G64 to 0 by changing only Excel cell G48.</t>
  </si>
  <si>
    <t>FERC Form No. 1, p.111.57.c &amp; d</t>
  </si>
  <si>
    <t>Unfunded Reserve</t>
  </si>
  <si>
    <t>[This line left intentionally blank]</t>
  </si>
  <si>
    <t>Attachment H -34A, Attachment 14</t>
  </si>
  <si>
    <t>(c) Included as a credit to rate base on Attachment H-34A, page 2, line 24. Enter credit balances as negatives</t>
  </si>
  <si>
    <t>(B) Amortization Amount will be entered at year 0, although the actual amortization will only begin after Commission accepts or approves recovery of the cost of abandoned plant. For all subsequent years, the beginning amount will be the ending balance from the previous year</t>
  </si>
  <si>
    <t>(A) Only Regulatory Assets approved by the Commission will be included</t>
  </si>
  <si>
    <t xml:space="preserve">  Long Term Debt  (112.18-21.c) (Attachment 8, Line 14, Col. 7) (Note X) </t>
  </si>
  <si>
    <t>112.18-21.c</t>
  </si>
  <si>
    <t>Attachment 14, Line 2, Col. P (Notes B &amp; X)</t>
  </si>
  <si>
    <t>To Revenue Req</t>
  </si>
  <si>
    <t>Less transmission expenses included in OATT Ancillary Services  (Attachment 20, Col. C, Line 85 plus Line 86 and Line 87) (Note L)</t>
  </si>
  <si>
    <t>(E) Total Yearly amortization expense from Col. (K) line 2 will be taken to Attachment H-34A, page 3, line 10, Col.3 when the amortization begins. Until such time, Attachment H-34A, page 3, line 10, Col.3 will be 0</t>
  </si>
  <si>
    <t xml:space="preserve">  Unfunded Reserves</t>
  </si>
  <si>
    <t>Land and Land Rights - Easements</t>
  </si>
  <si>
    <t>Structure and Improvements</t>
  </si>
  <si>
    <t>Station Equipment - Other</t>
  </si>
  <si>
    <t>Station Eqiupment - SCADA</t>
  </si>
  <si>
    <t>Towers and Fixtures</t>
  </si>
  <si>
    <t>Poles and Fixtures</t>
  </si>
  <si>
    <t>Overhead Conductors &amp; Devices - Other</t>
  </si>
  <si>
    <t>Overhead Conductors &amp; Devices - Clearing</t>
  </si>
  <si>
    <t>Underground Conduit</t>
  </si>
  <si>
    <t>Underground Conductors &amp; Devices</t>
  </si>
  <si>
    <t>Structure and Improvements - Owned</t>
  </si>
  <si>
    <t>Office Furniture &amp; Equipment - Furniture &amp; Fixtures</t>
  </si>
  <si>
    <t>Office Furniture &amp; Equipment - Information Systems</t>
  </si>
  <si>
    <t>Office Furniture &amp; Equipment - Data Handling</t>
  </si>
  <si>
    <t>Personal Computers</t>
  </si>
  <si>
    <t>Transportation Equipment - Autos</t>
  </si>
  <si>
    <t>Transportation Equipment - Light Trucks</t>
  </si>
  <si>
    <t>Transportation Equipment - Medium and Heavy Trucks</t>
  </si>
  <si>
    <t>Transportation Equipment - Trailers</t>
  </si>
  <si>
    <t xml:space="preserve">Earth Moving Equipment </t>
  </si>
  <si>
    <t>Storage equipment</t>
  </si>
  <si>
    <t>Tools, shop and garage equipment</t>
  </si>
  <si>
    <t>Laboratory equipment</t>
  </si>
  <si>
    <t>Power operated equipment</t>
  </si>
  <si>
    <t>Communication equipment</t>
  </si>
  <si>
    <t>Miscellaneous equipment</t>
  </si>
  <si>
    <t>Smart Meter Hardware</t>
  </si>
  <si>
    <t>All Terrain Vehicles</t>
  </si>
  <si>
    <t>Interest on any True-up shall be based on the interest rate equal to the interest rate determined by 18 C.F.R. § 35.19a and published on the FERC website. Interest rates will be used to calculate the time value of money for the period that the True-up exists. The interest rate to be applied to the True-up will be determined using the average rate for the twenty (20) months preceding September 1 of the current year.  Interest on refunds and surcharges shall be compounded on a quarterly basis.</t>
  </si>
  <si>
    <t>(Exclusions) or Adjustments [C]</t>
  </si>
  <si>
    <t>Includes (exclusions) or adjustments to expense accounts that are not reflected as part of the FERC Form 1 balances nor included as (exclusions) or adjustments on Attachment H-34A</t>
  </si>
  <si>
    <t>Includes (exclusions) or adjustments to expense accounts that are not reflected as part of the FERC Form 1 balances nor included as (exclusions) adjustments on Attachment H-34A</t>
  </si>
  <si>
    <t>Attachment 20, page 1, Line 112, Col. C</t>
  </si>
  <si>
    <t>Attachment 20, page 1, Line 96, Col. C</t>
  </si>
  <si>
    <t>Attachment 20, page 2, Line 197, Col. C</t>
  </si>
  <si>
    <t>Attachment 20, page 1, Lines 88 &amp; 92, Col. C</t>
  </si>
  <si>
    <t>(A) Only projects approved by the Commission will be included.</t>
  </si>
  <si>
    <t>Account 303 amortization period is 7 years.  Depreciation/amortization rates listed as agreed to as part of the settlement of Docket No. ER21-265 for transmission formula rate purposes.</t>
  </si>
  <si>
    <t>Attachment H-34A, Pg 5, Note P</t>
  </si>
  <si>
    <t>(Note P)</t>
  </si>
  <si>
    <t>[Note intentionally left blank]</t>
  </si>
  <si>
    <t>Debt cost rate will be set at 3.5% until such time debt is issued by KATCo.  Once debt is issued, the long-term debt cost rate will be the weighted average of the rates for all outstanding debt instruments, calculated within Attachment 10, col. j. Preferred cost rate = preferred dividends (line 30) / preferred outstanding (line 32).  No change in ROE may be made absent a filing with FERC under Section 205 or Section 206 of the Federal Power Act. The ROE consists of a base ROE of 9.95% and a 50 basis point adder for participation in an RTO as eligible and consistent with the terms of the Settlement Agreement in Docket No. ER21-265-000.</t>
  </si>
  <si>
    <t>Install a steel pole at the crossing of the Elrama to Woodville 138 kV line and the Peters to Bethel Park 138 kV line</t>
  </si>
  <si>
    <t>b1022.11</t>
  </si>
  <si>
    <t>Add static capacitors at South Fayette 138 kV</t>
  </si>
  <si>
    <t>b1022.5</t>
  </si>
  <si>
    <t>Reconductor the Charleroi –Allenport 138KV Line with 954 ACSR Conductor, Replace Breaker Risers at Charleroi and Allenport</t>
  </si>
  <si>
    <t>b2965</t>
  </si>
  <si>
    <t>Upgrade terminal equipment at Yukon to increase rating on Yukon to Charleroi #2 138 kV line (New Yukon to Route 51 #4 138 kV line)</t>
  </si>
  <si>
    <t>b3011.2</t>
  </si>
  <si>
    <t>Upgrade terminal equipment at Yukon to increase rating on Yukon to Route 51 #3 138 kV line</t>
  </si>
  <si>
    <t>b3011.5</t>
  </si>
  <si>
    <t>Replace four Yukon 500/138 kV transformers with three transformers with higher rating and reconfigure 500 kV bus</t>
  </si>
  <si>
    <t>b3006</t>
  </si>
  <si>
    <t>1g</t>
  </si>
  <si>
    <t>b3214</t>
  </si>
  <si>
    <t>Reconductor the Yukon – Smithton – Shepler Hill Jct 138 kV Line. Upgrade terminal equipment at Yukon and replace line relaying at Mitchell and Charleroi</t>
  </si>
  <si>
    <t>FICA</t>
  </si>
  <si>
    <t>Pennsylvania Local Realty Tax</t>
  </si>
  <si>
    <t>WV Local Property Tax</t>
  </si>
  <si>
    <t>Vegetation Management 2013-2020</t>
  </si>
  <si>
    <t>407.3</t>
  </si>
  <si>
    <t>Page 232, line 4, Col. F</t>
  </si>
  <si>
    <t>1h</t>
  </si>
  <si>
    <t>Cheswick-Springdale-138kVInsSeriesReactr</t>
  </si>
  <si>
    <t>b3717.1</t>
  </si>
  <si>
    <t>5.17%, Senior Unsecured Note</t>
  </si>
  <si>
    <t>Accrued Taxes: FICA on Vacation Accrual</t>
  </si>
  <si>
    <t>Accrued Taxes: Tax Audit Reserves</t>
  </si>
  <si>
    <t>Accum Prov For Inj and Damage-Gen Liability</t>
  </si>
  <si>
    <t>Accum Prov For Inj and Damage-Workers Comp</t>
  </si>
  <si>
    <t>Accum Prov: Asbestos Accrual</t>
  </si>
  <si>
    <t>Current Liability: Healthcare IBNR Reserve</t>
  </si>
  <si>
    <t>Deferred Compensation Expense</t>
  </si>
  <si>
    <t>Environmental Liability</t>
  </si>
  <si>
    <t>FAS 112 - Medical Benefit Accrual</t>
  </si>
  <si>
    <t>FAS 123R - Performance Shares</t>
  </si>
  <si>
    <t>FAS 123R - Restricted Stock Units</t>
  </si>
  <si>
    <t>FAS 158 OPEB OCI Offset</t>
  </si>
  <si>
    <t>FE Service Timing Allocation</t>
  </si>
  <si>
    <t>Federal Long Term - Unprotected</t>
  </si>
  <si>
    <t>Federal Long Term - Protected</t>
  </si>
  <si>
    <t>Incentive Compensation</t>
  </si>
  <si>
    <t>NOL Deferred Tax Asset - LT NY</t>
  </si>
  <si>
    <t>NOL Deferred Tax Asset - LT PA</t>
  </si>
  <si>
    <t>Pension EDCP-SERP Payments</t>
  </si>
  <si>
    <t>Pensions Expense</t>
  </si>
  <si>
    <t>SC01 Timing Allocation</t>
  </si>
  <si>
    <t>Vacation Pay Accrual</t>
  </si>
  <si>
    <t>Account 190 -TCJA</t>
  </si>
  <si>
    <t>Account 190 - PA rate items (2022)</t>
  </si>
  <si>
    <t>Deferred Compensation Expense-PA tax rate change 2022</t>
  </si>
  <si>
    <t>FAS 112 - Medical Benefit Accrual-PA tax rate change 2022</t>
  </si>
  <si>
    <t>FAS 158 OPEB OCI Offset-PA tax rate change 2022</t>
  </si>
  <si>
    <t>FE Service Timing Allocation-PA tax rate change 2022</t>
  </si>
  <si>
    <t>NOL Deferred Tax Asset - LT PA-PA tax rate change 2022</t>
  </si>
  <si>
    <t>Pension EDCP-SERP Payments-PA tax rate change 2022</t>
  </si>
  <si>
    <t>Pensions Expense-PA tax rate change 2022</t>
  </si>
  <si>
    <t>SC01 Timing Allocation-PA tax rate change 2022</t>
  </si>
  <si>
    <t>1i</t>
  </si>
  <si>
    <t>1j</t>
  </si>
  <si>
    <t>1k</t>
  </si>
  <si>
    <t>1l</t>
  </si>
  <si>
    <t>1m</t>
  </si>
  <si>
    <t>1n</t>
  </si>
  <si>
    <t>1o</t>
  </si>
  <si>
    <t>1p</t>
  </si>
  <si>
    <t>1q</t>
  </si>
  <si>
    <t>1r</t>
  </si>
  <si>
    <t>1s</t>
  </si>
  <si>
    <t>1t</t>
  </si>
  <si>
    <t>1u</t>
  </si>
  <si>
    <t>1v</t>
  </si>
  <si>
    <t>1.1b</t>
  </si>
  <si>
    <t>1.1f</t>
  </si>
  <si>
    <t>1.1h</t>
  </si>
  <si>
    <t>3e</t>
  </si>
  <si>
    <t>3f</t>
  </si>
  <si>
    <t>Deferred Charge-EIB</t>
  </si>
  <si>
    <t>Feb 2010 Storm Deferrals - LT</t>
  </si>
  <si>
    <t>Pension/OPEB : Other Def Cr. or Dr.</t>
  </si>
  <si>
    <t>Reverse Capital Gain</t>
  </si>
  <si>
    <t>State Income Tax Deductible</t>
  </si>
  <si>
    <t>Storm Damage</t>
  </si>
  <si>
    <t>Account 283 - PA rate items (2022)</t>
  </si>
  <si>
    <t>Pension/OPEB : Other Def Cr. or Dr.-PA tax rate change 2022</t>
  </si>
  <si>
    <t>Storm Damage-PA tax rate change 2022</t>
  </si>
  <si>
    <t>Account 283 -TCJA</t>
  </si>
  <si>
    <t>Recovery of Veg Mgmt for Transmission Companies 2023</t>
  </si>
  <si>
    <t>Account 283 - PA rate items (2023)</t>
  </si>
  <si>
    <t>Account 283 - PA rate items (2024)</t>
  </si>
  <si>
    <t>Recovery of Veg Mgmt for Transmission Companies 2024</t>
  </si>
  <si>
    <t>3.1a</t>
  </si>
  <si>
    <t>3.1b</t>
  </si>
  <si>
    <t>3.1c</t>
  </si>
  <si>
    <t>3.1d</t>
  </si>
  <si>
    <t>N &amp; P</t>
  </si>
  <si>
    <t>Capitalized Interest</t>
  </si>
  <si>
    <t>Cost of Removal</t>
  </si>
  <si>
    <t>Property FAS 109</t>
  </si>
  <si>
    <t>A&amp;G Expenses</t>
  </si>
  <si>
    <t>Accelerated Tax Depr</t>
  </si>
  <si>
    <t>AFUDC Debt</t>
  </si>
  <si>
    <t>Capitalized Pension</t>
  </si>
  <si>
    <t>Casualty Loss</t>
  </si>
  <si>
    <t>FAS123R Items</t>
  </si>
  <si>
    <t>Highway Relocations</t>
  </si>
  <si>
    <t>Meters and Transformers</t>
  </si>
  <si>
    <t>OPEB</t>
  </si>
  <si>
    <t>Other Basis Differences</t>
  </si>
  <si>
    <t>Tax Repairs</t>
  </si>
  <si>
    <t>R&amp;D Cost</t>
  </si>
  <si>
    <t>AMT Credit Carryforward</t>
  </si>
  <si>
    <t>Property Book-Tax Timing Difference - Account 190 - TCJA</t>
  </si>
  <si>
    <t>Property Book-Tax Timing Difference - Account 282 - TCJA</t>
  </si>
  <si>
    <t>Property Book-Tax Timing Difference - Account 283 - TCJA</t>
  </si>
  <si>
    <t>Property Gross up for Taxes - TCJA</t>
  </si>
  <si>
    <t>Vegetation Management-Tx</t>
  </si>
  <si>
    <t>For the 12 months ended 12/31/2026</t>
  </si>
  <si>
    <t>OF 12-31-26</t>
  </si>
  <si>
    <t>Reconciliation Revenue Requirement For Year 2024 Available June 16, 2025</t>
  </si>
  <si>
    <t>2024 Revenue Requirement Collected by PJM Based on Forecast filed on Oct 2, 2023</t>
  </si>
  <si>
    <t>An over or under collection will be recovered prorata over 2024, held for 2025 and returned prorate over 2026</t>
  </si>
  <si>
    <t>Prepayments</t>
  </si>
  <si>
    <t>Pennsylvania</t>
  </si>
  <si>
    <t>1w</t>
  </si>
  <si>
    <t>1.1a</t>
  </si>
  <si>
    <t>1.1c</t>
  </si>
  <si>
    <t>1.1d</t>
  </si>
  <si>
    <t>1.1e</t>
  </si>
  <si>
    <t>1.1g</t>
  </si>
  <si>
    <t>3.1e</t>
  </si>
  <si>
    <t>Recovery of Veg Mgmt for Transmission Companies 2025</t>
  </si>
  <si>
    <t>Federal Long Term</t>
  </si>
  <si>
    <t>Property Gross up for Taxes -PA Tax Rate Change aggregate until 8.99%-2023</t>
  </si>
  <si>
    <t>Property Book-Tax Timing Difference - Account 283 -PA Tax Rate Change aggregate until 8.99%-2023</t>
  </si>
  <si>
    <t>Property Book-Tax Timing Difference - Account 282 -PA Tax Rate Change aggregate until 8.99%-2023</t>
  </si>
  <si>
    <t>Property Book-Tax Timing Difference - Account 190 -PA Tax Rate Change aggregate until 8.99%-2023</t>
  </si>
  <si>
    <t>Property Gross up for Taxes -PA Tax Rate Change aggregate until 8.49%-2024</t>
  </si>
  <si>
    <t>Property Book-Tax Timing Difference - Account 283 -PA Tax Rate Change aggregate until 8.49%-2024</t>
  </si>
  <si>
    <t>Property Book-Tax Timing Difference - Account 282 -PA Tax Rate Change aggregate until 8.49%-2024</t>
  </si>
  <si>
    <t>Property Book-Tax Timing Difference - Account 190 -PA Tax Rate Change aggregate until 8.49%-2024</t>
  </si>
  <si>
    <t>Property Gross up for Taxes -PA Tax Rate Change aggregate until 7.99%-2025</t>
  </si>
  <si>
    <t>Property Book-Tax Timing Difference - Account 283 -PA Tax Rate Change aggregate until 7.99%-2025</t>
  </si>
  <si>
    <t>Property Book-Tax Timing Difference - Account 282 -PA Tax Rate Change aggregate until 7.99%-2025</t>
  </si>
  <si>
    <t>Property Book-Tax Timing Difference - Account 190 -PA Tax Rate Change aggregate until 7.99%-2025</t>
  </si>
  <si>
    <t>Property Gross up for Taxes -PA Tax Rate Change aggregate until 7.49%-2026</t>
  </si>
  <si>
    <t>Property Book-Tax Timing Difference - Account 283 -PA Tax Rate Change aggregate until 7.49%-2026</t>
  </si>
  <si>
    <t>Property Book-Tax Timing Difference - Account 282 -PA Tax Rate Change aggregate until 7.49%-2026</t>
  </si>
  <si>
    <t>Property Book-Tax Timing Difference - Account 190 -PA Tax Rate Change aggregate until 7.49%-2026</t>
  </si>
  <si>
    <t>(Page 3, Line 11 minus Page 3, Line 10 minus (SC depr expense))/8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</si>
</sst>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quot;$&quot;#,##0.00"/>
    <numFmt numFmtId="173" formatCode="_(&quot;$&quot;* #,##0_);_(&quot;$&quot;* \(#,##0\);_(&quot;$&quot;* &quot;-&quot;??_);_(@_)"/>
    <numFmt numFmtId="174" formatCode="0_);\(0\)"/>
    <numFmt numFmtId="175" formatCode="_(* #,##0_);_(* \(#,##0\);_(* &quot;-&quot;??_);_(@_)"/>
    <numFmt numFmtId="176" formatCode="0.000000%"/>
    <numFmt numFmtId="177" formatCode="_(&quot;$&quot;* #,##0.0000_);_(&quot;$&quot;* \(#,##0.0000\);_(&quot;$&quot;* &quot;-&quot;??_);_(@_)"/>
    <numFmt numFmtId="178" formatCode="0.00000_);\(0.00000\)"/>
    <numFmt numFmtId="179" formatCode="0.0000%"/>
    <numFmt numFmtId="180" formatCode="_(* #,##0.0000_);_(* \(#,##0.0000\);_(* &quot;-&quot;??_);_(@_)"/>
    <numFmt numFmtId="181" formatCode="0.00000%"/>
    <numFmt numFmtId="182" formatCode="&quot;$&quot;#,##0.0000"/>
    <numFmt numFmtId="183" formatCode="_(* #,##0.00000_);_(* \(#,##0.00000\);_(* &quot;-&quot;??_);_(@_)"/>
    <numFmt numFmtId="184" formatCode="0.0000000"/>
    <numFmt numFmtId="185" formatCode="_(&quot;$&quot;* #,##0.000_);_(&quot;$&quot;* \(#,##0.000\);_(&quot;$&quot;* &quot;-&quot;_);_(@_)"/>
    <numFmt numFmtId="186" formatCode="[$-409]mmmm\ d\,\ yyyy;@"/>
    <numFmt numFmtId="187" formatCode="0.0"/>
    <numFmt numFmtId="188" formatCode="_(* #,##0_);_(* \(#,##0\);_(* &quot;-&quot;?????_);_(@_)"/>
    <numFmt numFmtId="189" formatCode="0.0%"/>
  </numFmts>
  <fonts count="145">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0"/>
      <name val="MS Sans Serif"/>
    </font>
    <font>
      <b/>
      <sz val="10"/>
      <name val="MS Sans Serif"/>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name val="Times New Roman"/>
      <family val="1"/>
    </font>
    <font>
      <b/>
      <sz val="12"/>
      <name val="Times New Roman"/>
      <family val="1"/>
    </font>
    <font>
      <sz val="10"/>
      <name val="Times New Roman"/>
      <family val="1"/>
    </font>
    <font>
      <sz val="10"/>
      <name val="Arial MT"/>
    </font>
    <font>
      <u/>
      <sz val="12"/>
      <name val="Times New Roman"/>
      <family val="1"/>
    </font>
    <font>
      <sz val="8"/>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2"/>
      <name val="Arial MT"/>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sz val="10"/>
      <name val="MS Sans Serif"/>
      <family val="2"/>
    </font>
    <font>
      <b/>
      <sz val="18"/>
      <color indexed="62"/>
      <name val="Cambria"/>
      <family val="2"/>
    </font>
    <font>
      <sz val="10"/>
      <name val="Arial Narrow"/>
      <family val="2"/>
    </font>
    <font>
      <sz val="12"/>
      <name val="Calibri"/>
      <family val="2"/>
      <scheme val="minor"/>
    </font>
    <font>
      <sz val="10"/>
      <name val="Calibri"/>
      <family val="2"/>
      <scheme val="minor"/>
    </font>
    <font>
      <b/>
      <sz val="12"/>
      <name val="Calibri"/>
      <family val="2"/>
      <scheme val="minor"/>
    </font>
    <font>
      <b/>
      <sz val="10"/>
      <name val="Calibri"/>
      <family val="2"/>
      <scheme val="minor"/>
    </font>
    <font>
      <b/>
      <sz val="12"/>
      <color rgb="FFFF0000"/>
      <name val="Calibri"/>
      <family val="2"/>
      <scheme val="minor"/>
    </font>
    <font>
      <b/>
      <sz val="12"/>
      <color rgb="FFFF0000"/>
      <name val="Times New Roman"/>
      <family val="1"/>
    </font>
    <font>
      <b/>
      <sz val="12"/>
      <color theme="0"/>
      <name val="Calibri"/>
      <family val="2"/>
      <scheme val="minor"/>
    </font>
    <font>
      <sz val="12"/>
      <color theme="0"/>
      <name val="Calibri"/>
      <family val="2"/>
      <scheme val="minor"/>
    </font>
    <font>
      <sz val="12"/>
      <name val="Arial Narrow"/>
      <family val="2"/>
    </font>
    <font>
      <b/>
      <sz val="12"/>
      <name val="Arial Narrow"/>
      <family val="2"/>
    </font>
    <font>
      <sz val="10"/>
      <color theme="1"/>
      <name val="Arial"/>
      <family val="2"/>
    </font>
    <font>
      <b/>
      <sz val="10"/>
      <color theme="1"/>
      <name val="Arial"/>
      <family val="2"/>
    </font>
    <font>
      <i/>
      <sz val="10"/>
      <color theme="1"/>
      <name val="Arial"/>
      <family val="2"/>
    </font>
    <font>
      <sz val="12"/>
      <color rgb="FFFF0000"/>
      <name val="Calibri"/>
      <family val="2"/>
      <scheme val="minor"/>
    </font>
    <font>
      <u/>
      <sz val="12"/>
      <name val="Calibri"/>
      <family val="2"/>
      <scheme val="minor"/>
    </font>
    <font>
      <u val="singleAccounting"/>
      <sz val="12"/>
      <name val="Calibri"/>
      <family val="2"/>
      <scheme val="minor"/>
    </font>
    <font>
      <strike/>
      <sz val="10"/>
      <name val="Arial"/>
      <family val="2"/>
    </font>
    <font>
      <b/>
      <sz val="14"/>
      <name val="Arial Narrow"/>
      <family val="2"/>
    </font>
    <font>
      <b/>
      <sz val="12"/>
      <color indexed="10"/>
      <name val="Arial"/>
      <family val="2"/>
    </font>
    <font>
      <b/>
      <sz val="12"/>
      <color indexed="13"/>
      <name val="Helvetica"/>
      <family val="2"/>
    </font>
    <font>
      <b/>
      <sz val="12"/>
      <color indexed="13"/>
      <name val="Helv"/>
    </font>
    <font>
      <b/>
      <sz val="12"/>
      <name val="Helv"/>
    </font>
    <font>
      <sz val="12"/>
      <color indexed="12"/>
      <name val="Helv"/>
    </font>
    <font>
      <sz val="12"/>
      <name val="Helv"/>
    </font>
    <font>
      <b/>
      <u/>
      <sz val="10"/>
      <name val="Arial"/>
      <family val="2"/>
    </font>
    <font>
      <sz val="10"/>
      <color indexed="12"/>
      <name val="Arial"/>
      <family val="2"/>
    </font>
    <font>
      <u/>
      <sz val="12"/>
      <name val="Arial"/>
      <family val="2"/>
    </font>
    <font>
      <sz val="10"/>
      <name val="Arial"/>
      <family val="2"/>
    </font>
    <font>
      <b/>
      <u/>
      <sz val="12"/>
      <name val="Arial"/>
      <family val="2"/>
    </font>
    <font>
      <b/>
      <sz val="11"/>
      <color theme="1"/>
      <name val="Calibri"/>
      <family val="2"/>
      <scheme val="minor"/>
    </font>
    <font>
      <sz val="12"/>
      <color indexed="10"/>
      <name val="Arial"/>
      <family val="2"/>
    </font>
    <font>
      <sz val="11"/>
      <color theme="1"/>
      <name val="Calibri"/>
      <family val="2"/>
    </font>
    <font>
      <u/>
      <sz val="10"/>
      <color theme="1"/>
      <name val="Arial"/>
      <family val="2"/>
    </font>
    <font>
      <sz val="12"/>
      <color indexed="56"/>
      <name val="Arial"/>
      <family val="2"/>
    </font>
    <font>
      <u val="singleAccounting"/>
      <sz val="12"/>
      <name val="Arial"/>
      <family val="2"/>
    </font>
    <font>
      <vertAlign val="subscript"/>
      <sz val="10"/>
      <name val="Arial"/>
      <family val="2"/>
    </font>
    <font>
      <sz val="12"/>
      <name val="Times New Roman"/>
      <family val="1"/>
    </font>
    <font>
      <u val="singleAccounting"/>
      <sz val="12"/>
      <name val="Times New Roman"/>
      <family val="1"/>
    </font>
    <font>
      <b/>
      <sz val="12"/>
      <name val="Times New Roman"/>
      <family val="1"/>
    </font>
    <font>
      <strike/>
      <sz val="12"/>
      <name val="Times New Roman"/>
      <family val="1"/>
    </font>
    <font>
      <sz val="10"/>
      <name val="Times New Roman"/>
      <family val="1"/>
    </font>
    <font>
      <b/>
      <sz val="10"/>
      <name val="Times New Roman"/>
      <family val="1"/>
    </font>
    <font>
      <sz val="10"/>
      <name val="Arial MT"/>
    </font>
    <font>
      <strike/>
      <sz val="10"/>
      <name val="Arial MT"/>
    </font>
    <font>
      <sz val="12"/>
      <color rgb="FFFF0000"/>
      <name val="Times New Roman"/>
      <family val="1"/>
    </font>
    <font>
      <sz val="12"/>
      <color rgb="FFFF0000"/>
      <name val="Arial"/>
      <family val="2"/>
    </font>
    <font>
      <sz val="11"/>
      <name val="Calibri"/>
      <family val="2"/>
      <scheme val="minor"/>
    </font>
    <font>
      <b/>
      <sz val="12"/>
      <name val="Arial MT"/>
    </font>
    <font>
      <u/>
      <sz val="10"/>
      <name val="Arial"/>
      <family val="2"/>
    </font>
    <font>
      <b/>
      <u/>
      <sz val="12"/>
      <name val="Times New Roman"/>
      <family val="1"/>
    </font>
    <font>
      <b/>
      <i/>
      <sz val="12"/>
      <name val="Times New Roman"/>
      <family val="1"/>
    </font>
    <font>
      <b/>
      <sz val="10"/>
      <color indexed="10"/>
      <name val="Times New Roman"/>
      <family val="1"/>
    </font>
    <font>
      <sz val="10"/>
      <color theme="1"/>
      <name val="Courier New"/>
      <family val="2"/>
    </font>
    <font>
      <b/>
      <u/>
      <sz val="12"/>
      <color theme="1"/>
      <name val="Times New Roman"/>
      <family val="1"/>
    </font>
    <font>
      <sz val="12"/>
      <color theme="1"/>
      <name val="Times New Roman"/>
      <family val="1"/>
    </font>
    <font>
      <strike/>
      <sz val="12"/>
      <name val="Arial"/>
      <family val="2"/>
    </font>
    <font>
      <b/>
      <sz val="12"/>
      <color theme="1"/>
      <name val="Calibri"/>
      <family val="2"/>
      <scheme val="minor"/>
    </font>
    <font>
      <sz val="10"/>
      <color theme="1"/>
      <name val="Calibri"/>
      <family val="2"/>
      <scheme val="minor"/>
    </font>
    <font>
      <sz val="12"/>
      <color theme="1"/>
      <name val="Calibri"/>
      <family val="2"/>
      <scheme val="minor"/>
    </font>
    <font>
      <u/>
      <sz val="10"/>
      <color theme="1"/>
      <name val="Calibri"/>
      <family val="2"/>
      <scheme val="minor"/>
    </font>
    <font>
      <sz val="10"/>
      <color rgb="FFFF0000"/>
      <name val="Calibri"/>
      <family val="2"/>
      <scheme val="minor"/>
    </font>
    <font>
      <b/>
      <sz val="10"/>
      <color theme="1"/>
      <name val="Calibri"/>
      <family val="2"/>
      <scheme val="minor"/>
    </font>
    <font>
      <b/>
      <sz val="12"/>
      <name val="Courier New"/>
      <family val="3"/>
    </font>
    <font>
      <sz val="12"/>
      <name val="Calibri"/>
      <family val="2"/>
    </font>
    <font>
      <b/>
      <strike/>
      <sz val="12"/>
      <name val="Arial"/>
      <family val="2"/>
    </font>
    <font>
      <sz val="12"/>
      <color theme="1"/>
      <name val="Calibri Light"/>
      <family val="2"/>
    </font>
    <font>
      <sz val="8"/>
      <name val="Segoe UI"/>
      <family val="2"/>
    </font>
    <font>
      <sz val="10"/>
      <color indexed="8"/>
      <name val="Arial"/>
      <family val="2"/>
    </font>
    <font>
      <sz val="12"/>
      <color theme="1"/>
      <name val="Arial Narrow"/>
      <family val="2"/>
    </font>
    <font>
      <sz val="14"/>
      <name val="Calibri"/>
      <family val="2"/>
      <scheme val="minor"/>
    </font>
    <font>
      <b/>
      <sz val="14"/>
      <name val="Calibri"/>
      <family val="2"/>
      <scheme val="minor"/>
    </font>
    <font>
      <b/>
      <u/>
      <sz val="12"/>
      <name val="Calibri"/>
      <family val="2"/>
      <scheme val="minor"/>
    </font>
    <font>
      <b/>
      <sz val="12"/>
      <color rgb="FF0070C0"/>
      <name val="Calibri"/>
      <family val="2"/>
      <scheme val="minor"/>
    </font>
  </fonts>
  <fills count="2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mediumGray">
        <fgColor indexed="22"/>
      </patternFill>
    </fill>
    <fill>
      <patternFill patternType="solid">
        <fgColor indexed="22"/>
        <bgColor indexed="64"/>
      </patternFill>
    </fill>
    <fill>
      <patternFill patternType="solid">
        <fgColor theme="5" tint="0.79998168889431442"/>
        <bgColor indexed="64"/>
      </patternFill>
    </fill>
    <fill>
      <patternFill patternType="solid">
        <fgColor theme="1"/>
        <bgColor indexed="64"/>
      </patternFill>
    </fill>
    <fill>
      <patternFill patternType="solid">
        <fgColor indexed="8"/>
        <bgColor indexed="64"/>
      </patternFill>
    </fill>
    <fill>
      <patternFill patternType="solid">
        <fgColor rgb="FFFFFF00"/>
        <bgColor indexed="64"/>
      </patternFill>
    </fill>
  </fills>
  <borders count="44">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27"/>
      </bottom>
      <diagonal/>
    </border>
    <border>
      <left/>
      <right/>
      <top/>
      <bottom style="medium">
        <color indexed="64"/>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165">
    <xf numFmtId="172" fontId="0" fillId="0" borderId="0" applyProtection="0"/>
    <xf numFmtId="0" fontId="56" fillId="2" borderId="0" applyNumberFormat="0" applyBorder="0" applyAlignment="0" applyProtection="0"/>
    <xf numFmtId="0" fontId="56" fillId="3" borderId="0" applyNumberFormat="0" applyBorder="0" applyAlignment="0" applyProtection="0"/>
    <xf numFmtId="0" fontId="56" fillId="4" borderId="0" applyNumberFormat="0" applyBorder="0" applyAlignment="0" applyProtection="0"/>
    <xf numFmtId="0" fontId="56" fillId="5" borderId="0" applyNumberFormat="0" applyBorder="0" applyAlignment="0" applyProtection="0"/>
    <xf numFmtId="0" fontId="56" fillId="6" borderId="0" applyNumberFormat="0" applyBorder="0" applyAlignment="0" applyProtection="0"/>
    <xf numFmtId="0" fontId="56" fillId="4" borderId="0" applyNumberFormat="0" applyBorder="0" applyAlignment="0" applyProtection="0"/>
    <xf numFmtId="0" fontId="56" fillId="6" borderId="0" applyNumberFormat="0" applyBorder="0" applyAlignment="0" applyProtection="0"/>
    <xf numFmtId="0" fontId="56" fillId="3" borderId="0" applyNumberFormat="0" applyBorder="0" applyAlignment="0" applyProtection="0"/>
    <xf numFmtId="0" fontId="56" fillId="7" borderId="0" applyNumberFormat="0" applyBorder="0" applyAlignment="0" applyProtection="0"/>
    <xf numFmtId="0" fontId="56" fillId="8" borderId="0" applyNumberFormat="0" applyBorder="0" applyAlignment="0" applyProtection="0"/>
    <xf numFmtId="0" fontId="56" fillId="6" borderId="0" applyNumberFormat="0" applyBorder="0" applyAlignment="0" applyProtection="0"/>
    <xf numFmtId="0" fontId="56" fillId="4" borderId="0" applyNumberFormat="0" applyBorder="0" applyAlignment="0" applyProtection="0"/>
    <xf numFmtId="0" fontId="57" fillId="6" borderId="0" applyNumberFormat="0" applyBorder="0" applyAlignment="0" applyProtection="0"/>
    <xf numFmtId="0" fontId="57" fillId="9" borderId="0" applyNumberFormat="0" applyBorder="0" applyAlignment="0" applyProtection="0"/>
    <xf numFmtId="0" fontId="57" fillId="10" borderId="0" applyNumberFormat="0" applyBorder="0" applyAlignment="0" applyProtection="0"/>
    <xf numFmtId="0" fontId="57" fillId="8" borderId="0" applyNumberFormat="0" applyBorder="0" applyAlignment="0" applyProtection="0"/>
    <xf numFmtId="0" fontId="57" fillId="6" borderId="0" applyNumberFormat="0" applyBorder="0" applyAlignment="0" applyProtection="0"/>
    <xf numFmtId="0" fontId="57" fillId="3" borderId="0" applyNumberFormat="0" applyBorder="0" applyAlignment="0" applyProtection="0"/>
    <xf numFmtId="0" fontId="57" fillId="11" borderId="0" applyNumberFormat="0" applyBorder="0" applyAlignment="0" applyProtection="0"/>
    <xf numFmtId="0" fontId="57" fillId="9" borderId="0" applyNumberFormat="0" applyBorder="0" applyAlignment="0" applyProtection="0"/>
    <xf numFmtId="0" fontId="57" fillId="10"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8" fillId="15" borderId="0" applyNumberFormat="0" applyBorder="0" applyAlignment="0" applyProtection="0"/>
    <xf numFmtId="172" fontId="19" fillId="0" borderId="0" applyFill="0"/>
    <xf numFmtId="172" fontId="19" fillId="0" borderId="0">
      <alignment horizontal="center"/>
    </xf>
    <xf numFmtId="0" fontId="19" fillId="0" borderId="0" applyFill="0">
      <alignment horizontal="center"/>
    </xf>
    <xf numFmtId="172" fontId="20" fillId="0" borderId="1" applyFill="0"/>
    <xf numFmtId="0" fontId="21" fillId="0" borderId="0" applyFont="0" applyAlignment="0"/>
    <xf numFmtId="0" fontId="22" fillId="0" borderId="0" applyFill="0">
      <alignment vertical="top"/>
    </xf>
    <xf numFmtId="0" fontId="20" fillId="0" borderId="0" applyFill="0">
      <alignment horizontal="left" vertical="top"/>
    </xf>
    <xf numFmtId="172" fontId="23" fillId="0" borderId="2" applyFill="0"/>
    <xf numFmtId="0" fontId="21" fillId="0" borderId="0" applyNumberFormat="0" applyFont="0" applyAlignment="0"/>
    <xf numFmtId="0" fontId="22" fillId="0" borderId="0" applyFill="0">
      <alignment wrapText="1"/>
    </xf>
    <xf numFmtId="0" fontId="20" fillId="0" borderId="0" applyFill="0">
      <alignment horizontal="left" vertical="top" wrapText="1"/>
    </xf>
    <xf numFmtId="172" fontId="24" fillId="0" borderId="0" applyFill="0"/>
    <xf numFmtId="0" fontId="25" fillId="0" borderId="0" applyNumberFormat="0" applyFont="0" applyAlignment="0">
      <alignment horizontal="center"/>
    </xf>
    <xf numFmtId="0" fontId="26" fillId="0" borderId="0" applyFill="0">
      <alignment vertical="top" wrapText="1"/>
    </xf>
    <xf numFmtId="0" fontId="23" fillId="0" borderId="0" applyFill="0">
      <alignment horizontal="left" vertical="top" wrapText="1"/>
    </xf>
    <xf numFmtId="172" fontId="21" fillId="0" borderId="0" applyFill="0"/>
    <xf numFmtId="0" fontId="25" fillId="0" borderId="0" applyNumberFormat="0" applyFont="0" applyAlignment="0">
      <alignment horizontal="center"/>
    </xf>
    <xf numFmtId="0" fontId="27" fillId="0" borderId="0" applyFill="0">
      <alignment vertical="center" wrapText="1"/>
    </xf>
    <xf numFmtId="0" fontId="28" fillId="0" borderId="0">
      <alignment horizontal="left" vertical="center" wrapText="1"/>
    </xf>
    <xf numFmtId="172" fontId="29" fillId="0" borderId="0" applyFill="0"/>
    <xf numFmtId="0" fontId="25" fillId="0" borderId="0" applyNumberFormat="0" applyFont="0" applyAlignment="0">
      <alignment horizontal="center"/>
    </xf>
    <xf numFmtId="0" fontId="30" fillId="0" borderId="0" applyFill="0">
      <alignment horizontal="center" vertical="center" wrapText="1"/>
    </xf>
    <xf numFmtId="0" fontId="31" fillId="0" borderId="0" applyFill="0">
      <alignment horizontal="center" vertical="center" wrapText="1"/>
    </xf>
    <xf numFmtId="172" fontId="32" fillId="0" borderId="0" applyFill="0"/>
    <xf numFmtId="0" fontId="25" fillId="0" borderId="0" applyNumberFormat="0" applyFont="0" applyAlignment="0">
      <alignment horizontal="center"/>
    </xf>
    <xf numFmtId="0" fontId="33" fillId="0" borderId="0" applyFill="0">
      <alignment horizontal="center" vertical="center" wrapText="1"/>
    </xf>
    <xf numFmtId="0" fontId="34" fillId="0" borderId="0" applyFill="0">
      <alignment horizontal="center" vertical="center" wrapText="1"/>
    </xf>
    <xf numFmtId="172" fontId="35" fillId="0" borderId="0" applyFill="0"/>
    <xf numFmtId="0" fontId="25" fillId="0" borderId="0" applyNumberFormat="0" applyFont="0" applyAlignment="0">
      <alignment horizontal="center"/>
    </xf>
    <xf numFmtId="0" fontId="36" fillId="0" borderId="0">
      <alignment horizontal="center" wrapText="1"/>
    </xf>
    <xf numFmtId="0" fontId="32" fillId="0" borderId="0" applyFill="0">
      <alignment horizontal="center" wrapText="1"/>
    </xf>
    <xf numFmtId="0" fontId="59" fillId="16" borderId="3" applyNumberFormat="0" applyAlignment="0" applyProtection="0"/>
    <xf numFmtId="0" fontId="60" fillId="17" borderId="4" applyNumberFormat="0" applyAlignment="0" applyProtection="0"/>
    <xf numFmtId="43" fontId="21" fillId="0" borderId="0" applyFont="0" applyFill="0" applyBorder="0" applyAlignment="0" applyProtection="0"/>
    <xf numFmtId="43" fontId="69" fillId="0" borderId="0" applyFont="0" applyFill="0" applyBorder="0" applyAlignment="0" applyProtection="0"/>
    <xf numFmtId="43" fontId="31" fillId="0" borderId="0" applyFont="0" applyFill="0" applyBorder="0" applyAlignment="0" applyProtection="0"/>
    <xf numFmtId="3" fontId="21" fillId="0" borderId="0" applyFont="0" applyFill="0" applyBorder="0" applyAlignment="0" applyProtection="0"/>
    <xf numFmtId="44" fontId="21" fillId="0" borderId="0" applyFont="0" applyFill="0" applyBorder="0" applyAlignment="0" applyProtection="0"/>
    <xf numFmtId="5" fontId="21" fillId="0" borderId="0" applyFont="0" applyFill="0" applyBorder="0" applyAlignment="0" applyProtection="0"/>
    <xf numFmtId="14" fontId="21" fillId="0" borderId="0" applyFont="0" applyFill="0" applyBorder="0" applyAlignment="0" applyProtection="0"/>
    <xf numFmtId="0" fontId="62" fillId="0" borderId="0" applyNumberFormat="0" applyFill="0" applyBorder="0" applyAlignment="0" applyProtection="0"/>
    <xf numFmtId="2" fontId="21" fillId="0" borderId="0" applyFont="0" applyFill="0" applyBorder="0" applyAlignment="0" applyProtection="0"/>
    <xf numFmtId="0" fontId="63" fillId="6" borderId="0" applyNumberFormat="0" applyBorder="0" applyAlignment="0" applyProtection="0"/>
    <xf numFmtId="0" fontId="37" fillId="0" borderId="0" applyFont="0" applyFill="0" applyBorder="0" applyAlignment="0" applyProtection="0"/>
    <xf numFmtId="0" fontId="38" fillId="0" borderId="0" applyFont="0" applyFill="0" applyBorder="0" applyAlignment="0" applyProtection="0"/>
    <xf numFmtId="0" fontId="64" fillId="0" borderId="5" applyNumberFormat="0" applyFill="0" applyAlignment="0" applyProtection="0"/>
    <xf numFmtId="0" fontId="64" fillId="0" borderId="0" applyNumberFormat="0" applyFill="0" applyBorder="0" applyAlignment="0" applyProtection="0"/>
    <xf numFmtId="0" fontId="39" fillId="0" borderId="6"/>
    <xf numFmtId="0" fontId="40" fillId="0" borderId="0"/>
    <xf numFmtId="0" fontId="65" fillId="7" borderId="3" applyNumberFormat="0" applyAlignment="0" applyProtection="0"/>
    <xf numFmtId="0" fontId="66" fillId="0" borderId="7" applyNumberFormat="0" applyFill="0" applyAlignment="0" applyProtection="0"/>
    <xf numFmtId="0" fontId="67" fillId="7" borderId="0" applyNumberFormat="0" applyBorder="0" applyAlignment="0" applyProtection="0"/>
    <xf numFmtId="0" fontId="71" fillId="0" borderId="0">
      <alignment vertical="top"/>
    </xf>
    <xf numFmtId="0" fontId="31" fillId="0" borderId="0"/>
    <xf numFmtId="0" fontId="31" fillId="0" borderId="0"/>
    <xf numFmtId="0" fontId="31" fillId="0" borderId="0"/>
    <xf numFmtId="0" fontId="21" fillId="0" borderId="0"/>
    <xf numFmtId="0" fontId="61" fillId="4" borderId="8" applyNumberFormat="0" applyFont="0" applyAlignment="0" applyProtection="0"/>
    <xf numFmtId="0" fontId="68" fillId="16" borderId="9" applyNumberFormat="0" applyAlignment="0" applyProtection="0"/>
    <xf numFmtId="9" fontId="21" fillId="0" borderId="0" applyFont="0" applyFill="0" applyBorder="0" applyAlignment="0" applyProtection="0"/>
    <xf numFmtId="9" fontId="31" fillId="0" borderId="0" applyFont="0" applyFill="0" applyBorder="0" applyAlignment="0" applyProtection="0"/>
    <xf numFmtId="0" fontId="41" fillId="0" borderId="0" applyNumberFormat="0" applyFont="0" applyFill="0" applyBorder="0" applyAlignment="0" applyProtection="0">
      <alignment horizontal="left"/>
    </xf>
    <xf numFmtId="15" fontId="41" fillId="0" borderId="0" applyFont="0" applyFill="0" applyBorder="0" applyAlignment="0" applyProtection="0"/>
    <xf numFmtId="4" fontId="41" fillId="0" borderId="0" applyFont="0" applyFill="0" applyBorder="0" applyAlignment="0" applyProtection="0"/>
    <xf numFmtId="3" fontId="21" fillId="0" borderId="0">
      <alignment horizontal="left" vertical="top"/>
    </xf>
    <xf numFmtId="0" fontId="42" fillId="0" borderId="6">
      <alignment horizontal="center"/>
    </xf>
    <xf numFmtId="3" fontId="41" fillId="0" borderId="0" applyFont="0" applyFill="0" applyBorder="0" applyAlignment="0" applyProtection="0"/>
    <xf numFmtId="0" fontId="41" fillId="18" borderId="0" applyNumberFormat="0" applyFont="0" applyBorder="0" applyAlignment="0" applyProtection="0"/>
    <xf numFmtId="3" fontId="21" fillId="0" borderId="0">
      <alignment horizontal="right" vertical="top"/>
    </xf>
    <xf numFmtId="41" fontId="28" fillId="19" borderId="10" applyFill="0"/>
    <xf numFmtId="0" fontId="43" fillId="0" borderId="0">
      <alignment horizontal="left" indent="7"/>
    </xf>
    <xf numFmtId="41" fontId="28" fillId="0" borderId="10" applyFill="0">
      <alignment horizontal="left" indent="2"/>
    </xf>
    <xf numFmtId="172" fontId="44" fillId="0" borderId="11" applyFill="0">
      <alignment horizontal="right"/>
    </xf>
    <xf numFmtId="0" fontId="45" fillId="0" borderId="12" applyNumberFormat="0" applyFont="0" applyBorder="0">
      <alignment horizontal="right"/>
    </xf>
    <xf numFmtId="0" fontId="46" fillId="0" borderId="0" applyFill="0"/>
    <xf numFmtId="0" fontId="23" fillId="0" borderId="0" applyFill="0"/>
    <xf numFmtId="4" fontId="44" fillId="0" borderId="11" applyFill="0"/>
    <xf numFmtId="0" fontId="21" fillId="0" borderId="0" applyNumberFormat="0" applyFont="0" applyBorder="0" applyAlignment="0"/>
    <xf numFmtId="0" fontId="26" fillId="0" borderId="0" applyFill="0">
      <alignment horizontal="left" indent="1"/>
    </xf>
    <xf numFmtId="0" fontId="47" fillId="0" borderId="0" applyFill="0">
      <alignment horizontal="left" indent="1"/>
    </xf>
    <xf numFmtId="4" fontId="29" fillId="0" borderId="0" applyFill="0"/>
    <xf numFmtId="0" fontId="21" fillId="0" borderId="0" applyNumberFormat="0" applyFont="0" applyFill="0" applyBorder="0" applyAlignment="0"/>
    <xf numFmtId="0" fontId="26" fillId="0" borderId="0" applyFill="0">
      <alignment horizontal="left" indent="2"/>
    </xf>
    <xf numFmtId="0" fontId="23" fillId="0" borderId="0" applyFill="0">
      <alignment horizontal="left" indent="2"/>
    </xf>
    <xf numFmtId="4" fontId="29" fillId="0" borderId="0" applyFill="0"/>
    <xf numFmtId="0" fontId="21" fillId="0" borderId="0" applyNumberFormat="0" applyFont="0" applyBorder="0" applyAlignment="0"/>
    <xf numFmtId="0" fontId="48" fillId="0" borderId="0">
      <alignment horizontal="left" indent="3"/>
    </xf>
    <xf numFmtId="0" fontId="49" fillId="0" borderId="0" applyFill="0">
      <alignment horizontal="left" indent="3"/>
    </xf>
    <xf numFmtId="4" fontId="29" fillId="0" borderId="0" applyFill="0"/>
    <xf numFmtId="0" fontId="21" fillId="0" borderId="0" applyNumberFormat="0" applyFont="0" applyBorder="0" applyAlignment="0"/>
    <xf numFmtId="0" fontId="30" fillId="0" borderId="0">
      <alignment horizontal="left" indent="4"/>
    </xf>
    <xf numFmtId="0" fontId="31" fillId="0" borderId="0" applyFill="0">
      <alignment horizontal="left" indent="4"/>
    </xf>
    <xf numFmtId="4" fontId="32" fillId="0" borderId="0" applyFill="0"/>
    <xf numFmtId="0" fontId="21" fillId="0" borderId="0" applyNumberFormat="0" applyFont="0" applyBorder="0" applyAlignment="0"/>
    <xf numFmtId="0" fontId="33" fillId="0" borderId="0">
      <alignment horizontal="left" indent="5"/>
    </xf>
    <xf numFmtId="0" fontId="34" fillId="0" borderId="0" applyFill="0">
      <alignment horizontal="left" indent="5"/>
    </xf>
    <xf numFmtId="4" fontId="35" fillId="0" borderId="0" applyFill="0"/>
    <xf numFmtId="0" fontId="21" fillId="0" borderId="0" applyNumberFormat="0" applyFont="0" applyFill="0" applyBorder="0" applyAlignment="0"/>
    <xf numFmtId="0" fontId="36" fillId="0" borderId="0" applyFill="0">
      <alignment horizontal="left" indent="6"/>
    </xf>
    <xf numFmtId="0" fontId="32" fillId="0" borderId="0" applyFill="0">
      <alignment horizontal="left" indent="6"/>
    </xf>
    <xf numFmtId="0" fontId="70" fillId="0" borderId="0" applyNumberFormat="0" applyFill="0" applyBorder="0" applyAlignment="0" applyProtection="0"/>
    <xf numFmtId="0" fontId="21" fillId="0" borderId="0" applyFont="0" applyFill="0" applyBorder="0" applyAlignment="0" applyProtection="0"/>
    <xf numFmtId="0" fontId="66" fillId="0" borderId="0" applyNumberFormat="0" applyFill="0" applyBorder="0" applyAlignment="0" applyProtection="0"/>
    <xf numFmtId="0" fontId="18" fillId="0" borderId="0"/>
    <xf numFmtId="9" fontId="18" fillId="0" borderId="0" applyFont="0" applyFill="0" applyBorder="0" applyAlignment="0" applyProtection="0"/>
    <xf numFmtId="44" fontId="21" fillId="0" borderId="0" applyFont="0" applyFill="0" applyBorder="0" applyAlignment="0" applyProtection="0"/>
    <xf numFmtId="0" fontId="21" fillId="0" borderId="0"/>
    <xf numFmtId="43" fontId="21" fillId="0" borderId="0" applyFont="0" applyFill="0" applyBorder="0" applyAlignment="0" applyProtection="0"/>
    <xf numFmtId="9" fontId="21" fillId="0" borderId="0" applyFont="0" applyFill="0" applyBorder="0" applyAlignment="0" applyProtection="0"/>
    <xf numFmtId="0" fontId="61" fillId="0" borderId="0" applyProtection="0"/>
    <xf numFmtId="43" fontId="21" fillId="0" borderId="0" applyFont="0" applyFill="0" applyBorder="0" applyAlignment="0" applyProtection="0"/>
    <xf numFmtId="0" fontId="99" fillId="0" borderId="0"/>
    <xf numFmtId="44"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44" fontId="21" fillId="0" borderId="0" applyFont="0" applyFill="0" applyBorder="0" applyAlignment="0" applyProtection="0"/>
    <xf numFmtId="172" fontId="61" fillId="0" borderId="0" applyProtection="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0" fontId="16" fillId="0" borderId="0"/>
    <xf numFmtId="43" fontId="16" fillId="0" borderId="0" applyFont="0" applyFill="0" applyBorder="0" applyAlignment="0" applyProtection="0"/>
    <xf numFmtId="0" fontId="103" fillId="0" borderId="0"/>
    <xf numFmtId="43" fontId="103" fillId="0" borderId="0" applyFont="0" applyFill="0" applyBorder="0" applyAlignment="0" applyProtection="0"/>
    <xf numFmtId="0" fontId="21" fillId="0" borderId="0"/>
    <xf numFmtId="9" fontId="61" fillId="0" borderId="0" applyFont="0" applyFill="0" applyBorder="0" applyAlignment="0" applyProtection="0"/>
    <xf numFmtId="0" fontId="15" fillId="0" borderId="0"/>
    <xf numFmtId="43" fontId="15" fillId="0" borderId="0" applyFont="0" applyFill="0" applyBorder="0" applyAlignment="0" applyProtection="0"/>
    <xf numFmtId="0" fontId="21" fillId="0" borderId="0"/>
    <xf numFmtId="43" fontId="9" fillId="0" borderId="0" applyFont="0" applyFill="0" applyBorder="0" applyAlignment="0" applyProtection="0"/>
    <xf numFmtId="0" fontId="21" fillId="0" borderId="0"/>
    <xf numFmtId="0" fontId="124" fillId="0" borderId="0"/>
    <xf numFmtId="43" fontId="124" fillId="0" borderId="0" applyFont="0" applyFill="0" applyBorder="0" applyAlignment="0" applyProtection="0"/>
    <xf numFmtId="41" fontId="8" fillId="0" borderId="0" applyFont="0" applyFill="0" applyBorder="0" applyAlignment="0" applyProtection="0"/>
    <xf numFmtId="0" fontId="6" fillId="0" borderId="0"/>
    <xf numFmtId="0" fontId="21" fillId="0" borderId="0"/>
    <xf numFmtId="43" fontId="21" fillId="0" borderId="0" applyFont="0" applyFill="0" applyBorder="0" applyAlignment="0" applyProtection="0"/>
  </cellStyleXfs>
  <cellXfs count="1065">
    <xf numFmtId="172" fontId="0" fillId="0" borderId="0" xfId="0"/>
    <xf numFmtId="172" fontId="50" fillId="0" borderId="0" xfId="0" applyFont="1"/>
    <xf numFmtId="0" fontId="50" fillId="0" borderId="0" xfId="0" applyNumberFormat="1" applyFont="1"/>
    <xf numFmtId="0" fontId="50" fillId="0" borderId="0" xfId="0" applyNumberFormat="1" applyFont="1" applyAlignment="1">
      <alignment horizontal="right"/>
    </xf>
    <xf numFmtId="3" fontId="50" fillId="0" borderId="0" xfId="82" applyNumberFormat="1" applyFont="1"/>
    <xf numFmtId="0" fontId="21" fillId="0" borderId="0" xfId="82"/>
    <xf numFmtId="0" fontId="52" fillId="0" borderId="0" xfId="82" applyFont="1"/>
    <xf numFmtId="3" fontId="52" fillId="0" borderId="0" xfId="82" applyNumberFormat="1" applyFont="1"/>
    <xf numFmtId="0" fontId="50" fillId="0" borderId="0" xfId="82" applyFont="1"/>
    <xf numFmtId="173" fontId="50" fillId="0" borderId="0" xfId="63" applyNumberFormat="1" applyFont="1" applyFill="1" applyBorder="1" applyAlignment="1"/>
    <xf numFmtId="0" fontId="54" fillId="0" borderId="0" xfId="82" applyFont="1"/>
    <xf numFmtId="173" fontId="50" fillId="0" borderId="0" xfId="63" applyNumberFormat="1" applyFont="1" applyBorder="1" applyAlignment="1"/>
    <xf numFmtId="177" fontId="50" fillId="0" borderId="0" xfId="63" applyNumberFormat="1" applyFont="1" applyBorder="1"/>
    <xf numFmtId="0" fontId="50" fillId="0" borderId="0" xfId="82" applyFont="1" applyAlignment="1">
      <alignment horizontal="left" wrapText="1"/>
    </xf>
    <xf numFmtId="0" fontId="50" fillId="0" borderId="0" xfId="82" applyFont="1" applyAlignment="1">
      <alignment horizontal="left"/>
    </xf>
    <xf numFmtId="0" fontId="54" fillId="0" borderId="0" xfId="82" applyFont="1" applyAlignment="1">
      <alignment horizontal="center"/>
    </xf>
    <xf numFmtId="172" fontId="50" fillId="0" borderId="0" xfId="0" applyFont="1" applyAlignment="1">
      <alignment horizontal="right"/>
    </xf>
    <xf numFmtId="172" fontId="50" fillId="0" borderId="0" xfId="0" applyFont="1" applyAlignment="1">
      <alignment horizontal="center"/>
    </xf>
    <xf numFmtId="172" fontId="51" fillId="0" borderId="0" xfId="0" applyFont="1"/>
    <xf numFmtId="172" fontId="51" fillId="0" borderId="13" xfId="0" applyFont="1" applyBorder="1" applyAlignment="1">
      <alignment horizontal="center" wrapText="1"/>
    </xf>
    <xf numFmtId="172" fontId="51" fillId="0" borderId="14" xfId="0" applyFont="1" applyBorder="1"/>
    <xf numFmtId="172" fontId="51" fillId="0" borderId="14" xfId="0" applyFont="1" applyBorder="1" applyAlignment="1">
      <alignment horizontal="center" wrapText="1"/>
    </xf>
    <xf numFmtId="0" fontId="51" fillId="0" borderId="14" xfId="0" applyNumberFormat="1" applyFont="1" applyBorder="1" applyAlignment="1">
      <alignment horizontal="center" wrapText="1"/>
    </xf>
    <xf numFmtId="0" fontId="50" fillId="0" borderId="13" xfId="0" applyNumberFormat="1" applyFont="1" applyBorder="1"/>
    <xf numFmtId="0" fontId="50" fillId="0" borderId="14" xfId="0" applyNumberFormat="1" applyFont="1" applyBorder="1"/>
    <xf numFmtId="0" fontId="50" fillId="0" borderId="14" xfId="0" applyNumberFormat="1" applyFont="1" applyBorder="1" applyAlignment="1">
      <alignment horizontal="center"/>
    </xf>
    <xf numFmtId="0" fontId="50" fillId="0" borderId="16" xfId="0" applyNumberFormat="1" applyFont="1" applyBorder="1"/>
    <xf numFmtId="1" fontId="50" fillId="0" borderId="0" xfId="0" applyNumberFormat="1" applyFont="1" applyAlignment="1">
      <alignment horizontal="center"/>
    </xf>
    <xf numFmtId="172" fontId="52" fillId="0" borderId="0" xfId="0" applyFont="1"/>
    <xf numFmtId="172" fontId="54" fillId="0" borderId="0" xfId="0" applyFont="1"/>
    <xf numFmtId="172" fontId="51" fillId="0" borderId="14" xfId="0" applyFont="1" applyBorder="1" applyAlignment="1">
      <alignment horizontal="center"/>
    </xf>
    <xf numFmtId="0" fontId="50" fillId="0" borderId="0" xfId="82" applyFont="1" applyAlignment="1">
      <alignment horizontal="center" vertical="top"/>
    </xf>
    <xf numFmtId="0" fontId="50" fillId="20" borderId="0" xfId="0" applyNumberFormat="1" applyFont="1" applyFill="1" applyAlignment="1">
      <alignment horizontal="right"/>
    </xf>
    <xf numFmtId="172" fontId="72" fillId="0" borderId="0" xfId="0" applyFont="1" applyAlignment="1">
      <alignment vertical="center"/>
    </xf>
    <xf numFmtId="43" fontId="72" fillId="0" borderId="0" xfId="59" applyFont="1" applyAlignment="1">
      <alignment vertical="center"/>
    </xf>
    <xf numFmtId="0" fontId="72" fillId="0" borderId="0" xfId="0" applyNumberFormat="1" applyFont="1" applyAlignment="1">
      <alignment vertical="center"/>
    </xf>
    <xf numFmtId="0" fontId="72" fillId="20" borderId="0" xfId="0" applyNumberFormat="1" applyFont="1" applyFill="1" applyAlignment="1">
      <alignment vertical="center"/>
    </xf>
    <xf numFmtId="172" fontId="73" fillId="0" borderId="0" xfId="0" applyFont="1" applyAlignment="1">
      <alignment horizontal="right" vertical="center"/>
    </xf>
    <xf numFmtId="172" fontId="73" fillId="0" borderId="0" xfId="0" applyFont="1" applyAlignment="1">
      <alignment vertical="center"/>
    </xf>
    <xf numFmtId="172" fontId="72" fillId="0" borderId="0" xfId="0" applyFont="1" applyAlignment="1">
      <alignment horizontal="center" vertical="center"/>
    </xf>
    <xf numFmtId="172" fontId="73" fillId="0" borderId="0" xfId="0" applyFont="1" applyAlignment="1">
      <alignment horizontal="center" vertical="center"/>
    </xf>
    <xf numFmtId="172" fontId="74" fillId="0" borderId="0" xfId="0" applyFont="1" applyAlignment="1">
      <alignment horizontal="center" vertical="center"/>
    </xf>
    <xf numFmtId="172" fontId="76" fillId="0" borderId="0" xfId="0" applyFont="1" applyAlignment="1">
      <alignment horizontal="left" vertical="center"/>
    </xf>
    <xf numFmtId="0" fontId="73" fillId="0" borderId="0" xfId="0" applyNumberFormat="1" applyFont="1" applyAlignment="1">
      <alignment horizontal="center" vertical="center"/>
    </xf>
    <xf numFmtId="172" fontId="74" fillId="0" borderId="0" xfId="0" applyFont="1" applyAlignment="1">
      <alignment vertical="center"/>
    </xf>
    <xf numFmtId="43" fontId="72" fillId="0" borderId="0" xfId="59" applyFont="1" applyAlignment="1">
      <alignment horizontal="center" vertical="center"/>
    </xf>
    <xf numFmtId="49" fontId="72" fillId="0" borderId="0" xfId="0" applyNumberFormat="1" applyFont="1" applyAlignment="1">
      <alignment vertical="center"/>
    </xf>
    <xf numFmtId="172" fontId="75" fillId="0" borderId="0" xfId="0" applyFont="1" applyAlignment="1">
      <alignment horizontal="center" vertical="center"/>
    </xf>
    <xf numFmtId="172" fontId="73" fillId="0" borderId="0" xfId="0" applyFont="1" applyAlignment="1">
      <alignment horizontal="left" vertical="center"/>
    </xf>
    <xf numFmtId="172" fontId="75" fillId="0" borderId="0" xfId="0" applyFont="1" applyAlignment="1">
      <alignment horizontal="right" vertical="center"/>
    </xf>
    <xf numFmtId="49" fontId="72" fillId="0" borderId="0" xfId="0" applyNumberFormat="1" applyFont="1" applyAlignment="1">
      <alignment horizontal="center" vertical="center"/>
    </xf>
    <xf numFmtId="49" fontId="73" fillId="0" borderId="0" xfId="0" applyNumberFormat="1" applyFont="1" applyAlignment="1">
      <alignment horizontal="center" vertical="center"/>
    </xf>
    <xf numFmtId="164" fontId="72" fillId="0" borderId="0" xfId="85" applyNumberFormat="1" applyFont="1" applyAlignment="1">
      <alignment horizontal="center" vertical="center"/>
    </xf>
    <xf numFmtId="172" fontId="78" fillId="21" borderId="15" xfId="0" applyFont="1" applyFill="1" applyBorder="1" applyAlignment="1">
      <alignment vertical="center"/>
    </xf>
    <xf numFmtId="172" fontId="79" fillId="21" borderId="2" xfId="0" applyFont="1" applyFill="1" applyBorder="1" applyAlignment="1">
      <alignment vertical="center"/>
    </xf>
    <xf numFmtId="172" fontId="79" fillId="21" borderId="2" xfId="0" applyFont="1" applyFill="1" applyBorder="1" applyAlignment="1">
      <alignment horizontal="center" vertical="center"/>
    </xf>
    <xf numFmtId="172" fontId="79" fillId="21" borderId="20" xfId="0" applyFont="1" applyFill="1" applyBorder="1" applyAlignment="1">
      <alignment vertical="center"/>
    </xf>
    <xf numFmtId="172" fontId="72" fillId="0" borderId="16" xfId="0" applyFont="1" applyBorder="1" applyAlignment="1">
      <alignment vertical="center"/>
    </xf>
    <xf numFmtId="172" fontId="72" fillId="0" borderId="21" xfId="0" applyFont="1" applyBorder="1" applyAlignment="1">
      <alignment vertical="center"/>
    </xf>
    <xf numFmtId="172" fontId="72" fillId="0" borderId="17" xfId="0" applyFont="1" applyBorder="1" applyAlignment="1">
      <alignment vertical="center"/>
    </xf>
    <xf numFmtId="172" fontId="72" fillId="0" borderId="11" xfId="0" applyFont="1" applyBorder="1" applyAlignment="1">
      <alignment vertical="center"/>
    </xf>
    <xf numFmtId="173" fontId="50" fillId="20" borderId="0" xfId="63" applyNumberFormat="1" applyFont="1" applyFill="1" applyBorder="1" applyAlignment="1"/>
    <xf numFmtId="0" fontId="50" fillId="0" borderId="23" xfId="0" applyNumberFormat="1" applyFont="1" applyBorder="1" applyAlignment="1">
      <alignment horizontal="center"/>
    </xf>
    <xf numFmtId="172" fontId="77" fillId="0" borderId="0" xfId="0" applyFont="1" applyAlignment="1">
      <alignment horizontal="left" vertical="center"/>
    </xf>
    <xf numFmtId="172" fontId="50" fillId="0" borderId="0" xfId="0" applyFont="1" applyAlignment="1">
      <alignment vertical="center"/>
    </xf>
    <xf numFmtId="172" fontId="50" fillId="0" borderId="0" xfId="0" applyFont="1" applyAlignment="1">
      <alignment horizontal="right" vertical="center"/>
    </xf>
    <xf numFmtId="172" fontId="50" fillId="0" borderId="0" xfId="0" applyFont="1" applyAlignment="1">
      <alignment horizontal="center" vertical="center"/>
    </xf>
    <xf numFmtId="173" fontId="28" fillId="0" borderId="0" xfId="63" applyNumberFormat="1" applyFont="1" applyFill="1"/>
    <xf numFmtId="172" fontId="50" fillId="0" borderId="0" xfId="0" applyFont="1" applyAlignment="1">
      <alignment vertical="center" wrapText="1"/>
    </xf>
    <xf numFmtId="175" fontId="73" fillId="20" borderId="0" xfId="59" applyNumberFormat="1" applyFont="1" applyFill="1" applyAlignment="1">
      <alignment horizontal="center" vertical="center"/>
    </xf>
    <xf numFmtId="175" fontId="73" fillId="0" borderId="0" xfId="59" applyNumberFormat="1" applyFont="1" applyAlignment="1">
      <alignment vertical="center"/>
    </xf>
    <xf numFmtId="175" fontId="73" fillId="0" borderId="0" xfId="59" applyNumberFormat="1" applyFont="1" applyAlignment="1">
      <alignment horizontal="center" vertical="center"/>
    </xf>
    <xf numFmtId="175" fontId="73" fillId="20" borderId="0" xfId="59" applyNumberFormat="1" applyFont="1" applyFill="1" applyBorder="1" applyAlignment="1">
      <alignment horizontal="center" vertical="center"/>
    </xf>
    <xf numFmtId="175" fontId="73" fillId="0" borderId="0" xfId="59" applyNumberFormat="1" applyFont="1" applyBorder="1" applyAlignment="1">
      <alignment horizontal="center" vertical="center"/>
    </xf>
    <xf numFmtId="175" fontId="73" fillId="0" borderId="11" xfId="59" applyNumberFormat="1" applyFont="1" applyBorder="1" applyAlignment="1">
      <alignment horizontal="center" vertical="center"/>
    </xf>
    <xf numFmtId="175" fontId="73" fillId="20" borderId="6" xfId="59" applyNumberFormat="1" applyFont="1" applyFill="1" applyBorder="1" applyAlignment="1">
      <alignment horizontal="center" vertical="center"/>
    </xf>
    <xf numFmtId="175" fontId="73" fillId="0" borderId="0" xfId="59" applyNumberFormat="1" applyFont="1" applyFill="1" applyAlignment="1">
      <alignment horizontal="center" vertical="center"/>
    </xf>
    <xf numFmtId="180" fontId="50" fillId="0" borderId="0" xfId="59" applyNumberFormat="1" applyFont="1" applyFill="1" applyAlignment="1">
      <alignment horizontal="right"/>
    </xf>
    <xf numFmtId="0" fontId="82" fillId="0" borderId="0" xfId="129" applyFont="1"/>
    <xf numFmtId="0" fontId="83" fillId="0" borderId="0" xfId="129" applyFont="1"/>
    <xf numFmtId="0" fontId="82" fillId="0" borderId="0" xfId="129" applyFont="1" applyAlignment="1">
      <alignment horizontal="left" vertical="center"/>
    </xf>
    <xf numFmtId="0" fontId="18" fillId="0" borderId="0" xfId="129" applyAlignment="1">
      <alignment vertical="center"/>
    </xf>
    <xf numFmtId="3" fontId="50" fillId="20" borderId="0" xfId="82" applyNumberFormat="1" applyFont="1" applyFill="1"/>
    <xf numFmtId="173" fontId="50" fillId="20" borderId="11" xfId="63" applyNumberFormat="1" applyFont="1" applyFill="1" applyBorder="1" applyAlignment="1"/>
    <xf numFmtId="172" fontId="85" fillId="0" borderId="0" xfId="0" applyFont="1" applyAlignment="1">
      <alignment vertical="center"/>
    </xf>
    <xf numFmtId="172" fontId="86" fillId="0" borderId="0" xfId="0" applyFont="1" applyAlignment="1">
      <alignment horizontal="center" vertical="center"/>
    </xf>
    <xf numFmtId="1" fontId="72" fillId="0" borderId="0" xfId="0" applyNumberFormat="1" applyFont="1" applyAlignment="1">
      <alignment horizontal="right" vertical="center"/>
    </xf>
    <xf numFmtId="172" fontId="87" fillId="0" borderId="0" xfId="0" applyFont="1" applyAlignment="1">
      <alignment horizontal="center" vertical="center"/>
    </xf>
    <xf numFmtId="0" fontId="45" fillId="0" borderId="0" xfId="129" applyFont="1"/>
    <xf numFmtId="0" fontId="82" fillId="0" borderId="0" xfId="129" applyFont="1" applyAlignment="1">
      <alignment horizontal="center"/>
    </xf>
    <xf numFmtId="0" fontId="82" fillId="0" borderId="0" xfId="129" applyFont="1" applyAlignment="1">
      <alignment horizontal="center" wrapText="1"/>
    </xf>
    <xf numFmtId="0" fontId="83" fillId="0" borderId="6" xfId="129" applyFont="1" applyBorder="1"/>
    <xf numFmtId="10" fontId="82" fillId="20" borderId="0" xfId="129" applyNumberFormat="1" applyFont="1" applyFill="1"/>
    <xf numFmtId="0" fontId="82" fillId="0" borderId="0" xfId="129" applyFont="1" applyAlignment="1">
      <alignment horizontal="right" wrapText="1"/>
    </xf>
    <xf numFmtId="164" fontId="82" fillId="0" borderId="27" xfId="129" applyNumberFormat="1" applyFont="1" applyBorder="1"/>
    <xf numFmtId="172" fontId="72" fillId="0" borderId="0" xfId="0" applyFont="1" applyAlignment="1">
      <alignment horizontal="center" vertical="top"/>
    </xf>
    <xf numFmtId="175" fontId="73" fillId="20" borderId="0" xfId="59" applyNumberFormat="1" applyFont="1" applyFill="1" applyAlignment="1">
      <alignment horizontal="left" vertical="center"/>
    </xf>
    <xf numFmtId="0" fontId="17" fillId="0" borderId="0" xfId="129" applyFont="1" applyAlignment="1">
      <alignment vertical="center"/>
    </xf>
    <xf numFmtId="0" fontId="21" fillId="0" borderId="0" xfId="132"/>
    <xf numFmtId="0" fontId="28" fillId="0" borderId="0" xfId="132" applyFont="1"/>
    <xf numFmtId="0" fontId="28" fillId="0" borderId="0" xfId="132" applyFont="1" applyAlignment="1">
      <alignment horizontal="center"/>
    </xf>
    <xf numFmtId="3" fontId="28" fillId="0" borderId="0" xfId="132" applyNumberFormat="1" applyFont="1"/>
    <xf numFmtId="175" fontId="28" fillId="0" borderId="0" xfId="133" applyNumberFormat="1" applyFont="1" applyFill="1"/>
    <xf numFmtId="0" fontId="91" fillId="22" borderId="0" xfId="132" applyFont="1" applyFill="1"/>
    <xf numFmtId="0" fontId="28" fillId="22" borderId="0" xfId="132" applyFont="1" applyFill="1"/>
    <xf numFmtId="0" fontId="91" fillId="0" borderId="0" xfId="132" applyFont="1"/>
    <xf numFmtId="0" fontId="23" fillId="0" borderId="0" xfId="132" applyFont="1" applyAlignment="1">
      <alignment horizontal="center"/>
    </xf>
    <xf numFmtId="0" fontId="28" fillId="0" borderId="0" xfId="132" applyFont="1" applyAlignment="1">
      <alignment wrapText="1"/>
    </xf>
    <xf numFmtId="0" fontId="28" fillId="0" borderId="0" xfId="132" applyFont="1" applyAlignment="1">
      <alignment horizontal="left"/>
    </xf>
    <xf numFmtId="3" fontId="28" fillId="0" borderId="0" xfId="132" applyNumberFormat="1" applyFont="1" applyAlignment="1">
      <alignment horizontal="left"/>
    </xf>
    <xf numFmtId="3" fontId="23" fillId="0" borderId="0" xfId="132" applyNumberFormat="1" applyFont="1" applyAlignment="1">
      <alignment horizontal="left"/>
    </xf>
    <xf numFmtId="0" fontId="23" fillId="0" borderId="0" xfId="132" applyFont="1" applyAlignment="1">
      <alignment horizontal="left"/>
    </xf>
    <xf numFmtId="3" fontId="28" fillId="0" borderId="11" xfId="132" applyNumberFormat="1" applyFont="1" applyBorder="1"/>
    <xf numFmtId="3" fontId="28" fillId="0" borderId="11" xfId="132" applyNumberFormat="1" applyFont="1" applyBorder="1" applyAlignment="1">
      <alignment horizontal="left"/>
    </xf>
    <xf numFmtId="0" fontId="28" fillId="0" borderId="2" xfId="132" applyFont="1" applyBorder="1"/>
    <xf numFmtId="0" fontId="23" fillId="0" borderId="2" xfId="132" applyFont="1" applyBorder="1"/>
    <xf numFmtId="3" fontId="28" fillId="0" borderId="2" xfId="132" applyNumberFormat="1" applyFont="1" applyBorder="1"/>
    <xf numFmtId="3" fontId="28" fillId="0" borderId="0" xfId="132" applyNumberFormat="1" applyFont="1" applyAlignment="1">
      <alignment horizontal="center"/>
    </xf>
    <xf numFmtId="179" fontId="28" fillId="0" borderId="0" xfId="134" applyNumberFormat="1" applyFont="1" applyFill="1" applyBorder="1" applyAlignment="1"/>
    <xf numFmtId="169" fontId="28" fillId="0" borderId="0" xfId="132" applyNumberFormat="1" applyFont="1"/>
    <xf numFmtId="3" fontId="28" fillId="0" borderId="0" xfId="132" quotePrefix="1" applyNumberFormat="1" applyFont="1" applyAlignment="1">
      <alignment horizontal="right"/>
    </xf>
    <xf numFmtId="0" fontId="28" fillId="0" borderId="0" xfId="132" applyFont="1" applyAlignment="1">
      <alignment horizontal="right"/>
    </xf>
    <xf numFmtId="0" fontId="28" fillId="0" borderId="11" xfId="132" applyFont="1" applyBorder="1" applyAlignment="1">
      <alignment horizontal="left"/>
    </xf>
    <xf numFmtId="0" fontId="28" fillId="0" borderId="11" xfId="132" applyFont="1" applyBorder="1"/>
    <xf numFmtId="3" fontId="28" fillId="0" borderId="11" xfId="132" applyNumberFormat="1" applyFont="1" applyBorder="1" applyAlignment="1">
      <alignment horizontal="right"/>
    </xf>
    <xf numFmtId="169" fontId="28" fillId="0" borderId="11" xfId="132" applyNumberFormat="1" applyFont="1" applyBorder="1"/>
    <xf numFmtId="0" fontId="23" fillId="0" borderId="0" xfId="132" applyFont="1"/>
    <xf numFmtId="3" fontId="23" fillId="0" borderId="0" xfId="132" quotePrefix="1" applyNumberFormat="1" applyFont="1" applyAlignment="1">
      <alignment horizontal="right"/>
    </xf>
    <xf numFmtId="169" fontId="23" fillId="0" borderId="0" xfId="132" applyNumberFormat="1" applyFont="1"/>
    <xf numFmtId="0" fontId="23" fillId="0" borderId="27" xfId="132" applyFont="1" applyBorder="1"/>
    <xf numFmtId="0" fontId="28" fillId="0" borderId="27" xfId="132" applyFont="1" applyBorder="1"/>
    <xf numFmtId="3" fontId="23" fillId="0" borderId="27" xfId="132" applyNumberFormat="1" applyFont="1" applyBorder="1" applyAlignment="1">
      <alignment horizontal="left"/>
    </xf>
    <xf numFmtId="166" fontId="23" fillId="0" borderId="27" xfId="132" applyNumberFormat="1" applyFont="1" applyBorder="1" applyAlignment="1">
      <alignment horizontal="center"/>
    </xf>
    <xf numFmtId="3" fontId="23" fillId="0" borderId="27" xfId="132" applyNumberFormat="1" applyFont="1" applyBorder="1"/>
    <xf numFmtId="0" fontId="92" fillId="22" borderId="0" xfId="132" applyFont="1" applyFill="1" applyAlignment="1">
      <alignment horizontal="left"/>
    </xf>
    <xf numFmtId="0" fontId="92" fillId="22" borderId="0" xfId="132" applyFont="1" applyFill="1"/>
    <xf numFmtId="0" fontId="93" fillId="22" borderId="0" xfId="132" applyFont="1" applyFill="1" applyAlignment="1">
      <alignment horizontal="left"/>
    </xf>
    <xf numFmtId="0" fontId="93" fillId="22" borderId="0" xfId="132" applyFont="1" applyFill="1" applyAlignment="1">
      <alignment horizontal="center"/>
    </xf>
    <xf numFmtId="0" fontId="28" fillId="22" borderId="0" xfId="132" applyFont="1" applyFill="1" applyAlignment="1">
      <alignment horizontal="center" wrapText="1"/>
    </xf>
    <xf numFmtId="179" fontId="23" fillId="0" borderId="0" xfId="134" applyNumberFormat="1" applyFont="1" applyAlignment="1"/>
    <xf numFmtId="164" fontId="23" fillId="0" borderId="0" xfId="132" applyNumberFormat="1" applyFont="1" applyAlignment="1">
      <alignment horizontal="left"/>
    </xf>
    <xf numFmtId="166" fontId="28" fillId="0" borderId="0" xfId="132" applyNumberFormat="1" applyFont="1" applyAlignment="1">
      <alignment horizontal="center"/>
    </xf>
    <xf numFmtId="0" fontId="61" fillId="0" borderId="0" xfId="132" applyFont="1"/>
    <xf numFmtId="10" fontId="61" fillId="0" borderId="0" xfId="132" applyNumberFormat="1" applyFont="1"/>
    <xf numFmtId="172" fontId="28" fillId="0" borderId="0" xfId="132" applyNumberFormat="1" applyFont="1"/>
    <xf numFmtId="43" fontId="61" fillId="0" borderId="0" xfId="132" applyNumberFormat="1" applyFont="1"/>
    <xf numFmtId="164" fontId="28" fillId="0" borderId="0" xfId="132" applyNumberFormat="1" applyFont="1" applyAlignment="1">
      <alignment horizontal="left"/>
    </xf>
    <xf numFmtId="10" fontId="28" fillId="0" borderId="0" xfId="132" applyNumberFormat="1" applyFont="1"/>
    <xf numFmtId="164" fontId="28" fillId="0" borderId="0" xfId="132" applyNumberFormat="1" applyFont="1" applyAlignment="1">
      <alignment horizontal="center"/>
    </xf>
    <xf numFmtId="10" fontId="28" fillId="0" borderId="0" xfId="132" applyNumberFormat="1" applyFont="1" applyAlignment="1">
      <alignment horizontal="right"/>
    </xf>
    <xf numFmtId="10" fontId="90" fillId="0" borderId="0" xfId="132" applyNumberFormat="1" applyFont="1" applyAlignment="1">
      <alignment horizontal="right"/>
    </xf>
    <xf numFmtId="3" fontId="94" fillId="0" borderId="0" xfId="132" applyNumberFormat="1" applyFont="1" applyAlignment="1">
      <alignment horizontal="right"/>
    </xf>
    <xf numFmtId="3" fontId="95" fillId="0" borderId="0" xfId="132" applyNumberFormat="1" applyFont="1" applyAlignment="1">
      <alignment horizontal="right"/>
    </xf>
    <xf numFmtId="3" fontId="28" fillId="0" borderId="0" xfId="132" applyNumberFormat="1" applyFont="1" applyAlignment="1">
      <alignment horizontal="right"/>
    </xf>
    <xf numFmtId="166" fontId="28" fillId="0" borderId="0" xfId="132" applyNumberFormat="1" applyFont="1"/>
    <xf numFmtId="181" fontId="28" fillId="0" borderId="0" xfId="134" applyNumberFormat="1" applyFont="1" applyFill="1" applyAlignment="1">
      <alignment horizontal="right"/>
    </xf>
    <xf numFmtId="0" fontId="89" fillId="0" borderId="0" xfId="132" applyFont="1"/>
    <xf numFmtId="43" fontId="28" fillId="0" borderId="0" xfId="59" applyFont="1" applyFill="1" applyAlignment="1">
      <alignment horizontal="right"/>
    </xf>
    <xf numFmtId="43" fontId="28" fillId="0" borderId="28" xfId="59" applyFont="1" applyFill="1" applyBorder="1" applyAlignment="1">
      <alignment horizontal="right"/>
    </xf>
    <xf numFmtId="10" fontId="61" fillId="0" borderId="0" xfId="85" applyNumberFormat="1" applyFont="1" applyFill="1"/>
    <xf numFmtId="164" fontId="23" fillId="0" borderId="18" xfId="132" applyNumberFormat="1" applyFont="1" applyBorder="1" applyAlignment="1">
      <alignment horizontal="left"/>
    </xf>
    <xf numFmtId="0" fontId="23" fillId="0" borderId="18" xfId="132" applyFont="1" applyBorder="1"/>
    <xf numFmtId="0" fontId="23" fillId="0" borderId="18" xfId="132" applyFont="1" applyBorder="1" applyAlignment="1">
      <alignment horizontal="center"/>
    </xf>
    <xf numFmtId="3" fontId="23" fillId="0" borderId="18" xfId="132" applyNumberFormat="1" applyFont="1" applyBorder="1"/>
    <xf numFmtId="166" fontId="23" fillId="0" borderId="18" xfId="132" applyNumberFormat="1" applyFont="1" applyBorder="1"/>
    <xf numFmtId="3" fontId="23" fillId="0" borderId="18" xfId="133" applyNumberFormat="1" applyFont="1" applyFill="1" applyBorder="1" applyAlignment="1">
      <alignment horizontal="right"/>
    </xf>
    <xf numFmtId="0" fontId="75" fillId="0" borderId="0" xfId="0" applyNumberFormat="1" applyFont="1" applyAlignment="1">
      <alignment horizontal="center" vertical="center"/>
    </xf>
    <xf numFmtId="0" fontId="21" fillId="0" borderId="0" xfId="80" applyFont="1"/>
    <xf numFmtId="0" fontId="96" fillId="0" borderId="0" xfId="80" applyFont="1" applyAlignment="1">
      <alignment horizontal="left"/>
    </xf>
    <xf numFmtId="0" fontId="21" fillId="0" borderId="0" xfId="80" applyFont="1" applyAlignment="1">
      <alignment horizontal="center"/>
    </xf>
    <xf numFmtId="3" fontId="28" fillId="0" borderId="0" xfId="80" applyNumberFormat="1" applyFont="1"/>
    <xf numFmtId="172" fontId="21" fillId="0" borderId="0" xfId="0" applyFont="1"/>
    <xf numFmtId="172" fontId="49" fillId="0" borderId="0" xfId="0" applyFont="1"/>
    <xf numFmtId="170" fontId="21" fillId="0" borderId="0" xfId="0" applyNumberFormat="1" applyFont="1"/>
    <xf numFmtId="43" fontId="21" fillId="0" borderId="0" xfId="59" applyFont="1" applyFill="1" applyBorder="1" applyAlignment="1"/>
    <xf numFmtId="175" fontId="21" fillId="0" borderId="0" xfId="59" applyNumberFormat="1" applyFont="1" applyFill="1" applyBorder="1" applyAlignment="1"/>
    <xf numFmtId="182" fontId="21" fillId="0" borderId="0" xfId="0" applyNumberFormat="1" applyFont="1" applyAlignment="1">
      <alignment horizontal="right"/>
    </xf>
    <xf numFmtId="43" fontId="97" fillId="0" borderId="0" xfId="59" applyFont="1" applyFill="1" applyBorder="1" applyAlignment="1">
      <alignment horizontal="right"/>
    </xf>
    <xf numFmtId="183" fontId="28" fillId="0" borderId="0" xfId="59" applyNumberFormat="1" applyFont="1" applyFill="1" applyAlignment="1">
      <alignment horizontal="right"/>
    </xf>
    <xf numFmtId="0" fontId="92" fillId="0" borderId="0" xfId="132" applyFont="1" applyAlignment="1">
      <alignment horizontal="left"/>
    </xf>
    <xf numFmtId="0" fontId="92" fillId="0" borderId="0" xfId="132" applyFont="1"/>
    <xf numFmtId="0" fontId="93" fillId="0" borderId="0" xfId="132" applyFont="1" applyAlignment="1">
      <alignment horizontal="left"/>
    </xf>
    <xf numFmtId="0" fontId="93" fillId="0" borderId="0" xfId="132" applyFont="1" applyAlignment="1">
      <alignment horizontal="center"/>
    </xf>
    <xf numFmtId="0" fontId="28" fillId="0" borderId="0" xfId="132" applyFont="1" applyAlignment="1">
      <alignment horizontal="center" wrapText="1"/>
    </xf>
    <xf numFmtId="43" fontId="28" fillId="0" borderId="0" xfId="132" applyNumberFormat="1" applyFont="1" applyAlignment="1">
      <alignment horizontal="right"/>
    </xf>
    <xf numFmtId="164" fontId="28" fillId="0" borderId="0" xfId="0" applyNumberFormat="1" applyFont="1" applyAlignment="1">
      <alignment horizontal="left"/>
    </xf>
    <xf numFmtId="172" fontId="28" fillId="0" borderId="0" xfId="0" applyFont="1"/>
    <xf numFmtId="0" fontId="28" fillId="0" borderId="0" xfId="0" applyNumberFormat="1" applyFont="1"/>
    <xf numFmtId="43" fontId="28" fillId="0" borderId="0" xfId="132" applyNumberFormat="1" applyFont="1"/>
    <xf numFmtId="172" fontId="72" fillId="0" borderId="0" xfId="0" applyFont="1" applyAlignment="1">
      <alignment horizontal="left" vertical="center"/>
    </xf>
    <xf numFmtId="3" fontId="50" fillId="0" borderId="0" xfId="0" applyNumberFormat="1" applyFont="1" applyProtection="1">
      <protection locked="0"/>
    </xf>
    <xf numFmtId="0" fontId="50" fillId="0" borderId="0" xfId="0" applyNumberFormat="1" applyFont="1" applyProtection="1">
      <protection locked="0"/>
    </xf>
    <xf numFmtId="17" fontId="51" fillId="0" borderId="14" xfId="0" applyNumberFormat="1" applyFont="1" applyBorder="1" applyAlignment="1">
      <alignment horizontal="center" wrapText="1"/>
    </xf>
    <xf numFmtId="17" fontId="51" fillId="21" borderId="14" xfId="0" applyNumberFormat="1" applyFont="1" applyFill="1" applyBorder="1" applyAlignment="1">
      <alignment horizontal="center" wrapText="1"/>
    </xf>
    <xf numFmtId="172" fontId="0" fillId="21" borderId="14" xfId="0" applyFill="1" applyBorder="1"/>
    <xf numFmtId="17" fontId="51" fillId="0" borderId="0" xfId="0" applyNumberFormat="1" applyFont="1" applyAlignment="1">
      <alignment horizontal="center" wrapText="1"/>
    </xf>
    <xf numFmtId="0" fontId="51" fillId="0" borderId="23" xfId="0" applyNumberFormat="1" applyFont="1" applyBorder="1" applyAlignment="1">
      <alignment horizontal="center" wrapText="1"/>
    </xf>
    <xf numFmtId="172" fontId="0" fillId="21" borderId="0" xfId="0" applyFill="1"/>
    <xf numFmtId="172" fontId="0" fillId="0" borderId="21" xfId="0" applyBorder="1"/>
    <xf numFmtId="172" fontId="0" fillId="0" borderId="16" xfId="0" applyBorder="1"/>
    <xf numFmtId="172" fontId="0" fillId="0" borderId="17" xfId="0" applyBorder="1"/>
    <xf numFmtId="172" fontId="0" fillId="0" borderId="11" xfId="0" applyBorder="1"/>
    <xf numFmtId="172" fontId="0" fillId="0" borderId="22" xfId="0" applyBorder="1"/>
    <xf numFmtId="172" fontId="86" fillId="0" borderId="0" xfId="0" applyFont="1" applyAlignment="1">
      <alignment horizontal="center" vertical="center" wrapText="1"/>
    </xf>
    <xf numFmtId="0" fontId="20" fillId="0" borderId="0" xfId="137" applyFont="1"/>
    <xf numFmtId="0" fontId="23" fillId="0" borderId="0" xfId="137" applyFont="1"/>
    <xf numFmtId="0" fontId="23" fillId="0" borderId="0" xfId="137" applyFont="1" applyAlignment="1">
      <alignment horizontal="left"/>
    </xf>
    <xf numFmtId="0" fontId="23" fillId="0" borderId="32" xfId="137" applyFont="1" applyBorder="1" applyAlignment="1">
      <alignment horizontal="left"/>
    </xf>
    <xf numFmtId="0" fontId="23" fillId="0" borderId="0" xfId="137" applyFont="1" applyAlignment="1">
      <alignment horizontal="center"/>
    </xf>
    <xf numFmtId="0" fontId="100" fillId="0" borderId="0" xfId="137" applyFont="1"/>
    <xf numFmtId="0" fontId="21" fillId="0" borderId="0" xfId="137" applyFont="1"/>
    <xf numFmtId="44" fontId="23" fillId="0" borderId="0" xfId="137" applyNumberFormat="1" applyFont="1"/>
    <xf numFmtId="0" fontId="100" fillId="0" borderId="32" xfId="137" applyFont="1" applyBorder="1"/>
    <xf numFmtId="0" fontId="16" fillId="0" borderId="0" xfId="148"/>
    <xf numFmtId="0" fontId="101" fillId="0" borderId="0" xfId="148" applyFont="1" applyAlignment="1">
      <alignment horizontal="center"/>
    </xf>
    <xf numFmtId="0" fontId="16" fillId="0" borderId="35" xfId="148" applyBorder="1"/>
    <xf numFmtId="0" fontId="16" fillId="0" borderId="36" xfId="148" applyBorder="1"/>
    <xf numFmtId="0" fontId="16" fillId="0" borderId="37" xfId="148" applyBorder="1"/>
    <xf numFmtId="37" fontId="16" fillId="0" borderId="0" xfId="148" applyNumberFormat="1"/>
    <xf numFmtId="37" fontId="101" fillId="0" borderId="0" xfId="148" applyNumberFormat="1" applyFont="1"/>
    <xf numFmtId="37" fontId="101" fillId="0" borderId="34" xfId="148" applyNumberFormat="1" applyFont="1" applyBorder="1"/>
    <xf numFmtId="37" fontId="16" fillId="0" borderId="33" xfId="148" applyNumberFormat="1" applyBorder="1"/>
    <xf numFmtId="37" fontId="16" fillId="0" borderId="34" xfId="148" applyNumberFormat="1" applyBorder="1"/>
    <xf numFmtId="172" fontId="50" fillId="0" borderId="16" xfId="0" quotePrefix="1" applyFont="1" applyBorder="1" applyAlignment="1">
      <alignment horizontal="center"/>
    </xf>
    <xf numFmtId="175" fontId="50" fillId="0" borderId="0" xfId="59" applyNumberFormat="1" applyFont="1" applyAlignment="1">
      <alignment horizontal="center" vertical="center"/>
    </xf>
    <xf numFmtId="170" fontId="21" fillId="0" borderId="0" xfId="0" applyNumberFormat="1" applyFont="1" applyAlignment="1">
      <alignment horizontal="right"/>
    </xf>
    <xf numFmtId="175" fontId="21" fillId="20" borderId="0" xfId="59" applyNumberFormat="1" applyFont="1" applyFill="1" applyAlignment="1">
      <alignment horizontal="right"/>
    </xf>
    <xf numFmtId="0" fontId="28" fillId="0" borderId="0" xfId="0" applyNumberFormat="1" applyFont="1" applyAlignment="1">
      <alignment horizontal="right"/>
    </xf>
    <xf numFmtId="172" fontId="23" fillId="0" borderId="0" xfId="0" applyFont="1"/>
    <xf numFmtId="0" fontId="28" fillId="0" borderId="0" xfId="0" applyNumberFormat="1" applyFont="1" applyAlignment="1" applyProtection="1">
      <alignment horizontal="center"/>
      <protection locked="0"/>
    </xf>
    <xf numFmtId="49" fontId="28" fillId="0" borderId="0" xfId="0" applyNumberFormat="1" applyFont="1"/>
    <xf numFmtId="172" fontId="28" fillId="0" borderId="16" xfId="0" applyFont="1" applyBorder="1"/>
    <xf numFmtId="0" fontId="28" fillId="0" borderId="0" xfId="0" applyNumberFormat="1" applyFont="1" applyAlignment="1">
      <alignment horizontal="center"/>
    </xf>
    <xf numFmtId="49" fontId="28" fillId="0" borderId="0" xfId="0" applyNumberFormat="1" applyFont="1" applyAlignment="1">
      <alignment horizontal="center"/>
    </xf>
    <xf numFmtId="3" fontId="23" fillId="0" borderId="0" xfId="0" applyNumberFormat="1" applyFont="1" applyAlignment="1">
      <alignment horizontal="center"/>
    </xf>
    <xf numFmtId="3" fontId="28" fillId="0" borderId="0" xfId="0" applyNumberFormat="1" applyFont="1"/>
    <xf numFmtId="172" fontId="23" fillId="0" borderId="0" xfId="0" applyFont="1" applyAlignment="1">
      <alignment horizontal="center"/>
    </xf>
    <xf numFmtId="0" fontId="23" fillId="0" borderId="0" xfId="0" applyNumberFormat="1" applyFont="1" applyAlignment="1" applyProtection="1">
      <alignment horizontal="center"/>
      <protection locked="0"/>
    </xf>
    <xf numFmtId="0" fontId="23" fillId="0" borderId="0" xfId="0" applyNumberFormat="1" applyFont="1"/>
    <xf numFmtId="0" fontId="100" fillId="0" borderId="0" xfId="0" applyNumberFormat="1" applyFont="1" applyAlignment="1" applyProtection="1">
      <alignment horizontal="center"/>
      <protection locked="0"/>
    </xf>
    <xf numFmtId="3" fontId="28" fillId="0" borderId="0" xfId="0" applyNumberFormat="1" applyFont="1" applyAlignment="1">
      <alignment horizontal="center"/>
    </xf>
    <xf numFmtId="173" fontId="28" fillId="0" borderId="0" xfId="63" applyNumberFormat="1" applyFont="1" applyFill="1" applyBorder="1" applyAlignment="1"/>
    <xf numFmtId="176" fontId="28" fillId="0" borderId="0" xfId="0" applyNumberFormat="1" applyFont="1"/>
    <xf numFmtId="176" fontId="28" fillId="0" borderId="0" xfId="85" applyNumberFormat="1" applyFont="1" applyFill="1" applyBorder="1" applyAlignment="1"/>
    <xf numFmtId="172" fontId="28" fillId="0" borderId="0" xfId="0" applyFont="1" applyAlignment="1">
      <alignment horizontal="center"/>
    </xf>
    <xf numFmtId="49" fontId="23" fillId="0" borderId="0" xfId="0" applyNumberFormat="1" applyFont="1" applyAlignment="1">
      <alignment horizontal="center"/>
    </xf>
    <xf numFmtId="3" fontId="23" fillId="0" borderId="0" xfId="0" applyNumberFormat="1" applyFont="1"/>
    <xf numFmtId="176" fontId="23" fillId="0" borderId="0" xfId="85" applyNumberFormat="1" applyFont="1" applyFill="1" applyBorder="1" applyAlignment="1"/>
    <xf numFmtId="164" fontId="28" fillId="0" borderId="0" xfId="0" applyNumberFormat="1" applyFont="1" applyAlignment="1">
      <alignment horizontal="center"/>
    </xf>
    <xf numFmtId="172" fontId="28" fillId="0" borderId="11" xfId="0" applyFont="1" applyBorder="1"/>
    <xf numFmtId="172" fontId="28" fillId="0" borderId="0" xfId="0" applyFont="1" applyAlignment="1">
      <alignment horizontal="right"/>
    </xf>
    <xf numFmtId="174" fontId="23" fillId="0" borderId="0" xfId="0" applyNumberFormat="1" applyFont="1" applyAlignment="1">
      <alignment horizontal="center"/>
    </xf>
    <xf numFmtId="172" fontId="23" fillId="0" borderId="13" xfId="0" applyFont="1" applyBorder="1" applyAlignment="1">
      <alignment horizontal="center" wrapText="1"/>
    </xf>
    <xf numFmtId="172" fontId="23" fillId="0" borderId="14" xfId="0" applyFont="1" applyBorder="1"/>
    <xf numFmtId="172" fontId="23" fillId="0" borderId="14" xfId="0" applyFont="1" applyBorder="1" applyAlignment="1">
      <alignment horizontal="center"/>
    </xf>
    <xf numFmtId="172" fontId="23" fillId="0" borderId="14" xfId="0" applyFont="1" applyBorder="1" applyAlignment="1">
      <alignment horizontal="center" wrapText="1"/>
    </xf>
    <xf numFmtId="0" fontId="23" fillId="0" borderId="14" xfId="0" applyNumberFormat="1" applyFont="1" applyBorder="1" applyAlignment="1">
      <alignment horizontal="center" wrapText="1"/>
    </xf>
    <xf numFmtId="172" fontId="23" fillId="0" borderId="12" xfId="0" applyFont="1" applyBorder="1" applyAlignment="1">
      <alignment horizontal="center" wrapText="1"/>
    </xf>
    <xf numFmtId="3" fontId="23" fillId="0" borderId="12" xfId="0" applyNumberFormat="1" applyFont="1" applyBorder="1" applyAlignment="1">
      <alignment horizontal="center" wrapText="1"/>
    </xf>
    <xf numFmtId="0" fontId="28" fillId="0" borderId="13" xfId="0" applyNumberFormat="1" applyFont="1" applyBorder="1"/>
    <xf numFmtId="0" fontId="28" fillId="0" borderId="14" xfId="0" applyNumberFormat="1" applyFont="1" applyBorder="1"/>
    <xf numFmtId="0" fontId="28" fillId="0" borderId="14" xfId="0" applyNumberFormat="1" applyFont="1" applyBorder="1" applyAlignment="1">
      <alignment horizontal="center"/>
    </xf>
    <xf numFmtId="0" fontId="28" fillId="0" borderId="12" xfId="0" applyNumberFormat="1" applyFont="1" applyBorder="1" applyAlignment="1">
      <alignment horizontal="center"/>
    </xf>
    <xf numFmtId="0" fontId="28" fillId="0" borderId="12" xfId="0" applyNumberFormat="1" applyFont="1" applyBorder="1" applyAlignment="1">
      <alignment horizontal="center" wrapText="1"/>
    </xf>
    <xf numFmtId="0" fontId="28" fillId="0" borderId="16" xfId="0" applyNumberFormat="1" applyFont="1" applyBorder="1" applyAlignment="1">
      <alignment horizontal="center" wrapText="1"/>
    </xf>
    <xf numFmtId="0" fontId="28" fillId="0" borderId="10" xfId="0" applyNumberFormat="1" applyFont="1" applyBorder="1"/>
    <xf numFmtId="170" fontId="28" fillId="0" borderId="10" xfId="0" applyNumberFormat="1" applyFont="1" applyBorder="1"/>
    <xf numFmtId="173" fontId="28" fillId="20" borderId="0" xfId="63" applyNumberFormat="1" applyFont="1" applyFill="1" applyBorder="1" applyAlignment="1"/>
    <xf numFmtId="170" fontId="28" fillId="0" borderId="10" xfId="59" applyNumberFormat="1" applyFont="1" applyFill="1" applyBorder="1" applyAlignment="1"/>
    <xf numFmtId="172" fontId="21" fillId="0" borderId="10" xfId="0" applyFont="1" applyBorder="1"/>
    <xf numFmtId="172" fontId="28" fillId="0" borderId="17" xfId="0" applyFont="1" applyBorder="1"/>
    <xf numFmtId="172" fontId="21" fillId="0" borderId="11" xfId="0" applyFont="1" applyBorder="1"/>
    <xf numFmtId="172" fontId="21" fillId="0" borderId="19" xfId="0" applyFont="1" applyBorder="1"/>
    <xf numFmtId="43" fontId="28" fillId="0" borderId="0" xfId="59" applyFont="1" applyFill="1" applyBorder="1" applyAlignment="1"/>
    <xf numFmtId="172" fontId="28" fillId="0" borderId="0" xfId="0" quotePrefix="1" applyFont="1" applyAlignment="1">
      <alignment horizontal="center"/>
    </xf>
    <xf numFmtId="172" fontId="98" fillId="0" borderId="0" xfId="0" applyFont="1"/>
    <xf numFmtId="172" fontId="28" fillId="0" borderId="0" xfId="0" applyFont="1" applyAlignment="1">
      <alignment horizontal="center" vertical="top"/>
    </xf>
    <xf numFmtId="172" fontId="21" fillId="0" borderId="0" xfId="0" applyFont="1" applyAlignment="1">
      <alignment horizontal="center"/>
    </xf>
    <xf numFmtId="10" fontId="28" fillId="0" borderId="0" xfId="0" applyNumberFormat="1" applyFont="1"/>
    <xf numFmtId="172" fontId="23" fillId="0" borderId="14" xfId="0" applyFont="1" applyBorder="1" applyAlignment="1">
      <alignment wrapText="1"/>
    </xf>
    <xf numFmtId="3" fontId="23" fillId="0" borderId="23" xfId="0" applyNumberFormat="1" applyFont="1" applyBorder="1" applyAlignment="1">
      <alignment horizontal="center" wrapText="1"/>
    </xf>
    <xf numFmtId="172" fontId="28" fillId="0" borderId="0" xfId="0" applyFont="1" applyAlignment="1">
      <alignment wrapText="1"/>
    </xf>
    <xf numFmtId="0" fontId="28" fillId="0" borderId="14" xfId="0" applyNumberFormat="1" applyFont="1" applyBorder="1" applyAlignment="1">
      <alignment horizontal="center" wrapText="1"/>
    </xf>
    <xf numFmtId="0" fontId="28" fillId="0" borderId="23" xfId="0" applyNumberFormat="1" applyFont="1" applyBorder="1" applyAlignment="1">
      <alignment horizontal="center"/>
    </xf>
    <xf numFmtId="0" fontId="28" fillId="0" borderId="16" xfId="0" applyNumberFormat="1" applyFont="1" applyBorder="1" applyAlignment="1">
      <alignment horizontal="center"/>
    </xf>
    <xf numFmtId="0" fontId="28" fillId="0" borderId="2" xfId="0" applyNumberFormat="1" applyFont="1" applyBorder="1"/>
    <xf numFmtId="0" fontId="28" fillId="0" borderId="32" xfId="0" applyNumberFormat="1" applyFont="1" applyBorder="1"/>
    <xf numFmtId="0" fontId="28" fillId="0" borderId="20" xfId="0" applyNumberFormat="1" applyFont="1" applyBorder="1"/>
    <xf numFmtId="0" fontId="28" fillId="0" borderId="16" xfId="0" applyNumberFormat="1" applyFont="1" applyBorder="1"/>
    <xf numFmtId="0" fontId="28" fillId="0" borderId="21" xfId="0" applyNumberFormat="1" applyFont="1" applyBorder="1"/>
    <xf numFmtId="43" fontId="28" fillId="0" borderId="21" xfId="59" applyFont="1" applyFill="1" applyBorder="1" applyAlignment="1"/>
    <xf numFmtId="43" fontId="21" fillId="0" borderId="21" xfId="59" applyFont="1" applyFill="1" applyBorder="1" applyAlignment="1"/>
    <xf numFmtId="43" fontId="21" fillId="0" borderId="11" xfId="59" applyFont="1" applyFill="1" applyBorder="1" applyAlignment="1"/>
    <xf numFmtId="43" fontId="21" fillId="0" borderId="22" xfId="59" applyFont="1" applyFill="1" applyBorder="1" applyAlignment="1"/>
    <xf numFmtId="172" fontId="102" fillId="0" borderId="0" xfId="0" applyFont="1"/>
    <xf numFmtId="49" fontId="28" fillId="0" borderId="0" xfId="0" applyNumberFormat="1" applyFont="1" applyAlignment="1">
      <alignment horizontal="left"/>
    </xf>
    <xf numFmtId="175" fontId="73" fillId="0" borderId="0" xfId="59" applyNumberFormat="1" applyFont="1" applyFill="1" applyAlignment="1">
      <alignment horizontal="left" vertical="center"/>
    </xf>
    <xf numFmtId="0" fontId="0" fillId="0" borderId="0" xfId="0" applyNumberFormat="1" applyAlignment="1">
      <alignment horizontal="left"/>
    </xf>
    <xf numFmtId="10" fontId="82" fillId="0" borderId="0" xfId="85" applyNumberFormat="1" applyFont="1"/>
    <xf numFmtId="0" fontId="21" fillId="0" borderId="0" xfId="0" applyNumberFormat="1" applyFont="1" applyAlignment="1">
      <alignment horizontal="left"/>
    </xf>
    <xf numFmtId="3" fontId="72" fillId="0" borderId="0" xfId="0" applyNumberFormat="1" applyFont="1" applyAlignment="1">
      <alignment horizontal="center" vertical="center"/>
    </xf>
    <xf numFmtId="3" fontId="72" fillId="0" borderId="0" xfId="0" applyNumberFormat="1" applyFont="1" applyAlignment="1">
      <alignment vertical="center"/>
    </xf>
    <xf numFmtId="175" fontId="73" fillId="20" borderId="0" xfId="151" applyNumberFormat="1" applyFont="1" applyFill="1" applyBorder="1" applyAlignment="1">
      <alignment horizontal="center" vertical="center"/>
    </xf>
    <xf numFmtId="37" fontId="16" fillId="0" borderId="6" xfId="148" applyNumberFormat="1" applyBorder="1"/>
    <xf numFmtId="172" fontId="74" fillId="0" borderId="21" xfId="0" applyFont="1" applyBorder="1" applyAlignment="1">
      <alignment horizontal="center" vertical="center"/>
    </xf>
    <xf numFmtId="175" fontId="73" fillId="0" borderId="22" xfId="59" applyNumberFormat="1" applyFont="1" applyBorder="1" applyAlignment="1">
      <alignment horizontal="center" vertical="center"/>
    </xf>
    <xf numFmtId="172" fontId="72" fillId="21" borderId="0" xfId="0" applyFont="1" applyFill="1" applyAlignment="1">
      <alignment vertical="center"/>
    </xf>
    <xf numFmtId="175" fontId="16" fillId="0" borderId="0" xfId="148" applyNumberFormat="1"/>
    <xf numFmtId="172" fontId="85" fillId="0" borderId="0" xfId="0" applyFont="1" applyAlignment="1">
      <alignment horizontal="center" vertical="center"/>
    </xf>
    <xf numFmtId="0" fontId="82" fillId="0" borderId="0" xfId="129" applyFont="1" applyAlignment="1">
      <alignment horizontal="left"/>
    </xf>
    <xf numFmtId="9" fontId="82" fillId="0" borderId="0" xfId="85" applyFont="1"/>
    <xf numFmtId="172" fontId="72" fillId="21" borderId="21" xfId="0" applyFont="1" applyFill="1" applyBorder="1" applyAlignment="1">
      <alignment vertical="center"/>
    </xf>
    <xf numFmtId="172" fontId="72" fillId="20" borderId="0" xfId="0" applyFont="1" applyFill="1" applyAlignment="1">
      <alignment vertical="center"/>
    </xf>
    <xf numFmtId="172" fontId="72" fillId="20" borderId="21" xfId="0" applyFont="1" applyFill="1" applyBorder="1" applyAlignment="1">
      <alignment vertical="center"/>
    </xf>
    <xf numFmtId="172" fontId="80" fillId="20" borderId="24" xfId="0" applyFont="1" applyFill="1" applyBorder="1" applyAlignment="1" applyProtection="1">
      <alignment horizontal="center" vertical="center" wrapText="1"/>
      <protection locked="0"/>
    </xf>
    <xf numFmtId="172" fontId="28" fillId="20" borderId="16" xfId="0" applyFont="1" applyFill="1" applyBorder="1" applyAlignment="1">
      <alignment horizontal="center"/>
    </xf>
    <xf numFmtId="172" fontId="0" fillId="20" borderId="0" xfId="0" applyFill="1" applyAlignment="1">
      <alignment horizontal="left"/>
    </xf>
    <xf numFmtId="172" fontId="0" fillId="20" borderId="0" xfId="0" applyFill="1"/>
    <xf numFmtId="172" fontId="28" fillId="20" borderId="0" xfId="0" applyFont="1" applyFill="1" applyAlignment="1">
      <alignment horizontal="left" wrapText="1"/>
    </xf>
    <xf numFmtId="175" fontId="75" fillId="0" borderId="0" xfId="59" applyNumberFormat="1" applyFont="1" applyFill="1" applyAlignment="1">
      <alignment horizontal="center" vertical="center"/>
    </xf>
    <xf numFmtId="175" fontId="73" fillId="0" borderId="0" xfId="59" applyNumberFormat="1" applyFont="1" applyFill="1" applyAlignment="1">
      <alignment vertical="center"/>
    </xf>
    <xf numFmtId="170" fontId="80" fillId="20" borderId="26" xfId="0" applyNumberFormat="1" applyFont="1" applyFill="1" applyBorder="1" applyAlignment="1" applyProtection="1">
      <alignment horizontal="center"/>
      <protection locked="0"/>
    </xf>
    <xf numFmtId="0" fontId="84" fillId="0" borderId="0" xfId="129" applyFont="1"/>
    <xf numFmtId="0" fontId="104" fillId="0" borderId="0" xfId="129" applyFont="1" applyAlignment="1">
      <alignment horizontal="center"/>
    </xf>
    <xf numFmtId="37" fontId="101" fillId="0" borderId="39" xfId="148" applyNumberFormat="1" applyFont="1" applyBorder="1"/>
    <xf numFmtId="37" fontId="16" fillId="0" borderId="40" xfId="148" applyNumberFormat="1" applyBorder="1"/>
    <xf numFmtId="0" fontId="82" fillId="0" borderId="0" xfId="129" applyFont="1" applyAlignment="1">
      <alignment vertical="top"/>
    </xf>
    <xf numFmtId="0" fontId="82" fillId="0" borderId="0" xfId="129" applyFont="1" applyAlignment="1">
      <alignment horizontal="left" vertical="top"/>
    </xf>
    <xf numFmtId="0" fontId="28" fillId="0" borderId="0" xfId="137" applyFont="1"/>
    <xf numFmtId="0" fontId="28" fillId="0" borderId="15" xfId="137" applyFont="1" applyBorder="1"/>
    <xf numFmtId="0" fontId="23" fillId="0" borderId="20" xfId="137" applyFont="1" applyBorder="1" applyAlignment="1">
      <alignment horizontal="left"/>
    </xf>
    <xf numFmtId="0" fontId="28" fillId="0" borderId="16" xfId="137" applyFont="1" applyBorder="1"/>
    <xf numFmtId="0" fontId="90" fillId="0" borderId="0" xfId="137" applyFont="1" applyAlignment="1">
      <alignment horizontal="left"/>
    </xf>
    <xf numFmtId="0" fontId="23" fillId="0" borderId="21" xfId="137" applyFont="1" applyBorder="1" applyAlignment="1">
      <alignment horizontal="left"/>
    </xf>
    <xf numFmtId="0" fontId="23" fillId="0" borderId="29" xfId="137" applyFont="1" applyBorder="1"/>
    <xf numFmtId="14" fontId="23" fillId="0" borderId="31" xfId="137" applyNumberFormat="1" applyFont="1" applyBorder="1"/>
    <xf numFmtId="0" fontId="28" fillId="0" borderId="0" xfId="137" applyFont="1" applyAlignment="1">
      <alignment horizontal="left"/>
    </xf>
    <xf numFmtId="0" fontId="23" fillId="0" borderId="16" xfId="137" applyFont="1" applyBorder="1" applyAlignment="1">
      <alignment horizontal="center"/>
    </xf>
    <xf numFmtId="0" fontId="23" fillId="0" borderId="0" xfId="137" quotePrefix="1" applyFont="1" applyAlignment="1">
      <alignment horizontal="center"/>
    </xf>
    <xf numFmtId="0" fontId="23" fillId="0" borderId="21" xfId="137" applyFont="1" applyBorder="1" applyAlignment="1">
      <alignment horizontal="center"/>
    </xf>
    <xf numFmtId="0" fontId="28" fillId="0" borderId="0" xfId="137" applyFont="1" applyAlignment="1">
      <alignment horizontal="center"/>
    </xf>
    <xf numFmtId="0" fontId="102" fillId="0" borderId="0" xfId="137" applyFont="1"/>
    <xf numFmtId="0" fontId="28" fillId="0" borderId="21" xfId="137" applyFont="1" applyBorder="1"/>
    <xf numFmtId="173" fontId="28" fillId="0" borderId="0" xfId="137" applyNumberFormat="1" applyFont="1"/>
    <xf numFmtId="0" fontId="98" fillId="0" borderId="0" xfId="137" applyFont="1" applyAlignment="1">
      <alignment horizontal="center"/>
    </xf>
    <xf numFmtId="14" fontId="23" fillId="0" borderId="0" xfId="137" applyNumberFormat="1" applyFont="1" applyAlignment="1">
      <alignment horizontal="left"/>
    </xf>
    <xf numFmtId="0" fontId="98" fillId="0" borderId="0" xfId="137" applyFont="1"/>
    <xf numFmtId="6" fontId="28" fillId="0" borderId="0" xfId="137" applyNumberFormat="1" applyFont="1" applyAlignment="1">
      <alignment horizontal="center"/>
    </xf>
    <xf numFmtId="0" fontId="28" fillId="0" borderId="16" xfId="137" quotePrefix="1" applyFont="1" applyBorder="1"/>
    <xf numFmtId="173" fontId="28" fillId="0" borderId="0" xfId="138" applyNumberFormat="1" applyFont="1" applyBorder="1" applyAlignment="1">
      <alignment horizontal="center"/>
    </xf>
    <xf numFmtId="173" fontId="28" fillId="20" borderId="0" xfId="138" applyNumberFormat="1" applyFont="1" applyFill="1" applyBorder="1" applyAlignment="1">
      <alignment horizontal="center"/>
    </xf>
    <xf numFmtId="44" fontId="28" fillId="0" borderId="0" xfId="138" applyFont="1" applyFill="1" applyBorder="1" applyAlignment="1">
      <alignment horizontal="center"/>
    </xf>
    <xf numFmtId="10" fontId="28" fillId="0" borderId="0" xfId="137" applyNumberFormat="1" applyFont="1"/>
    <xf numFmtId="44" fontId="28" fillId="0" borderId="0" xfId="137" applyNumberFormat="1" applyFont="1"/>
    <xf numFmtId="0" fontId="105" fillId="0" borderId="0" xfId="137" applyFont="1"/>
    <xf numFmtId="175" fontId="105" fillId="0" borderId="0" xfId="139" applyNumberFormat="1" applyFont="1" applyFill="1" applyBorder="1"/>
    <xf numFmtId="175" fontId="105" fillId="0" borderId="0" xfId="137" applyNumberFormat="1" applyFont="1"/>
    <xf numFmtId="164" fontId="98" fillId="0" borderId="0" xfId="137" applyNumberFormat="1" applyFont="1"/>
    <xf numFmtId="175" fontId="28" fillId="0" borderId="0" xfId="139" applyNumberFormat="1" applyFont="1" applyFill="1" applyBorder="1"/>
    <xf numFmtId="173" fontId="28" fillId="0" borderId="0" xfId="138" applyNumberFormat="1" applyFont="1" applyFill="1" applyBorder="1"/>
    <xf numFmtId="175" fontId="28" fillId="0" borderId="0" xfId="137" applyNumberFormat="1" applyFont="1"/>
    <xf numFmtId="173" fontId="28" fillId="20" borderId="11" xfId="138" applyNumberFormat="1" applyFont="1" applyFill="1" applyBorder="1"/>
    <xf numFmtId="44" fontId="106" fillId="0" borderId="0" xfId="138" applyFont="1" applyFill="1" applyBorder="1" applyAlignment="1">
      <alignment horizontal="center"/>
    </xf>
    <xf numFmtId="10" fontId="98" fillId="0" borderId="0" xfId="137" applyNumberFormat="1" applyFont="1"/>
    <xf numFmtId="173" fontId="28" fillId="0" borderId="0" xfId="138" applyNumberFormat="1" applyFont="1" applyBorder="1"/>
    <xf numFmtId="164" fontId="28" fillId="0" borderId="0" xfId="137" applyNumberFormat="1" applyFont="1"/>
    <xf numFmtId="44" fontId="102" fillId="0" borderId="0" xfId="137" applyNumberFormat="1" applyFont="1"/>
    <xf numFmtId="44" fontId="28" fillId="0" borderId="21" xfId="137" applyNumberFormat="1" applyFont="1" applyBorder="1"/>
    <xf numFmtId="0" fontId="28" fillId="0" borderId="17" xfId="137" applyFont="1" applyBorder="1"/>
    <xf numFmtId="44" fontId="28" fillId="0" borderId="11" xfId="137" applyNumberFormat="1" applyFont="1" applyBorder="1"/>
    <xf numFmtId="44" fontId="28" fillId="0" borderId="22" xfId="137" applyNumberFormat="1" applyFont="1" applyBorder="1"/>
    <xf numFmtId="0" fontId="28" fillId="0" borderId="11" xfId="137" applyFont="1" applyBorder="1"/>
    <xf numFmtId="44" fontId="28" fillId="0" borderId="32" xfId="137" applyNumberFormat="1" applyFont="1" applyBorder="1"/>
    <xf numFmtId="44" fontId="28" fillId="0" borderId="20" xfId="137" applyNumberFormat="1" applyFont="1" applyBorder="1"/>
    <xf numFmtId="0" fontId="28" fillId="0" borderId="20" xfId="137" applyFont="1" applyBorder="1"/>
    <xf numFmtId="0" fontId="28" fillId="0" borderId="21" xfId="137" applyFont="1" applyBorder="1" applyAlignment="1">
      <alignment horizontal="center"/>
    </xf>
    <xf numFmtId="0" fontId="98" fillId="0" borderId="21" xfId="137" applyFont="1" applyBorder="1" applyAlignment="1">
      <alignment horizontal="center"/>
    </xf>
    <xf numFmtId="0" fontId="28" fillId="0" borderId="16" xfId="137" quotePrefix="1" applyFont="1" applyBorder="1" applyAlignment="1">
      <alignment horizontal="center"/>
    </xf>
    <xf numFmtId="42" fontId="28" fillId="0" borderId="0" xfId="137" applyNumberFormat="1" applyFont="1"/>
    <xf numFmtId="42" fontId="28" fillId="0" borderId="21" xfId="139" applyNumberFormat="1" applyFont="1" applyBorder="1"/>
    <xf numFmtId="169" fontId="28" fillId="0" borderId="0" xfId="137" applyNumberFormat="1" applyFont="1"/>
    <xf numFmtId="10" fontId="28" fillId="0" borderId="21" xfId="139" applyNumberFormat="1" applyFont="1" applyBorder="1" applyAlignment="1">
      <alignment horizontal="center"/>
    </xf>
    <xf numFmtId="184" fontId="28" fillId="0" borderId="0" xfId="137" applyNumberFormat="1" applyFont="1"/>
    <xf numFmtId="175" fontId="28" fillId="0" borderId="0" xfId="139" applyNumberFormat="1" applyFont="1" applyBorder="1"/>
    <xf numFmtId="173" fontId="28" fillId="20" borderId="11" xfId="138" applyNumberFormat="1" applyFont="1" applyFill="1" applyBorder="1" applyAlignment="1">
      <alignment horizontal="center"/>
    </xf>
    <xf numFmtId="164" fontId="28" fillId="0" borderId="0" xfId="137" applyNumberFormat="1" applyFont="1" applyAlignment="1">
      <alignment horizontal="right"/>
    </xf>
    <xf numFmtId="0" fontId="28" fillId="0" borderId="0" xfId="137" quotePrefix="1" applyFont="1" applyAlignment="1">
      <alignment horizontal="center"/>
    </xf>
    <xf numFmtId="14" fontId="28" fillId="0" borderId="0" xfId="137" quotePrefix="1" applyNumberFormat="1" applyFont="1" applyAlignment="1">
      <alignment horizontal="center"/>
    </xf>
    <xf numFmtId="42" fontId="28" fillId="0" borderId="0" xfId="139" applyNumberFormat="1" applyFont="1" applyBorder="1"/>
    <xf numFmtId="42" fontId="28" fillId="0" borderId="21" xfId="137" applyNumberFormat="1" applyFont="1" applyBorder="1"/>
    <xf numFmtId="169" fontId="28" fillId="0" borderId="21" xfId="137" applyNumberFormat="1" applyFont="1" applyBorder="1"/>
    <xf numFmtId="43" fontId="28" fillId="0" borderId="11" xfId="139" applyFont="1" applyBorder="1"/>
    <xf numFmtId="0" fontId="28" fillId="0" borderId="22" xfId="137" applyFont="1" applyBorder="1"/>
    <xf numFmtId="184" fontId="28" fillId="0" borderId="22" xfId="137" applyNumberFormat="1" applyFont="1" applyBorder="1"/>
    <xf numFmtId="164" fontId="21" fillId="0" borderId="0" xfId="137" applyNumberFormat="1" applyFont="1"/>
    <xf numFmtId="164" fontId="21" fillId="0" borderId="11" xfId="137" applyNumberFormat="1" applyFont="1" applyBorder="1"/>
    <xf numFmtId="172" fontId="49" fillId="0" borderId="0" xfId="0" applyFont="1" applyAlignment="1">
      <alignment horizontal="left"/>
    </xf>
    <xf numFmtId="172" fontId="49" fillId="20" borderId="0" xfId="0" applyFont="1" applyFill="1" applyAlignment="1">
      <alignment horizontal="left"/>
    </xf>
    <xf numFmtId="17" fontId="51" fillId="20" borderId="14" xfId="0" applyNumberFormat="1" applyFont="1" applyFill="1" applyBorder="1" applyAlignment="1">
      <alignment horizontal="center" wrapText="1"/>
    </xf>
    <xf numFmtId="170" fontId="0" fillId="20" borderId="0" xfId="0" applyNumberFormat="1" applyFill="1"/>
    <xf numFmtId="170" fontId="0" fillId="0" borderId="21" xfId="0" applyNumberFormat="1" applyBorder="1"/>
    <xf numFmtId="0" fontId="82" fillId="0" borderId="0" xfId="129" applyFont="1" applyAlignment="1">
      <alignment horizontal="left" wrapText="1"/>
    </xf>
    <xf numFmtId="37" fontId="101" fillId="0" borderId="6" xfId="148" applyNumberFormat="1" applyFont="1" applyBorder="1"/>
    <xf numFmtId="172" fontId="73" fillId="0" borderId="21" xfId="0" applyFont="1" applyBorder="1" applyAlignment="1">
      <alignment horizontal="center" vertical="center"/>
    </xf>
    <xf numFmtId="179" fontId="80" fillId="20" borderId="0" xfId="85" applyNumberFormat="1" applyFont="1" applyFill="1" applyProtection="1">
      <protection locked="0"/>
    </xf>
    <xf numFmtId="172" fontId="50" fillId="0" borderId="0" xfId="0" applyFont="1" applyAlignment="1">
      <alignment horizontal="center" vertical="top"/>
    </xf>
    <xf numFmtId="0" fontId="28" fillId="0" borderId="0" xfId="152" applyFont="1"/>
    <xf numFmtId="14" fontId="28" fillId="20" borderId="0" xfId="152" applyNumberFormat="1" applyFont="1" applyFill="1" applyAlignment="1">
      <alignment horizontal="center"/>
    </xf>
    <xf numFmtId="169" fontId="28" fillId="20" borderId="0" xfId="152" applyNumberFormat="1" applyFont="1" applyFill="1"/>
    <xf numFmtId="0" fontId="102" fillId="0" borderId="0" xfId="152" applyFont="1"/>
    <xf numFmtId="6" fontId="28" fillId="0" borderId="0" xfId="152" applyNumberFormat="1" applyFont="1" applyAlignment="1">
      <alignment horizontal="center"/>
    </xf>
    <xf numFmtId="0" fontId="105" fillId="0" borderId="0" xfId="152" applyFont="1"/>
    <xf numFmtId="0" fontId="28" fillId="20" borderId="0" xfId="152" applyFont="1" applyFill="1" applyAlignment="1">
      <alignment horizontal="center"/>
    </xf>
    <xf numFmtId="175" fontId="28" fillId="0" borderId="0" xfId="152" applyNumberFormat="1" applyFont="1"/>
    <xf numFmtId="10" fontId="0" fillId="0" borderId="0" xfId="85" applyNumberFormat="1" applyFont="1" applyBorder="1" applyAlignment="1"/>
    <xf numFmtId="173" fontId="28" fillId="20" borderId="0" xfId="138" applyNumberFormat="1" applyFont="1" applyFill="1" applyBorder="1"/>
    <xf numFmtId="173" fontId="106" fillId="0" borderId="0" xfId="138" applyNumberFormat="1" applyFont="1" applyFill="1" applyBorder="1"/>
    <xf numFmtId="173" fontId="106" fillId="0" borderId="0" xfId="137" applyNumberFormat="1" applyFont="1"/>
    <xf numFmtId="170" fontId="72" fillId="0" borderId="0" xfId="0" applyNumberFormat="1" applyFont="1" applyAlignment="1">
      <alignment vertical="center"/>
    </xf>
    <xf numFmtId="172" fontId="108" fillId="0" borderId="0" xfId="0" applyFont="1"/>
    <xf numFmtId="0" fontId="108" fillId="0" borderId="0" xfId="0" applyNumberFormat="1" applyFont="1"/>
    <xf numFmtId="0" fontId="108" fillId="0" borderId="0" xfId="0" applyNumberFormat="1" applyFont="1" applyAlignment="1">
      <alignment horizontal="left"/>
    </xf>
    <xf numFmtId="0" fontId="108" fillId="0" borderId="0" xfId="0" applyNumberFormat="1" applyFont="1" applyAlignment="1">
      <alignment horizontal="right"/>
    </xf>
    <xf numFmtId="0" fontId="108" fillId="20" borderId="0" xfId="0" applyNumberFormat="1" applyFont="1" applyFill="1"/>
    <xf numFmtId="172" fontId="108" fillId="20" borderId="0" xfId="0" applyFont="1" applyFill="1"/>
    <xf numFmtId="3" fontId="108" fillId="0" borderId="0" xfId="0" applyNumberFormat="1" applyFont="1"/>
    <xf numFmtId="0" fontId="108" fillId="0" borderId="0" xfId="0" applyNumberFormat="1" applyFont="1" applyAlignment="1">
      <alignment horizontal="center"/>
    </xf>
    <xf numFmtId="49" fontId="108" fillId="0" borderId="0" xfId="0" applyNumberFormat="1" applyFont="1"/>
    <xf numFmtId="49" fontId="108" fillId="0" borderId="0" xfId="0" applyNumberFormat="1" applyFont="1" applyAlignment="1">
      <alignment horizontal="left"/>
    </xf>
    <xf numFmtId="49" fontId="108" fillId="0" borderId="0" xfId="0" applyNumberFormat="1" applyFont="1" applyAlignment="1">
      <alignment horizontal="center"/>
    </xf>
    <xf numFmtId="0" fontId="108" fillId="0" borderId="6" xfId="0" applyNumberFormat="1" applyFont="1" applyBorder="1" applyAlignment="1">
      <alignment horizontal="center"/>
    </xf>
    <xf numFmtId="42" fontId="108" fillId="0" borderId="0" xfId="0" applyNumberFormat="1" applyFont="1"/>
    <xf numFmtId="175" fontId="108" fillId="0" borderId="0" xfId="59" applyNumberFormat="1" applyFont="1"/>
    <xf numFmtId="176" fontId="108" fillId="0" borderId="0" xfId="85" applyNumberFormat="1" applyFont="1" applyAlignment="1"/>
    <xf numFmtId="185" fontId="108" fillId="0" borderId="0" xfId="0" applyNumberFormat="1" applyFont="1"/>
    <xf numFmtId="0" fontId="108" fillId="0" borderId="6" xfId="0" applyNumberFormat="1" applyFont="1" applyBorder="1" applyAlignment="1">
      <alignment horizontal="centerContinuous"/>
    </xf>
    <xf numFmtId="175" fontId="108" fillId="0" borderId="0" xfId="0" applyNumberFormat="1" applyFont="1" applyAlignment="1">
      <alignment horizontal="center"/>
    </xf>
    <xf numFmtId="166" fontId="108" fillId="0" borderId="0" xfId="0" applyNumberFormat="1" applyFont="1"/>
    <xf numFmtId="175" fontId="108" fillId="0" borderId="0" xfId="59" applyNumberFormat="1" applyFont="1" applyFill="1"/>
    <xf numFmtId="175" fontId="108" fillId="0" borderId="0" xfId="59" applyNumberFormat="1" applyFont="1" applyFill="1" applyAlignment="1"/>
    <xf numFmtId="175" fontId="108" fillId="20" borderId="0" xfId="59" applyNumberFormat="1" applyFont="1" applyFill="1" applyAlignment="1"/>
    <xf numFmtId="175" fontId="109" fillId="0" borderId="0" xfId="59" applyNumberFormat="1" applyFont="1" applyFill="1" applyAlignment="1"/>
    <xf numFmtId="175" fontId="109" fillId="0" borderId="0" xfId="59" applyNumberFormat="1" applyFont="1" applyFill="1"/>
    <xf numFmtId="175" fontId="108" fillId="0" borderId="0" xfId="63" applyNumberFormat="1" applyFont="1" applyFill="1" applyAlignment="1">
      <alignment horizontal="right"/>
    </xf>
    <xf numFmtId="175" fontId="108" fillId="0" borderId="0" xfId="63" applyNumberFormat="1" applyFont="1" applyFill="1" applyBorder="1"/>
    <xf numFmtId="0" fontId="108" fillId="0" borderId="0" xfId="0" applyNumberFormat="1" applyFont="1" applyAlignment="1">
      <alignment wrapText="1"/>
    </xf>
    <xf numFmtId="173" fontId="108" fillId="0" borderId="0" xfId="63" applyNumberFormat="1" applyFont="1" applyFill="1" applyAlignment="1">
      <alignment horizontal="right"/>
    </xf>
    <xf numFmtId="175" fontId="108" fillId="0" borderId="0" xfId="59" applyNumberFormat="1" applyFont="1" applyFill="1" applyBorder="1"/>
    <xf numFmtId="3" fontId="108" fillId="0" borderId="0" xfId="0" applyNumberFormat="1" applyFont="1" applyAlignment="1">
      <alignment horizontal="fill"/>
    </xf>
    <xf numFmtId="42" fontId="108" fillId="0" borderId="0" xfId="0" applyNumberFormat="1" applyFont="1" applyAlignment="1">
      <alignment horizontal="right"/>
    </xf>
    <xf numFmtId="3" fontId="108" fillId="0" borderId="6" xfId="0" applyNumberFormat="1" applyFont="1" applyBorder="1" applyAlignment="1">
      <alignment horizontal="center"/>
    </xf>
    <xf numFmtId="43" fontId="108" fillId="0" borderId="0" xfId="59" applyFont="1" applyAlignment="1"/>
    <xf numFmtId="168" fontId="108" fillId="0" borderId="0" xfId="0" applyNumberFormat="1" applyFont="1"/>
    <xf numFmtId="168" fontId="108" fillId="0" borderId="0" xfId="0" applyNumberFormat="1" applyFont="1" applyAlignment="1">
      <alignment horizontal="center"/>
    </xf>
    <xf numFmtId="43" fontId="108" fillId="0" borderId="0" xfId="59" applyFont="1" applyFill="1" applyBorder="1"/>
    <xf numFmtId="43" fontId="108" fillId="0" borderId="0" xfId="59" applyFont="1"/>
    <xf numFmtId="43" fontId="108" fillId="0" borderId="0" xfId="59" applyFont="1" applyFill="1"/>
    <xf numFmtId="43" fontId="108" fillId="0" borderId="0" xfId="59" applyFont="1" applyFill="1" applyAlignment="1"/>
    <xf numFmtId="43" fontId="108" fillId="0" borderId="0" xfId="59" applyFont="1" applyFill="1" applyBorder="1" applyAlignment="1"/>
    <xf numFmtId="43" fontId="108" fillId="0" borderId="0" xfId="59" applyFont="1" applyBorder="1" applyAlignment="1"/>
    <xf numFmtId="44" fontId="108" fillId="0" borderId="0" xfId="63" applyFont="1" applyFill="1" applyBorder="1" applyAlignment="1"/>
    <xf numFmtId="172" fontId="110" fillId="0" borderId="0" xfId="0" applyFont="1" applyAlignment="1">
      <alignment horizontal="center"/>
    </xf>
    <xf numFmtId="0" fontId="110" fillId="0" borderId="0" xfId="0" applyNumberFormat="1" applyFont="1" applyAlignment="1">
      <alignment horizontal="center"/>
    </xf>
    <xf numFmtId="0" fontId="110" fillId="0" borderId="0" xfId="0" applyNumberFormat="1" applyFont="1" applyAlignment="1">
      <alignment horizontal="right"/>
    </xf>
    <xf numFmtId="3" fontId="110" fillId="0" borderId="0" xfId="0" applyNumberFormat="1" applyFont="1"/>
    <xf numFmtId="3" fontId="108" fillId="0" borderId="0" xfId="0" applyNumberFormat="1" applyFont="1" applyAlignment="1">
      <alignment horizontal="right"/>
    </xf>
    <xf numFmtId="0" fontId="110" fillId="0" borderId="0" xfId="0" applyNumberFormat="1" applyFont="1"/>
    <xf numFmtId="165" fontId="108" fillId="0" borderId="0" xfId="0" applyNumberFormat="1" applyFont="1"/>
    <xf numFmtId="175" fontId="108" fillId="0" borderId="0" xfId="59" applyNumberFormat="1" applyFont="1" applyAlignment="1"/>
    <xf numFmtId="175" fontId="108" fillId="0" borderId="6" xfId="59" applyNumberFormat="1" applyFont="1" applyFill="1" applyBorder="1" applyAlignment="1"/>
    <xf numFmtId="175" fontId="108" fillId="0" borderId="6" xfId="59" applyNumberFormat="1" applyFont="1" applyBorder="1" applyAlignment="1"/>
    <xf numFmtId="164" fontId="108" fillId="0" borderId="0" xfId="0" applyNumberFormat="1" applyFont="1" applyAlignment="1">
      <alignment horizontal="center"/>
    </xf>
    <xf numFmtId="43" fontId="108" fillId="0" borderId="0" xfId="59" applyFont="1" applyFill="1" applyBorder="1" applyAlignment="1">
      <alignment horizontal="center"/>
    </xf>
    <xf numFmtId="43" fontId="108" fillId="0" borderId="0" xfId="59" applyFont="1" applyAlignment="1">
      <alignment horizontal="center"/>
    </xf>
    <xf numFmtId="165" fontId="111" fillId="0" borderId="0" xfId="0" applyNumberFormat="1" applyFont="1" applyAlignment="1">
      <alignment horizontal="right"/>
    </xf>
    <xf numFmtId="164" fontId="108" fillId="0" borderId="0" xfId="0" applyNumberFormat="1" applyFont="1" applyAlignment="1">
      <alignment horizontal="left"/>
    </xf>
    <xf numFmtId="175" fontId="108" fillId="0" borderId="0" xfId="59" applyNumberFormat="1" applyFont="1" applyFill="1" applyBorder="1" applyAlignment="1"/>
    <xf numFmtId="175" fontId="108" fillId="0" borderId="0" xfId="59" applyNumberFormat="1" applyFont="1" applyBorder="1" applyAlignment="1"/>
    <xf numFmtId="3" fontId="108" fillId="0" borderId="0" xfId="0" applyNumberFormat="1" applyFont="1" applyAlignment="1">
      <alignment horizontal="center"/>
    </xf>
    <xf numFmtId="0" fontId="108" fillId="0" borderId="0" xfId="0" applyNumberFormat="1" applyFont="1" applyProtection="1">
      <protection locked="0"/>
    </xf>
    <xf numFmtId="175" fontId="108" fillId="0" borderId="0" xfId="0" applyNumberFormat="1" applyFont="1"/>
    <xf numFmtId="171" fontId="108" fillId="0" borderId="0" xfId="0" applyNumberFormat="1" applyFont="1" applyAlignment="1">
      <alignment horizontal="left"/>
    </xf>
    <xf numFmtId="3" fontId="108" fillId="0" borderId="0" xfId="0" applyNumberFormat="1" applyFont="1" applyAlignment="1">
      <alignment horizontal="left"/>
    </xf>
    <xf numFmtId="166" fontId="111" fillId="0" borderId="0" xfId="0" applyNumberFormat="1" applyFont="1" applyAlignment="1">
      <alignment horizontal="right"/>
    </xf>
    <xf numFmtId="166" fontId="108" fillId="0" borderId="0" xfId="0" applyNumberFormat="1" applyFont="1" applyAlignment="1">
      <alignment horizontal="center"/>
    </xf>
    <xf numFmtId="10" fontId="108" fillId="0" borderId="0" xfId="85" applyNumberFormat="1" applyFont="1" applyAlignment="1"/>
    <xf numFmtId="10" fontId="108" fillId="0" borderId="0" xfId="85" applyNumberFormat="1" applyFont="1" applyAlignment="1">
      <alignment horizontal="left"/>
    </xf>
    <xf numFmtId="174" fontId="108" fillId="0" borderId="0" xfId="0" applyNumberFormat="1" applyFont="1"/>
    <xf numFmtId="178" fontId="108" fillId="0" borderId="0" xfId="0" applyNumberFormat="1" applyFont="1"/>
    <xf numFmtId="0" fontId="108" fillId="0" borderId="6" xfId="0" applyNumberFormat="1" applyFont="1" applyBorder="1"/>
    <xf numFmtId="175" fontId="108" fillId="20" borderId="6" xfId="59" applyNumberFormat="1" applyFont="1" applyFill="1" applyBorder="1" applyAlignment="1"/>
    <xf numFmtId="165" fontId="108" fillId="0" borderId="0" xfId="0" applyNumberFormat="1" applyFont="1" applyAlignment="1">
      <alignment horizontal="right"/>
    </xf>
    <xf numFmtId="3" fontId="108" fillId="0" borderId="6" xfId="0" applyNumberFormat="1" applyFont="1" applyBorder="1"/>
    <xf numFmtId="4" fontId="108" fillId="0" borderId="0" xfId="0" applyNumberFormat="1" applyFont="1"/>
    <xf numFmtId="3" fontId="108" fillId="0" borderId="0" xfId="0" quotePrefix="1" applyNumberFormat="1" applyFont="1"/>
    <xf numFmtId="3" fontId="110" fillId="0" borderId="0" xfId="0" applyNumberFormat="1" applyFont="1" applyAlignment="1">
      <alignment horizontal="center"/>
    </xf>
    <xf numFmtId="43" fontId="108" fillId="20" borderId="0" xfId="59" applyFont="1" applyFill="1" applyAlignment="1"/>
    <xf numFmtId="3" fontId="113" fillId="0" borderId="0" xfId="0" applyNumberFormat="1" applyFont="1"/>
    <xf numFmtId="172" fontId="113" fillId="0" borderId="0" xfId="0" applyFont="1"/>
    <xf numFmtId="172" fontId="112" fillId="0" borderId="0" xfId="0" applyFont="1"/>
    <xf numFmtId="43" fontId="108" fillId="20" borderId="6" xfId="59" applyFont="1" applyFill="1" applyBorder="1" applyAlignment="1"/>
    <xf numFmtId="3" fontId="112" fillId="0" borderId="0" xfId="0" applyNumberFormat="1" applyFont="1"/>
    <xf numFmtId="172" fontId="114" fillId="0" borderId="0" xfId="0" applyFont="1"/>
    <xf numFmtId="3" fontId="114" fillId="0" borderId="0" xfId="0" applyNumberFormat="1" applyFont="1"/>
    <xf numFmtId="0" fontId="114" fillId="0" borderId="0" xfId="0" applyNumberFormat="1" applyFont="1"/>
    <xf numFmtId="172" fontId="115" fillId="0" borderId="0" xfId="0" applyFont="1"/>
    <xf numFmtId="9" fontId="108" fillId="0" borderId="0" xfId="0" applyNumberFormat="1" applyFont="1"/>
    <xf numFmtId="169" fontId="108" fillId="0" borderId="0" xfId="0" applyNumberFormat="1" applyFont="1"/>
    <xf numFmtId="180" fontId="108" fillId="20" borderId="0" xfId="59" applyNumberFormat="1" applyFont="1" applyFill="1" applyAlignment="1"/>
    <xf numFmtId="169" fontId="108" fillId="0" borderId="6" xfId="0" applyNumberFormat="1" applyFont="1" applyBorder="1"/>
    <xf numFmtId="3" fontId="111" fillId="0" borderId="0" xfId="0" applyNumberFormat="1" applyFont="1"/>
    <xf numFmtId="172" fontId="108" fillId="0" borderId="0" xfId="0" applyFont="1" applyProtection="1"/>
    <xf numFmtId="175" fontId="108" fillId="20" borderId="0" xfId="59" applyNumberFormat="1" applyFont="1" applyFill="1" applyBorder="1" applyProtection="1">
      <protection locked="0"/>
    </xf>
    <xf numFmtId="38" fontId="108" fillId="0" borderId="0" xfId="0" applyNumberFormat="1" applyFont="1" applyProtection="1"/>
    <xf numFmtId="175" fontId="108" fillId="20" borderId="6" xfId="59" applyNumberFormat="1" applyFont="1" applyFill="1" applyBorder="1" applyProtection="1">
      <protection locked="0"/>
    </xf>
    <xf numFmtId="38" fontId="108" fillId="0" borderId="0" xfId="0" applyNumberFormat="1" applyFont="1"/>
    <xf numFmtId="175" fontId="108" fillId="0" borderId="0" xfId="59" applyNumberFormat="1" applyFont="1" applyFill="1" applyBorder="1" applyProtection="1"/>
    <xf numFmtId="1" fontId="108" fillId="0" borderId="0" xfId="0" applyNumberFormat="1" applyFont="1" applyAlignment="1" applyProtection="1">
      <alignment horizontal="right"/>
    </xf>
    <xf numFmtId="175" fontId="108" fillId="20" borderId="0" xfId="59" applyNumberFormat="1" applyFont="1" applyFill="1" applyBorder="1" applyProtection="1"/>
    <xf numFmtId="3" fontId="108" fillId="0" borderId="0" xfId="0" applyNumberFormat="1" applyFont="1" applyProtection="1"/>
    <xf numFmtId="170" fontId="108" fillId="0" borderId="0" xfId="0" applyNumberFormat="1" applyFont="1" applyProtection="1"/>
    <xf numFmtId="170" fontId="108" fillId="0" borderId="0" xfId="0" applyNumberFormat="1" applyFont="1"/>
    <xf numFmtId="0" fontId="108" fillId="0" borderId="0" xfId="0" applyNumberFormat="1" applyFont="1" applyAlignment="1">
      <alignment horizontal="left" indent="8"/>
    </xf>
    <xf numFmtId="0" fontId="108" fillId="0" borderId="0" xfId="0" applyNumberFormat="1" applyFont="1" applyAlignment="1">
      <alignment horizontal="center" vertical="top" wrapText="1"/>
    </xf>
    <xf numFmtId="0" fontId="108" fillId="0" borderId="0" xfId="0" applyNumberFormat="1" applyFont="1" applyAlignment="1">
      <alignment horizontal="left" vertical="top" wrapText="1" indent="8"/>
    </xf>
    <xf numFmtId="0" fontId="108" fillId="0" borderId="0" xfId="0" applyNumberFormat="1" applyFont="1" applyAlignment="1">
      <alignment vertical="top" wrapText="1"/>
    </xf>
    <xf numFmtId="10" fontId="108" fillId="0" borderId="0" xfId="59" applyNumberFormat="1" applyFont="1" applyFill="1" applyAlignment="1">
      <alignment vertical="top" wrapText="1"/>
    </xf>
    <xf numFmtId="43" fontId="108" fillId="20" borderId="0" xfId="59" applyFont="1" applyFill="1" applyAlignment="1">
      <alignment vertical="top" wrapText="1"/>
    </xf>
    <xf numFmtId="172" fontId="108" fillId="0" borderId="0" xfId="0" applyFont="1" applyAlignment="1">
      <alignment horizontal="center" vertical="top" wrapText="1"/>
    </xf>
    <xf numFmtId="172" fontId="108" fillId="0" borderId="0" xfId="0" applyFont="1" applyAlignment="1">
      <alignment horizontal="center"/>
    </xf>
    <xf numFmtId="172" fontId="110" fillId="0" borderId="0" xfId="0" applyFont="1"/>
    <xf numFmtId="0" fontId="108" fillId="0" borderId="0" xfId="0" applyNumberFormat="1" applyFont="1" applyAlignment="1">
      <alignment horizontal="left" indent="1"/>
    </xf>
    <xf numFmtId="172" fontId="96" fillId="0" borderId="0" xfId="0" applyFont="1"/>
    <xf numFmtId="1" fontId="96" fillId="0" borderId="0" xfId="80" applyNumberFormat="1" applyFont="1" applyAlignment="1">
      <alignment horizontal="center"/>
    </xf>
    <xf numFmtId="10" fontId="28" fillId="0" borderId="18" xfId="137" applyNumberFormat="1" applyFont="1" applyBorder="1"/>
    <xf numFmtId="172" fontId="51" fillId="0" borderId="0" xfId="0" applyFont="1" applyAlignment="1">
      <alignment horizontal="center" wrapText="1"/>
    </xf>
    <xf numFmtId="0" fontId="14" fillId="0" borderId="0" xfId="148" applyFont="1" applyAlignment="1">
      <alignment horizontal="center"/>
    </xf>
    <xf numFmtId="3" fontId="120" fillId="0" borderId="0" xfId="79" applyNumberFormat="1" applyFont="1" applyAlignment="1">
      <alignment horizontal="center" wrapText="1"/>
    </xf>
    <xf numFmtId="0" fontId="101" fillId="0" borderId="29" xfId="148" applyFont="1" applyBorder="1" applyAlignment="1">
      <alignment horizontal="center"/>
    </xf>
    <xf numFmtId="37" fontId="16" fillId="0" borderId="30" xfId="148" applyNumberFormat="1" applyBorder="1"/>
    <xf numFmtId="0" fontId="101" fillId="0" borderId="34" xfId="148" applyFont="1" applyBorder="1" applyAlignment="1">
      <alignment wrapText="1"/>
    </xf>
    <xf numFmtId="0" fontId="101" fillId="0" borderId="0" xfId="148" applyFont="1" applyAlignment="1">
      <alignment horizontal="left" indent="2"/>
    </xf>
    <xf numFmtId="0" fontId="14" fillId="0" borderId="0" xfId="148" applyFont="1" applyAlignment="1">
      <alignment horizontal="center" wrapText="1"/>
    </xf>
    <xf numFmtId="0" fontId="101" fillId="0" borderId="0" xfId="148" applyFont="1" applyAlignment="1">
      <alignment horizontal="center" wrapText="1"/>
    </xf>
    <xf numFmtId="0" fontId="101" fillId="0" borderId="33" xfId="148" applyFont="1" applyBorder="1" applyAlignment="1">
      <alignment horizontal="center" wrapText="1"/>
    </xf>
    <xf numFmtId="0" fontId="16" fillId="0" borderId="0" xfId="148" applyAlignment="1">
      <alignment horizontal="center"/>
    </xf>
    <xf numFmtId="37" fontId="16" fillId="20" borderId="34" xfId="148" applyNumberFormat="1" applyFill="1" applyBorder="1"/>
    <xf numFmtId="37" fontId="16" fillId="20" borderId="0" xfId="148" applyNumberFormat="1" applyFill="1"/>
    <xf numFmtId="37" fontId="101" fillId="0" borderId="34" xfId="148" applyNumberFormat="1" applyFont="1" applyBorder="1" applyAlignment="1">
      <alignment wrapText="1"/>
    </xf>
    <xf numFmtId="0" fontId="16" fillId="0" borderId="21" xfId="148" applyBorder="1"/>
    <xf numFmtId="0" fontId="14" fillId="0" borderId="11" xfId="148" applyFont="1" applyBorder="1"/>
    <xf numFmtId="0" fontId="118" fillId="0" borderId="11" xfId="79" applyFont="1" applyBorder="1" applyAlignment="1">
      <alignment horizontal="center" wrapText="1"/>
    </xf>
    <xf numFmtId="0" fontId="21" fillId="0" borderId="11" xfId="79" applyFont="1" applyBorder="1" applyAlignment="1">
      <alignment horizontal="center" wrapText="1"/>
    </xf>
    <xf numFmtId="0" fontId="14" fillId="0" borderId="0" xfId="148" applyFont="1"/>
    <xf numFmtId="175" fontId="14" fillId="20" borderId="0" xfId="59" applyNumberFormat="1" applyFont="1" applyFill="1"/>
    <xf numFmtId="175" fontId="101" fillId="0" borderId="0" xfId="148" applyNumberFormat="1" applyFont="1"/>
    <xf numFmtId="175" fontId="14" fillId="0" borderId="0" xfId="59" applyNumberFormat="1" applyFont="1"/>
    <xf numFmtId="37" fontId="14" fillId="20" borderId="0" xfId="148" applyNumberFormat="1" applyFont="1" applyFill="1"/>
    <xf numFmtId="0" fontId="16" fillId="0" borderId="40" xfId="148" applyBorder="1"/>
    <xf numFmtId="175" fontId="14" fillId="0" borderId="0" xfId="59" applyNumberFormat="1" applyFont="1" applyFill="1"/>
    <xf numFmtId="43" fontId="14" fillId="0" borderId="0" xfId="59" applyFont="1"/>
    <xf numFmtId="42" fontId="28" fillId="0" borderId="22" xfId="139" applyNumberFormat="1" applyFont="1" applyBorder="1"/>
    <xf numFmtId="175" fontId="50" fillId="0" borderId="0" xfId="59" applyNumberFormat="1" applyFont="1" applyFill="1" applyBorder="1" applyAlignment="1"/>
    <xf numFmtId="175" fontId="50" fillId="0" borderId="0" xfId="59" applyNumberFormat="1" applyFont="1" applyFill="1" applyAlignment="1"/>
    <xf numFmtId="175" fontId="50" fillId="0" borderId="6" xfId="59" applyNumberFormat="1" applyFont="1" applyFill="1" applyBorder="1" applyAlignment="1"/>
    <xf numFmtId="3" fontId="50" fillId="0" borderId="0" xfId="0" applyNumberFormat="1" applyFont="1"/>
    <xf numFmtId="0" fontId="13" fillId="0" borderId="0" xfId="148" applyFont="1" applyAlignment="1">
      <alignment horizontal="center"/>
    </xf>
    <xf numFmtId="0" fontId="13" fillId="0" borderId="0" xfId="148" applyFont="1" applyAlignment="1">
      <alignment horizontal="center" wrapText="1"/>
    </xf>
    <xf numFmtId="0" fontId="50" fillId="0" borderId="0" xfId="0" applyNumberFormat="1" applyFont="1" applyAlignment="1">
      <alignment horizontal="center"/>
    </xf>
    <xf numFmtId="43" fontId="50" fillId="0" borderId="0" xfId="59" applyFont="1" applyFill="1" applyAlignment="1"/>
    <xf numFmtId="175" fontId="50" fillId="0" borderId="18" xfId="59" applyNumberFormat="1" applyFont="1" applyFill="1" applyBorder="1" applyAlignment="1"/>
    <xf numFmtId="0" fontId="50" fillId="0" borderId="0" xfId="0" applyNumberFormat="1" applyFont="1" applyAlignment="1">
      <alignment horizontal="left"/>
    </xf>
    <xf numFmtId="175" fontId="50" fillId="20" borderId="0" xfId="59" applyNumberFormat="1" applyFont="1" applyFill="1" applyAlignment="1"/>
    <xf numFmtId="175" fontId="50" fillId="0" borderId="0" xfId="59" applyNumberFormat="1" applyFont="1" applyAlignment="1"/>
    <xf numFmtId="3" fontId="51" fillId="0" borderId="0" xfId="0" applyNumberFormat="1" applyFont="1"/>
    <xf numFmtId="10" fontId="50" fillId="0" borderId="0" xfId="0" applyNumberFormat="1" applyFont="1" applyAlignment="1">
      <alignment horizontal="right"/>
    </xf>
    <xf numFmtId="10" fontId="50" fillId="0" borderId="0" xfId="0" applyNumberFormat="1" applyFont="1" applyAlignment="1">
      <alignment horizontal="left"/>
    </xf>
    <xf numFmtId="175" fontId="50" fillId="0" borderId="0" xfId="59" applyNumberFormat="1" applyFont="1" applyBorder="1" applyAlignment="1"/>
    <xf numFmtId="175" fontId="50" fillId="0" borderId="11" xfId="59" applyNumberFormat="1" applyFont="1" applyFill="1" applyBorder="1" applyAlignment="1"/>
    <xf numFmtId="175" fontId="50" fillId="0" borderId="38" xfId="59" applyNumberFormat="1" applyFont="1" applyFill="1" applyBorder="1" applyAlignment="1"/>
    <xf numFmtId="164" fontId="50" fillId="0" borderId="0" xfId="0" applyNumberFormat="1" applyFont="1" applyAlignment="1">
      <alignment horizontal="left"/>
    </xf>
    <xf numFmtId="167" fontId="50" fillId="0" borderId="0" xfId="0" applyNumberFormat="1" applyFont="1"/>
    <xf numFmtId="164" fontId="111" fillId="0" borderId="0" xfId="0" applyNumberFormat="1" applyFont="1" applyAlignment="1">
      <alignment horizontal="left"/>
    </xf>
    <xf numFmtId="0" fontId="50" fillId="0" borderId="0" xfId="0" applyNumberFormat="1" applyFont="1" applyAlignment="1">
      <alignment wrapText="1"/>
    </xf>
    <xf numFmtId="172" fontId="72" fillId="0" borderId="0" xfId="0" applyFont="1" applyAlignment="1">
      <alignment horizontal="center" vertical="top" wrapText="1"/>
    </xf>
    <xf numFmtId="0" fontId="28" fillId="0" borderId="21" xfId="137" applyFont="1" applyBorder="1" applyAlignment="1">
      <alignment horizontal="center" wrapText="1"/>
    </xf>
    <xf numFmtId="170" fontId="28" fillId="0" borderId="0" xfId="59" applyNumberFormat="1" applyFont="1" applyFill="1" applyBorder="1" applyAlignment="1"/>
    <xf numFmtId="0" fontId="28" fillId="20" borderId="16" xfId="152" quotePrefix="1" applyFont="1" applyFill="1" applyBorder="1"/>
    <xf numFmtId="0" fontId="101" fillId="0" borderId="0" xfId="148" applyFont="1"/>
    <xf numFmtId="175" fontId="14" fillId="0" borderId="0" xfId="59" applyNumberFormat="1" applyFont="1" applyFill="1" applyBorder="1"/>
    <xf numFmtId="3" fontId="50" fillId="0" borderId="0" xfId="0" applyNumberFormat="1" applyFont="1" applyAlignment="1">
      <alignment vertical="top"/>
    </xf>
    <xf numFmtId="3" fontId="108" fillId="0" borderId="0" xfId="0" applyNumberFormat="1" applyFont="1" applyAlignment="1">
      <alignment vertical="top"/>
    </xf>
    <xf numFmtId="172" fontId="50" fillId="0" borderId="0" xfId="0" applyFont="1" applyAlignment="1" applyProtection="1">
      <alignment vertical="top" wrapText="1"/>
    </xf>
    <xf numFmtId="0" fontId="28" fillId="0" borderId="18" xfId="137" applyFont="1" applyBorder="1"/>
    <xf numFmtId="172" fontId="119" fillId="0" borderId="0" xfId="0" applyFont="1" applyAlignment="1">
      <alignment vertical="top"/>
    </xf>
    <xf numFmtId="3" fontId="28" fillId="0" borderId="0" xfId="132" applyNumberFormat="1" applyFont="1" applyAlignment="1">
      <alignment horizontal="left" wrapText="1"/>
    </xf>
    <xf numFmtId="0" fontId="11" fillId="0" borderId="0" xfId="148" applyFont="1" applyAlignment="1">
      <alignment horizontal="center" wrapText="1"/>
    </xf>
    <xf numFmtId="172" fontId="28" fillId="20" borderId="0" xfId="152" quotePrefix="1" applyNumberFormat="1" applyFont="1" applyFill="1" applyAlignment="1">
      <alignment horizontal="center"/>
    </xf>
    <xf numFmtId="0" fontId="81" fillId="20" borderId="0" xfId="0" applyNumberFormat="1" applyFont="1" applyFill="1" applyAlignment="1" applyProtection="1">
      <alignment horizontal="left"/>
      <protection locked="0"/>
    </xf>
    <xf numFmtId="172" fontId="80" fillId="20" borderId="0" xfId="0" applyFont="1" applyFill="1" applyAlignment="1" applyProtection="1">
      <alignment horizontal="center"/>
      <protection locked="0"/>
    </xf>
    <xf numFmtId="172" fontId="28" fillId="20" borderId="0" xfId="0" applyFont="1" applyFill="1" applyProtection="1">
      <protection locked="0"/>
    </xf>
    <xf numFmtId="175" fontId="80" fillId="20" borderId="0" xfId="0" applyNumberFormat="1" applyFont="1" applyFill="1" applyProtection="1">
      <protection locked="0"/>
    </xf>
    <xf numFmtId="172" fontId="72" fillId="0" borderId="0" xfId="0" applyFont="1" applyAlignment="1">
      <alignment horizontal="center" vertical="center" wrapText="1"/>
    </xf>
    <xf numFmtId="172" fontId="72" fillId="0" borderId="0" xfId="0" applyFont="1" applyAlignment="1">
      <alignment horizontal="right" vertical="center"/>
    </xf>
    <xf numFmtId="0" fontId="72" fillId="0" borderId="0" xfId="0" applyNumberFormat="1" applyFont="1" applyAlignment="1">
      <alignment horizontal="right"/>
    </xf>
    <xf numFmtId="172" fontId="121" fillId="0" borderId="0" xfId="0" applyFont="1"/>
    <xf numFmtId="172" fontId="51" fillId="0" borderId="0" xfId="0" applyFont="1" applyAlignment="1">
      <alignment horizontal="center" vertical="center" wrapText="1"/>
    </xf>
    <xf numFmtId="172" fontId="51" fillId="0" borderId="11" xfId="0" applyFont="1" applyBorder="1"/>
    <xf numFmtId="172" fontId="122" fillId="0" borderId="0" xfId="0" applyFont="1"/>
    <xf numFmtId="170" fontId="50" fillId="20" borderId="0" xfId="0" applyNumberFormat="1" applyFont="1" applyFill="1"/>
    <xf numFmtId="3" fontId="50" fillId="0" borderId="0" xfId="0" applyNumberFormat="1" applyFont="1" applyAlignment="1">
      <alignment horizontal="center"/>
    </xf>
    <xf numFmtId="170" fontId="50" fillId="0" borderId="32" xfId="0" applyNumberFormat="1" applyFont="1" applyBorder="1"/>
    <xf numFmtId="171" fontId="50" fillId="0" borderId="0" xfId="0" applyNumberFormat="1" applyFont="1" applyAlignment="1">
      <alignment horizontal="center"/>
    </xf>
    <xf numFmtId="170" fontId="50" fillId="20" borderId="11" xfId="0" applyNumberFormat="1" applyFont="1" applyFill="1" applyBorder="1"/>
    <xf numFmtId="170" fontId="51" fillId="0" borderId="27" xfId="0" applyNumberFormat="1" applyFont="1" applyBorder="1"/>
    <xf numFmtId="171" fontId="50" fillId="0" borderId="0" xfId="0" applyNumberFormat="1" applyFont="1"/>
    <xf numFmtId="3" fontId="50" fillId="0" borderId="0" xfId="0" quotePrefix="1" applyNumberFormat="1" applyFont="1" applyAlignment="1">
      <alignment horizontal="center"/>
    </xf>
    <xf numFmtId="170" fontId="50" fillId="0" borderId="0" xfId="0" applyNumberFormat="1" applyFont="1"/>
    <xf numFmtId="175" fontId="50" fillId="0" borderId="16" xfId="59" quotePrefix="1" applyNumberFormat="1" applyFont="1" applyFill="1" applyBorder="1" applyAlignment="1">
      <alignment horizontal="center"/>
    </xf>
    <xf numFmtId="175" fontId="50" fillId="0" borderId="0" xfId="59" applyNumberFormat="1" applyFont="1" applyFill="1" applyBorder="1" applyAlignment="1">
      <alignment horizontal="center"/>
    </xf>
    <xf numFmtId="175" fontId="50" fillId="0" borderId="0" xfId="59" applyNumberFormat="1" applyFont="1" applyFill="1" applyBorder="1" applyAlignment="1">
      <alignment horizontal="left" wrapText="1"/>
    </xf>
    <xf numFmtId="175" fontId="50" fillId="0" borderId="0" xfId="59" applyNumberFormat="1" applyFont="1" applyFill="1" applyBorder="1" applyAlignment="1">
      <alignment horizontal="left"/>
    </xf>
    <xf numFmtId="170" fontId="50" fillId="21" borderId="0" xfId="0" applyNumberFormat="1" applyFont="1" applyFill="1"/>
    <xf numFmtId="172" fontId="50" fillId="21" borderId="0" xfId="0" applyFont="1" applyFill="1"/>
    <xf numFmtId="175" fontId="108" fillId="0" borderId="0" xfId="63" applyNumberFormat="1" applyFont="1" applyFill="1" applyAlignment="1">
      <alignment horizontal="center"/>
    </xf>
    <xf numFmtId="175" fontId="50" fillId="0" borderId="0" xfId="59" applyNumberFormat="1" applyFont="1" applyFill="1" applyAlignment="1">
      <alignment horizontal="center"/>
    </xf>
    <xf numFmtId="175" fontId="108" fillId="0" borderId="0" xfId="59" applyNumberFormat="1" applyFont="1" applyFill="1" applyAlignment="1">
      <alignment horizontal="center"/>
    </xf>
    <xf numFmtId="0" fontId="28" fillId="0" borderId="13" xfId="0" applyNumberFormat="1" applyFont="1" applyBorder="1" applyAlignment="1">
      <alignment horizontal="center"/>
    </xf>
    <xf numFmtId="0" fontId="10" fillId="0" borderId="11" xfId="148" applyFont="1" applyBorder="1" applyAlignment="1">
      <alignment horizontal="center" wrapText="1"/>
    </xf>
    <xf numFmtId="0" fontId="123" fillId="0" borderId="0" xfId="132" applyFont="1"/>
    <xf numFmtId="172" fontId="86" fillId="20" borderId="0" xfId="0" applyFont="1" applyFill="1" applyAlignment="1">
      <alignment horizontal="center" vertical="center"/>
    </xf>
    <xf numFmtId="175" fontId="50" fillId="0" borderId="0" xfId="157" applyNumberFormat="1" applyFont="1" applyAlignment="1">
      <alignment horizontal="center"/>
    </xf>
    <xf numFmtId="0" fontId="50" fillId="0" borderId="0" xfId="158" applyFont="1"/>
    <xf numFmtId="175" fontId="51" fillId="0" borderId="16" xfId="59" applyNumberFormat="1" applyFont="1" applyBorder="1" applyAlignment="1"/>
    <xf numFmtId="175" fontId="51" fillId="0" borderId="0" xfId="59" applyNumberFormat="1" applyFont="1" applyBorder="1" applyAlignment="1"/>
    <xf numFmtId="0" fontId="51" fillId="0" borderId="11" xfId="0" applyNumberFormat="1" applyFont="1" applyBorder="1" applyAlignment="1">
      <alignment horizontal="center"/>
    </xf>
    <xf numFmtId="172" fontId="51" fillId="0" borderId="11" xfId="0" applyFont="1" applyBorder="1" applyAlignment="1">
      <alignment horizontal="center"/>
    </xf>
    <xf numFmtId="172" fontId="50" fillId="0" borderId="0" xfId="0" quotePrefix="1" applyFont="1"/>
    <xf numFmtId="175" fontId="50" fillId="0" borderId="32" xfId="59" applyNumberFormat="1" applyFont="1" applyBorder="1" applyAlignment="1"/>
    <xf numFmtId="0" fontId="51" fillId="0" borderId="0" xfId="0" applyNumberFormat="1" applyFont="1" applyAlignment="1">
      <alignment horizontal="center"/>
    </xf>
    <xf numFmtId="0" fontId="125" fillId="0" borderId="0" xfId="159" applyFont="1"/>
    <xf numFmtId="0" fontId="0" fillId="0" borderId="0" xfId="0" applyNumberFormat="1"/>
    <xf numFmtId="0" fontId="51" fillId="0" borderId="0" xfId="160" applyNumberFormat="1" applyFont="1" applyFill="1" applyAlignment="1">
      <alignment vertical="top"/>
    </xf>
    <xf numFmtId="0" fontId="28" fillId="0" borderId="0" xfId="156" applyFont="1"/>
    <xf numFmtId="1" fontId="128" fillId="0" borderId="0" xfId="78" applyNumberFormat="1" applyFont="1" applyAlignment="1">
      <alignment vertical="center"/>
    </xf>
    <xf numFmtId="0" fontId="129" fillId="0" borderId="0" xfId="132" applyFont="1"/>
    <xf numFmtId="0" fontId="130" fillId="0" borderId="0" xfId="132" applyFont="1"/>
    <xf numFmtId="0" fontId="130" fillId="0" borderId="0" xfId="78" applyFont="1" applyAlignment="1">
      <alignment horizontal="right"/>
    </xf>
    <xf numFmtId="0" fontId="128" fillId="0" borderId="0" xfId="132" applyFont="1" applyAlignment="1">
      <alignment vertical="top"/>
    </xf>
    <xf numFmtId="0" fontId="101" fillId="0" borderId="0" xfId="132" applyFont="1"/>
    <xf numFmtId="0" fontId="128" fillId="0" borderId="0" xfId="154" applyFont="1" applyAlignment="1">
      <alignment horizontal="center" vertical="center"/>
    </xf>
    <xf numFmtId="0" fontId="130" fillId="0" borderId="0" xfId="154" applyFont="1" applyAlignment="1">
      <alignment horizontal="right"/>
    </xf>
    <xf numFmtId="0" fontId="128" fillId="0" borderId="0" xfId="78" applyFont="1" applyAlignment="1"/>
    <xf numFmtId="0" fontId="130" fillId="0" borderId="0" xfId="78" applyFont="1" applyAlignment="1"/>
    <xf numFmtId="0" fontId="129" fillId="0" borderId="0" xfId="132" applyFont="1" applyAlignment="1">
      <alignment horizontal="center" vertical="center"/>
    </xf>
    <xf numFmtId="0" fontId="131" fillId="0" borderId="0" xfId="156" applyFont="1" applyAlignment="1">
      <alignment horizontal="center"/>
    </xf>
    <xf numFmtId="0" fontId="128" fillId="0" borderId="12" xfId="132" applyFont="1" applyBorder="1" applyAlignment="1">
      <alignment horizontal="center" vertical="center" wrapText="1"/>
    </xf>
    <xf numFmtId="0" fontId="128" fillId="0" borderId="0" xfId="132" applyFont="1" applyAlignment="1">
      <alignment horizontal="center" vertical="center" wrapText="1"/>
    </xf>
    <xf numFmtId="0" fontId="128" fillId="0" borderId="0" xfId="132" applyFont="1" applyAlignment="1">
      <alignment vertical="center" wrapText="1"/>
    </xf>
    <xf numFmtId="0" fontId="128" fillId="0" borderId="0" xfId="132" applyFont="1" applyAlignment="1">
      <alignment horizontal="center" wrapText="1"/>
    </xf>
    <xf numFmtId="0" fontId="130" fillId="20" borderId="0" xfId="132" applyFont="1" applyFill="1" applyAlignment="1">
      <alignment horizontal="center"/>
    </xf>
    <xf numFmtId="0" fontId="130" fillId="20" borderId="0" xfId="132" applyFont="1" applyFill="1"/>
    <xf numFmtId="175" fontId="130" fillId="20" borderId="0" xfId="133" applyNumberFormat="1" applyFont="1" applyFill="1" applyAlignment="1">
      <alignment vertical="center"/>
    </xf>
    <xf numFmtId="175" fontId="130" fillId="0" borderId="0" xfId="132" applyNumberFormat="1" applyFont="1"/>
    <xf numFmtId="0" fontId="130" fillId="0" borderId="0" xfId="132" applyFont="1" applyAlignment="1">
      <alignment horizontal="center"/>
    </xf>
    <xf numFmtId="175" fontId="130" fillId="0" borderId="0" xfId="133" applyNumberFormat="1" applyFont="1" applyFill="1" applyAlignment="1">
      <alignment vertical="center"/>
    </xf>
    <xf numFmtId="0" fontId="129" fillId="0" borderId="0" xfId="78" applyFont="1" applyAlignment="1"/>
    <xf numFmtId="0" fontId="128" fillId="20" borderId="0" xfId="132" applyFont="1" applyFill="1"/>
    <xf numFmtId="0" fontId="128" fillId="0" borderId="0" xfId="132" applyFont="1"/>
    <xf numFmtId="175" fontId="130" fillId="0" borderId="11" xfId="133" applyNumberFormat="1" applyFont="1" applyFill="1" applyBorder="1" applyAlignment="1">
      <alignment vertical="center"/>
    </xf>
    <xf numFmtId="175" fontId="130" fillId="0" borderId="11" xfId="132" applyNumberFormat="1" applyFont="1" applyBorder="1"/>
    <xf numFmtId="175" fontId="128" fillId="0" borderId="0" xfId="133" applyNumberFormat="1" applyFont="1" applyFill="1" applyBorder="1"/>
    <xf numFmtId="175" fontId="130" fillId="0" borderId="0" xfId="133" applyNumberFormat="1" applyFont="1"/>
    <xf numFmtId="175" fontId="130" fillId="0" borderId="0" xfId="133" applyNumberFormat="1" applyFont="1" applyAlignment="1">
      <alignment horizontal="center"/>
    </xf>
    <xf numFmtId="175" fontId="130" fillId="20" borderId="0" xfId="133" applyNumberFormat="1" applyFont="1" applyFill="1"/>
    <xf numFmtId="175" fontId="130" fillId="20" borderId="0" xfId="133" applyNumberFormat="1" applyFont="1" applyFill="1" applyBorder="1" applyAlignment="1">
      <alignment vertical="center"/>
    </xf>
    <xf numFmtId="175" fontId="130" fillId="20" borderId="11" xfId="133" applyNumberFormat="1" applyFont="1" applyFill="1" applyBorder="1" applyAlignment="1">
      <alignment vertical="center"/>
    </xf>
    <xf numFmtId="175" fontId="128" fillId="0" borderId="0" xfId="132" applyNumberFormat="1" applyFont="1"/>
    <xf numFmtId="175" fontId="128" fillId="0" borderId="0" xfId="133" applyNumberFormat="1" applyFont="1" applyFill="1" applyBorder="1" applyAlignment="1">
      <alignment vertical="center"/>
    </xf>
    <xf numFmtId="175" fontId="128" fillId="0" borderId="0" xfId="133" applyNumberFormat="1" applyFont="1" applyFill="1"/>
    <xf numFmtId="175" fontId="130" fillId="0" borderId="0" xfId="133" applyNumberFormat="1" applyFont="1" applyFill="1"/>
    <xf numFmtId="0" fontId="129" fillId="0" borderId="0" xfId="132" applyFont="1" applyAlignment="1">
      <alignment horizontal="center"/>
    </xf>
    <xf numFmtId="0" fontId="129" fillId="0" borderId="0" xfId="132" applyFont="1" applyAlignment="1">
      <alignment horizontal="left"/>
    </xf>
    <xf numFmtId="175" fontId="129" fillId="0" borderId="0" xfId="133" applyNumberFormat="1" applyFont="1"/>
    <xf numFmtId="175" fontId="133" fillId="0" borderId="0" xfId="133" applyNumberFormat="1" applyFont="1" applyFill="1" applyBorder="1"/>
    <xf numFmtId="0" fontId="129" fillId="0" borderId="0" xfId="132" applyFont="1" applyAlignment="1">
      <alignment horizontal="center" vertical="top"/>
    </xf>
    <xf numFmtId="0" fontId="129" fillId="0" borderId="0" xfId="132" applyFont="1" applyAlignment="1">
      <alignment vertical="top"/>
    </xf>
    <xf numFmtId="175" fontId="129" fillId="0" borderId="0" xfId="133" applyNumberFormat="1" applyFont="1" applyFill="1" applyAlignment="1">
      <alignment vertical="top"/>
    </xf>
    <xf numFmtId="175" fontId="129" fillId="0" borderId="0" xfId="133" applyNumberFormat="1" applyFont="1" applyAlignment="1">
      <alignment vertical="top"/>
    </xf>
    <xf numFmtId="175" fontId="133" fillId="0" borderId="0" xfId="133" applyNumberFormat="1" applyFont="1" applyFill="1" applyBorder="1" applyAlignment="1">
      <alignment vertical="top"/>
    </xf>
    <xf numFmtId="0" fontId="129" fillId="0" borderId="0" xfId="132" applyFont="1" applyAlignment="1">
      <alignment horizontal="right"/>
    </xf>
    <xf numFmtId="172" fontId="28" fillId="0" borderId="0" xfId="0" applyFont="1" applyAlignment="1">
      <alignment horizontal="left"/>
    </xf>
    <xf numFmtId="172" fontId="28" fillId="0" borderId="0" xfId="0" applyFont="1" applyAlignment="1">
      <alignment horizontal="left" wrapText="1"/>
    </xf>
    <xf numFmtId="0" fontId="50" fillId="0" borderId="0" xfId="158" applyFont="1" applyAlignment="1">
      <alignment horizontal="center"/>
    </xf>
    <xf numFmtId="0" fontId="51" fillId="0" borderId="11" xfId="157" applyNumberFormat="1" applyFont="1" applyBorder="1" applyAlignment="1">
      <alignment horizontal="center" wrapText="1"/>
    </xf>
    <xf numFmtId="0" fontId="51" fillId="0" borderId="11" xfId="158" applyFont="1" applyBorder="1" applyAlignment="1">
      <alignment horizontal="center" wrapText="1"/>
    </xf>
    <xf numFmtId="0" fontId="134" fillId="0" borderId="0" xfId="157" applyNumberFormat="1" applyFont="1" applyAlignment="1">
      <alignment horizontal="center" wrapText="1"/>
    </xf>
    <xf numFmtId="0" fontId="51" fillId="0" borderId="11" xfId="161" applyNumberFormat="1" applyFont="1" applyBorder="1"/>
    <xf numFmtId="49" fontId="51" fillId="0" borderId="11" xfId="157" applyNumberFormat="1" applyFont="1" applyBorder="1" applyAlignment="1">
      <alignment horizontal="left" wrapText="1"/>
    </xf>
    <xf numFmtId="0" fontId="51" fillId="0" borderId="11" xfId="161" applyNumberFormat="1" applyFont="1" applyBorder="1" applyAlignment="1">
      <alignment horizontal="center" wrapText="1"/>
    </xf>
    <xf numFmtId="49" fontId="51" fillId="0" borderId="11" xfId="157" applyNumberFormat="1" applyFont="1" applyBorder="1" applyAlignment="1">
      <alignment horizontal="center" wrapText="1"/>
    </xf>
    <xf numFmtId="0" fontId="51" fillId="0" borderId="0" xfId="156" applyFont="1" applyAlignment="1">
      <alignment horizontal="center"/>
    </xf>
    <xf numFmtId="0" fontId="50" fillId="0" borderId="0" xfId="158" applyFont="1" applyAlignment="1">
      <alignment horizontal="center" wrapText="1"/>
    </xf>
    <xf numFmtId="0" fontId="51" fillId="0" borderId="0" xfId="156" applyFont="1"/>
    <xf numFmtId="0" fontId="51" fillId="0" borderId="0" xfId="161" applyNumberFormat="1" applyFont="1"/>
    <xf numFmtId="175" fontId="51" fillId="0" borderId="0" xfId="157" applyNumberFormat="1" applyFont="1" applyAlignment="1">
      <alignment horizontal="center" wrapText="1"/>
    </xf>
    <xf numFmtId="175" fontId="50" fillId="20" borderId="0" xfId="157" applyNumberFormat="1" applyFont="1" applyFill="1" applyAlignment="1">
      <alignment horizontal="left"/>
    </xf>
    <xf numFmtId="175" fontId="50" fillId="0" borderId="0" xfId="157" applyNumberFormat="1" applyFont="1"/>
    <xf numFmtId="175" fontId="50" fillId="0" borderId="0" xfId="157" applyNumberFormat="1" applyFont="1" applyBorder="1"/>
    <xf numFmtId="175" fontId="50" fillId="0" borderId="32" xfId="157" applyNumberFormat="1" applyFont="1" applyBorder="1"/>
    <xf numFmtId="0" fontId="121" fillId="0" borderId="0" xfId="158" applyFont="1" applyAlignment="1">
      <alignment horizontal="left"/>
    </xf>
    <xf numFmtId="175" fontId="51" fillId="0" borderId="0" xfId="157" applyNumberFormat="1" applyFont="1" applyFill="1" applyAlignment="1">
      <alignment vertical="top"/>
    </xf>
    <xf numFmtId="0" fontId="50" fillId="0" borderId="0" xfId="158" applyFont="1" applyAlignment="1">
      <alignment wrapText="1"/>
    </xf>
    <xf numFmtId="0" fontId="116" fillId="0" borderId="0" xfId="158" applyFont="1"/>
    <xf numFmtId="0" fontId="111" fillId="0" borderId="0" xfId="0" applyNumberFormat="1" applyFont="1"/>
    <xf numFmtId="172" fontId="111" fillId="0" borderId="0" xfId="0" applyFont="1"/>
    <xf numFmtId="0" fontId="114" fillId="0" borderId="0" xfId="0" applyNumberFormat="1" applyFont="1" applyAlignment="1">
      <alignment horizontal="center"/>
    </xf>
    <xf numFmtId="170" fontId="0" fillId="0" borderId="0" xfId="0" applyNumberFormat="1"/>
    <xf numFmtId="0" fontId="112" fillId="0" borderId="0" xfId="135" applyFont="1" applyAlignment="1">
      <alignment vertical="top" wrapText="1"/>
    </xf>
    <xf numFmtId="49" fontId="126" fillId="20" borderId="0" xfId="0" applyNumberFormat="1" applyFont="1" applyFill="1"/>
    <xf numFmtId="175" fontId="50" fillId="20" borderId="16" xfId="59" quotePrefix="1" applyNumberFormat="1" applyFont="1" applyFill="1" applyBorder="1" applyAlignment="1">
      <alignment horizontal="center"/>
    </xf>
    <xf numFmtId="175" fontId="50" fillId="20" borderId="0" xfId="59" applyNumberFormat="1" applyFont="1" applyFill="1" applyBorder="1" applyAlignment="1">
      <alignment horizontal="left" wrapText="1"/>
    </xf>
    <xf numFmtId="175" fontId="50" fillId="20" borderId="0" xfId="59" applyNumberFormat="1" applyFont="1" applyFill="1" applyBorder="1" applyAlignment="1">
      <alignment horizontal="left"/>
    </xf>
    <xf numFmtId="3" fontId="127" fillId="0" borderId="0" xfId="0" applyNumberFormat="1" applyFont="1"/>
    <xf numFmtId="172" fontId="127" fillId="0" borderId="0" xfId="0" applyFont="1"/>
    <xf numFmtId="49" fontId="127" fillId="0" borderId="0" xfId="0" applyNumberFormat="1" applyFont="1" applyAlignment="1">
      <alignment horizontal="center"/>
    </xf>
    <xf numFmtId="172" fontId="136" fillId="0" borderId="0" xfId="0" applyFont="1" applyAlignment="1">
      <alignment horizontal="center"/>
    </xf>
    <xf numFmtId="3" fontId="127" fillId="0" borderId="0" xfId="0" applyNumberFormat="1" applyFont="1" applyAlignment="1">
      <alignment horizontal="center"/>
    </xf>
    <xf numFmtId="173" fontId="127" fillId="0" borderId="0" xfId="63" applyNumberFormat="1" applyFont="1" applyFill="1" applyBorder="1" applyAlignment="1"/>
    <xf numFmtId="176" fontId="127" fillId="0" borderId="0" xfId="0" applyNumberFormat="1" applyFont="1"/>
    <xf numFmtId="0" fontId="127" fillId="0" borderId="0" xfId="0" applyNumberFormat="1" applyFont="1"/>
    <xf numFmtId="164" fontId="127" fillId="0" borderId="0" xfId="0" applyNumberFormat="1" applyFont="1" applyAlignment="1">
      <alignment horizontal="center"/>
    </xf>
    <xf numFmtId="176" fontId="127" fillId="0" borderId="0" xfId="85" applyNumberFormat="1" applyFont="1" applyFill="1" applyBorder="1" applyAlignment="1"/>
    <xf numFmtId="0" fontId="136" fillId="0" borderId="0" xfId="0" applyNumberFormat="1" applyFont="1"/>
    <xf numFmtId="3" fontId="136" fillId="0" borderId="0" xfId="0" applyNumberFormat="1" applyFont="1" applyAlignment="1">
      <alignment horizontal="center"/>
    </xf>
    <xf numFmtId="3" fontId="136" fillId="0" borderId="0" xfId="0" applyNumberFormat="1" applyFont="1"/>
    <xf numFmtId="172" fontId="127" fillId="0" borderId="0" xfId="0" applyFont="1" applyAlignment="1">
      <alignment horizontal="center"/>
    </xf>
    <xf numFmtId="49" fontId="136" fillId="0" borderId="0" xfId="0" applyNumberFormat="1" applyFont="1" applyAlignment="1">
      <alignment horizontal="center"/>
    </xf>
    <xf numFmtId="176" fontId="136" fillId="0" borderId="0" xfId="85" applyNumberFormat="1" applyFont="1" applyFill="1" applyBorder="1" applyAlignment="1"/>
    <xf numFmtId="172" fontId="136" fillId="0" borderId="0" xfId="0" applyFont="1"/>
    <xf numFmtId="181" fontId="136" fillId="0" borderId="0" xfId="85" applyNumberFormat="1" applyFont="1" applyFill="1" applyBorder="1" applyAlignment="1"/>
    <xf numFmtId="0" fontId="28" fillId="0" borderId="10" xfId="59" applyNumberFormat="1" applyFont="1" applyFill="1" applyBorder="1" applyAlignment="1"/>
    <xf numFmtId="0" fontId="28" fillId="20" borderId="10" xfId="59" applyNumberFormat="1" applyFont="1" applyFill="1" applyBorder="1" applyAlignment="1"/>
    <xf numFmtId="0" fontId="51" fillId="20" borderId="11" xfId="157" applyNumberFormat="1" applyFont="1" applyFill="1" applyBorder="1" applyAlignment="1">
      <alignment horizontal="center" wrapText="1"/>
    </xf>
    <xf numFmtId="180" fontId="50" fillId="0" borderId="0" xfId="59" applyNumberFormat="1" applyFont="1" applyAlignment="1">
      <alignment horizontal="center"/>
    </xf>
    <xf numFmtId="0" fontId="121" fillId="0" borderId="0" xfId="158" applyFont="1" applyAlignment="1">
      <alignment horizontal="center" wrapText="1"/>
    </xf>
    <xf numFmtId="180" fontId="51" fillId="0" borderId="11" xfId="59" applyNumberFormat="1" applyFont="1" applyBorder="1" applyAlignment="1">
      <alignment horizontal="center" wrapText="1"/>
    </xf>
    <xf numFmtId="175" fontId="50" fillId="0" borderId="0" xfId="59" applyNumberFormat="1" applyFont="1"/>
    <xf numFmtId="0" fontId="50" fillId="20" borderId="0" xfId="162" applyFont="1" applyFill="1" applyAlignment="1">
      <alignment horizontal="left"/>
    </xf>
    <xf numFmtId="175" fontId="50" fillId="20" borderId="0" xfId="59" applyNumberFormat="1" applyFont="1" applyFill="1" applyAlignment="1">
      <alignment horizontal="left"/>
    </xf>
    <xf numFmtId="0" fontId="50" fillId="0" borderId="0" xfId="59" applyNumberFormat="1" applyFont="1" applyAlignment="1">
      <alignment horizontal="center"/>
    </xf>
    <xf numFmtId="43" fontId="50" fillId="20" borderId="0" xfId="59" applyFont="1" applyFill="1" applyAlignment="1">
      <alignment horizontal="center"/>
    </xf>
    <xf numFmtId="0" fontId="51" fillId="0" borderId="0" xfId="158" applyFont="1" applyAlignment="1">
      <alignment horizontal="center"/>
    </xf>
    <xf numFmtId="0" fontId="51" fillId="0" borderId="0" xfId="158" applyFont="1"/>
    <xf numFmtId="175" fontId="51" fillId="0" borderId="0" xfId="157" applyNumberFormat="1" applyFont="1"/>
    <xf numFmtId="175" fontId="51" fillId="0" borderId="0" xfId="158" applyNumberFormat="1" applyFont="1" applyAlignment="1">
      <alignment horizontal="center"/>
    </xf>
    <xf numFmtId="180" fontId="51" fillId="0" borderId="0" xfId="59" applyNumberFormat="1" applyFont="1" applyAlignment="1">
      <alignment horizontal="center"/>
    </xf>
    <xf numFmtId="172" fontId="119" fillId="0" borderId="0" xfId="0" applyFont="1"/>
    <xf numFmtId="172" fontId="137" fillId="0" borderId="0" xfId="0" applyFont="1"/>
    <xf numFmtId="172" fontId="126" fillId="0" borderId="0" xfId="0" applyFont="1" applyAlignment="1">
      <alignment horizontal="right" vertical="center"/>
    </xf>
    <xf numFmtId="0" fontId="126" fillId="0" borderId="0" xfId="0" applyNumberFormat="1" applyFont="1" applyAlignment="1">
      <alignment horizontal="right"/>
    </xf>
    <xf numFmtId="173" fontId="108" fillId="0" borderId="0" xfId="63" applyNumberFormat="1" applyFont="1" applyFill="1" applyBorder="1"/>
    <xf numFmtId="0" fontId="50" fillId="0" borderId="6" xfId="0" applyNumberFormat="1" applyFont="1" applyBorder="1"/>
    <xf numFmtId="49" fontId="82" fillId="20" borderId="0" xfId="129" applyNumberFormat="1" applyFont="1" applyFill="1" applyAlignment="1">
      <alignment horizontal="center"/>
    </xf>
    <xf numFmtId="0" fontId="73" fillId="20" borderId="0" xfId="0" applyNumberFormat="1" applyFont="1" applyFill="1" applyAlignment="1">
      <alignment horizontal="center" vertical="center"/>
    </xf>
    <xf numFmtId="172" fontId="72" fillId="0" borderId="0" xfId="0" applyFont="1" applyAlignment="1">
      <alignment vertical="center" wrapText="1"/>
    </xf>
    <xf numFmtId="172" fontId="79" fillId="21" borderId="32" xfId="0" applyFont="1" applyFill="1" applyBorder="1" applyAlignment="1">
      <alignment vertical="center"/>
    </xf>
    <xf numFmtId="172" fontId="79" fillId="21" borderId="32" xfId="0" applyFont="1" applyFill="1" applyBorder="1" applyAlignment="1">
      <alignment horizontal="center" vertical="center"/>
    </xf>
    <xf numFmtId="172" fontId="79" fillId="0" borderId="0" xfId="0" applyFont="1" applyAlignment="1">
      <alignment horizontal="center" vertical="center"/>
    </xf>
    <xf numFmtId="172" fontId="79" fillId="0" borderId="0" xfId="0" applyFont="1" applyAlignment="1">
      <alignment vertical="center"/>
    </xf>
    <xf numFmtId="165" fontId="50" fillId="0" borderId="0" xfId="0" applyNumberFormat="1" applyFont="1"/>
    <xf numFmtId="175" fontId="50" fillId="0" borderId="0" xfId="157" applyNumberFormat="1" applyFont="1" applyBorder="1" applyAlignment="1">
      <alignment horizontal="center"/>
    </xf>
    <xf numFmtId="180" fontId="50" fillId="0" borderId="0" xfId="59" applyNumberFormat="1" applyFont="1" applyBorder="1" applyAlignment="1">
      <alignment horizontal="center"/>
    </xf>
    <xf numFmtId="180" fontId="51" fillId="0" borderId="0" xfId="59" applyNumberFormat="1" applyFont="1" applyBorder="1" applyAlignment="1">
      <alignment horizontal="center" wrapText="1"/>
    </xf>
    <xf numFmtId="49" fontId="51" fillId="0" borderId="0" xfId="157" applyNumberFormat="1" applyFont="1" applyBorder="1" applyAlignment="1">
      <alignment horizontal="center" wrapText="1"/>
    </xf>
    <xf numFmtId="0" fontId="50" fillId="0" borderId="0" xfId="59" applyNumberFormat="1" applyFont="1" applyBorder="1" applyAlignment="1">
      <alignment horizontal="center"/>
    </xf>
    <xf numFmtId="1" fontId="50" fillId="20" borderId="0" xfId="59" applyNumberFormat="1" applyFont="1" applyFill="1" applyAlignment="1">
      <alignment horizontal="center"/>
    </xf>
    <xf numFmtId="186" fontId="50" fillId="20" borderId="0" xfId="59" applyNumberFormat="1" applyFont="1" applyFill="1" applyAlignment="1">
      <alignment horizontal="center"/>
    </xf>
    <xf numFmtId="175" fontId="51" fillId="0" borderId="0" xfId="157" applyNumberFormat="1" applyFont="1" applyFill="1"/>
    <xf numFmtId="180" fontId="51" fillId="0" borderId="0" xfId="59" applyNumberFormat="1" applyFont="1" applyFill="1" applyAlignment="1">
      <alignment horizontal="center"/>
    </xf>
    <xf numFmtId="175" fontId="51" fillId="0" borderId="27" xfId="157" applyNumberFormat="1" applyFont="1" applyFill="1" applyBorder="1"/>
    <xf numFmtId="175" fontId="51" fillId="0" borderId="27" xfId="158" applyNumberFormat="1" applyFont="1" applyBorder="1" applyAlignment="1">
      <alignment horizontal="center"/>
    </xf>
    <xf numFmtId="0" fontId="50" fillId="0" borderId="0" xfId="157" applyNumberFormat="1" applyFont="1"/>
    <xf numFmtId="172" fontId="0" fillId="0" borderId="0" xfId="0" applyAlignment="1">
      <alignment horizontal="center"/>
    </xf>
    <xf numFmtId="172" fontId="53" fillId="0" borderId="0" xfId="0" applyFont="1"/>
    <xf numFmtId="172" fontId="74" fillId="0" borderId="0" xfId="0" quotePrefix="1" applyFont="1" applyAlignment="1">
      <alignment horizontal="center" vertical="center"/>
    </xf>
    <xf numFmtId="172" fontId="28" fillId="0" borderId="0" xfId="0" applyFont="1" applyAlignment="1">
      <alignment horizontal="center" vertical="center"/>
    </xf>
    <xf numFmtId="172" fontId="0" fillId="0" borderId="0" xfId="0" quotePrefix="1"/>
    <xf numFmtId="0" fontId="51" fillId="0" borderId="11" xfId="157" applyNumberFormat="1" applyFont="1" applyFill="1" applyBorder="1" applyAlignment="1">
      <alignment horizontal="center" wrapText="1"/>
    </xf>
    <xf numFmtId="172" fontId="138" fillId="0" borderId="0" xfId="0" applyFont="1" applyAlignment="1">
      <alignment vertical="center" wrapText="1"/>
    </xf>
    <xf numFmtId="175" fontId="50" fillId="0" borderId="0" xfId="157" applyNumberFormat="1" applyFont="1" applyAlignment="1"/>
    <xf numFmtId="10" fontId="82" fillId="0" borderId="0" xfId="129" applyNumberFormat="1" applyFont="1"/>
    <xf numFmtId="172" fontId="74" fillId="0" borderId="0" xfId="0" applyFont="1" applyAlignment="1">
      <alignment horizontal="center" vertical="center" wrapText="1"/>
    </xf>
    <xf numFmtId="172" fontId="73" fillId="0" borderId="0" xfId="0" applyFont="1" applyAlignment="1">
      <alignment vertical="center" wrapText="1"/>
    </xf>
    <xf numFmtId="172" fontId="74" fillId="0" borderId="0" xfId="0" applyFont="1" applyAlignment="1">
      <alignment vertical="center" wrapText="1"/>
    </xf>
    <xf numFmtId="0" fontId="73" fillId="20" borderId="0" xfId="0" applyNumberFormat="1" applyFont="1" applyFill="1" applyAlignment="1">
      <alignment vertical="center" wrapText="1"/>
    </xf>
    <xf numFmtId="0" fontId="75" fillId="0" borderId="0" xfId="0" applyNumberFormat="1" applyFont="1" applyAlignment="1">
      <alignment horizontal="right" vertical="center" wrapText="1"/>
    </xf>
    <xf numFmtId="172" fontId="75" fillId="0" borderId="0" xfId="0" applyFont="1" applyAlignment="1">
      <alignment horizontal="right" vertical="center" wrapText="1"/>
    </xf>
    <xf numFmtId="172" fontId="73" fillId="20" borderId="0" xfId="0" applyFont="1" applyFill="1" applyAlignment="1">
      <alignment vertical="center" wrapText="1"/>
    </xf>
    <xf numFmtId="172" fontId="50" fillId="0" borderId="6" xfId="0" applyFont="1" applyBorder="1"/>
    <xf numFmtId="43" fontId="50" fillId="0" borderId="0" xfId="59" applyFont="1" applyAlignment="1"/>
    <xf numFmtId="43" fontId="50" fillId="0" borderId="0" xfId="59" applyFont="1"/>
    <xf numFmtId="0" fontId="15" fillId="0" borderId="0" xfId="154"/>
    <xf numFmtId="0" fontId="21" fillId="0" borderId="0" xfId="154" applyFont="1" applyAlignment="1">
      <alignment horizontal="right"/>
    </xf>
    <xf numFmtId="0" fontId="15" fillId="0" borderId="0" xfId="154" applyAlignment="1">
      <alignment horizontal="center"/>
    </xf>
    <xf numFmtId="0" fontId="21" fillId="0" borderId="0" xfId="0" applyNumberFormat="1" applyFont="1" applyAlignment="1">
      <alignment horizontal="right"/>
    </xf>
    <xf numFmtId="0" fontId="129" fillId="0" borderId="0" xfId="154" applyFont="1"/>
    <xf numFmtId="3" fontId="21" fillId="0" borderId="0" xfId="156" applyNumberFormat="1"/>
    <xf numFmtId="0" fontId="120" fillId="0" borderId="0" xfId="156" applyFont="1" applyAlignment="1">
      <alignment horizontal="center"/>
    </xf>
    <xf numFmtId="0" fontId="21" fillId="0" borderId="0" xfId="156" applyAlignment="1">
      <alignment horizontal="center"/>
    </xf>
    <xf numFmtId="0" fontId="120" fillId="20" borderId="0" xfId="156" applyFont="1" applyFill="1" applyAlignment="1">
      <alignment horizontal="center"/>
    </xf>
    <xf numFmtId="3" fontId="21" fillId="0" borderId="0" xfId="156" applyNumberFormat="1" applyAlignment="1">
      <alignment horizontal="left"/>
    </xf>
    <xf numFmtId="0" fontId="21" fillId="20" borderId="0" xfId="156" applyFill="1"/>
    <xf numFmtId="37" fontId="21" fillId="20" borderId="0" xfId="156" applyNumberFormat="1" applyFill="1"/>
    <xf numFmtId="37" fontId="15" fillId="0" borderId="0" xfId="154" applyNumberFormat="1"/>
    <xf numFmtId="37" fontId="21" fillId="0" borderId="27" xfId="156" applyNumberFormat="1" applyBorder="1"/>
    <xf numFmtId="37" fontId="21" fillId="0" borderId="0" xfId="156" applyNumberFormat="1"/>
    <xf numFmtId="0" fontId="21" fillId="0" borderId="0" xfId="156"/>
    <xf numFmtId="0" fontId="15" fillId="20" borderId="0" xfId="154" applyFill="1" applyAlignment="1">
      <alignment horizontal="left"/>
    </xf>
    <xf numFmtId="37" fontId="21" fillId="0" borderId="11" xfId="156" applyNumberFormat="1" applyBorder="1"/>
    <xf numFmtId="3" fontId="50" fillId="0" borderId="6" xfId="0" applyNumberFormat="1" applyFont="1" applyBorder="1" applyAlignment="1">
      <alignment horizontal="center"/>
    </xf>
    <xf numFmtId="0" fontId="50" fillId="0" borderId="6" xfId="0" applyNumberFormat="1" applyFont="1" applyBorder="1" applyAlignment="1">
      <alignment horizontal="center"/>
    </xf>
    <xf numFmtId="168" fontId="50" fillId="0" borderId="0" xfId="0" applyNumberFormat="1" applyFont="1" applyAlignment="1">
      <alignment horizontal="center"/>
    </xf>
    <xf numFmtId="168" fontId="50" fillId="0" borderId="6" xfId="0" applyNumberFormat="1" applyFont="1" applyBorder="1" applyAlignment="1">
      <alignment horizontal="center"/>
    </xf>
    <xf numFmtId="172" fontId="50" fillId="0" borderId="6" xfId="0" applyFont="1" applyBorder="1" applyAlignment="1">
      <alignment horizontal="center"/>
    </xf>
    <xf numFmtId="37" fontId="108" fillId="0" borderId="0" xfId="0" applyNumberFormat="1" applyFont="1"/>
    <xf numFmtId="175" fontId="108" fillId="0" borderId="18" xfId="59" applyNumberFormat="1" applyFont="1" applyFill="1" applyBorder="1" applyAlignment="1"/>
    <xf numFmtId="174" fontId="50" fillId="0" borderId="0" xfId="0" applyNumberFormat="1" applyFont="1"/>
    <xf numFmtId="164" fontId="50" fillId="0" borderId="0" xfId="0" applyNumberFormat="1" applyFont="1" applyAlignment="1">
      <alignment horizontal="left" wrapText="1"/>
    </xf>
    <xf numFmtId="164" fontId="108" fillId="0" borderId="0" xfId="0" applyNumberFormat="1" applyFont="1" applyAlignment="1">
      <alignment horizontal="right"/>
    </xf>
    <xf numFmtId="42" fontId="108" fillId="0" borderId="0" xfId="0" applyNumberFormat="1" applyFont="1" applyAlignment="1">
      <alignment horizontal="center"/>
    </xf>
    <xf numFmtId="0" fontId="50" fillId="0" borderId="0" xfId="0" applyNumberFormat="1" applyFont="1" applyAlignment="1">
      <alignment horizontal="center" vertical="top" wrapText="1"/>
    </xf>
    <xf numFmtId="169" fontId="28" fillId="0" borderId="0" xfId="133" applyNumberFormat="1" applyFont="1" applyFill="1" applyBorder="1" applyAlignment="1"/>
    <xf numFmtId="172" fontId="0" fillId="0" borderId="14" xfId="0" applyBorder="1" applyAlignment="1">
      <alignment horizontal="center"/>
    </xf>
    <xf numFmtId="172" fontId="0" fillId="0" borderId="23" xfId="0" applyBorder="1" applyAlignment="1">
      <alignment horizontal="center"/>
    </xf>
    <xf numFmtId="10" fontId="21" fillId="0" borderId="0" xfId="85" applyNumberFormat="1" applyFont="1" applyFill="1" applyAlignment="1">
      <alignment vertical="top" wrapText="1"/>
    </xf>
    <xf numFmtId="0" fontId="88" fillId="0" borderId="0" xfId="129" applyFont="1" applyAlignment="1">
      <alignment vertical="top" wrapText="1"/>
    </xf>
    <xf numFmtId="182" fontId="21" fillId="0" borderId="0" xfId="0" quotePrefix="1" applyNumberFormat="1" applyFont="1" applyAlignment="1">
      <alignment horizontal="right"/>
    </xf>
    <xf numFmtId="49" fontId="73" fillId="20" borderId="0" xfId="0" applyNumberFormat="1" applyFont="1" applyFill="1" applyAlignment="1">
      <alignment horizontal="center" vertical="center"/>
    </xf>
    <xf numFmtId="0" fontId="130" fillId="0" borderId="0" xfId="154" applyFont="1" applyAlignment="1">
      <alignment horizontal="center"/>
    </xf>
    <xf numFmtId="0" fontId="15" fillId="0" borderId="0" xfId="154" applyAlignment="1">
      <alignment horizontal="right"/>
    </xf>
    <xf numFmtId="0" fontId="4" fillId="0" borderId="0" xfId="154" applyFont="1" applyAlignment="1">
      <alignment horizontal="right"/>
    </xf>
    <xf numFmtId="0" fontId="28" fillId="0" borderId="12" xfId="0" applyNumberFormat="1" applyFont="1" applyBorder="1" applyAlignment="1">
      <alignment horizontal="center" vertical="center" wrapText="1"/>
    </xf>
    <xf numFmtId="0" fontId="126" fillId="0" borderId="0" xfId="159" applyFont="1"/>
    <xf numFmtId="175" fontId="51" fillId="0" borderId="41" xfId="59" applyNumberFormat="1" applyFont="1" applyFill="1" applyBorder="1" applyAlignment="1">
      <alignment horizontal="center"/>
    </xf>
    <xf numFmtId="172" fontId="0" fillId="0" borderId="0" xfId="0" applyAlignment="1">
      <alignment horizontal="right"/>
    </xf>
    <xf numFmtId="10" fontId="82" fillId="0" borderId="0" xfId="85" applyNumberFormat="1" applyFont="1" applyFill="1" applyAlignment="1">
      <alignment horizontal="center"/>
    </xf>
    <xf numFmtId="10" fontId="82" fillId="0" borderId="0" xfId="85" applyNumberFormat="1" applyFont="1" applyFill="1" applyAlignment="1">
      <alignment horizontal="center" vertical="top"/>
    </xf>
    <xf numFmtId="49" fontId="96" fillId="0" borderId="0" xfId="80" applyNumberFormat="1" applyFont="1"/>
    <xf numFmtId="172" fontId="51" fillId="0" borderId="0" xfId="0" applyFont="1" applyAlignment="1">
      <alignment horizontal="center" vertical="center"/>
    </xf>
    <xf numFmtId="175" fontId="50" fillId="20" borderId="0" xfId="59" applyNumberFormat="1" applyFont="1" applyFill="1" applyBorder="1" applyAlignment="1" applyProtection="1">
      <protection locked="0"/>
    </xf>
    <xf numFmtId="170" fontId="50" fillId="20" borderId="0" xfId="0" applyNumberFormat="1" applyFont="1" applyFill="1" applyProtection="1">
      <protection locked="0"/>
    </xf>
    <xf numFmtId="175" fontId="108" fillId="0" borderId="0" xfId="59" applyNumberFormat="1" applyFont="1" applyFill="1" applyBorder="1" applyAlignment="1" applyProtection="1">
      <protection locked="0"/>
    </xf>
    <xf numFmtId="172" fontId="80" fillId="0" borderId="0" xfId="0" applyFont="1" applyAlignment="1" applyProtection="1">
      <alignment horizontal="center" vertical="center" wrapText="1"/>
      <protection locked="0"/>
    </xf>
    <xf numFmtId="172" fontId="80" fillId="0" borderId="24" xfId="0" applyFont="1" applyBorder="1" applyAlignment="1" applyProtection="1">
      <alignment horizontal="center" vertical="center" wrapText="1"/>
      <protection locked="0"/>
    </xf>
    <xf numFmtId="172" fontId="28" fillId="0" borderId="0" xfId="0" applyFont="1" applyAlignment="1" applyProtection="1">
      <alignment wrapText="1"/>
      <protection locked="0"/>
    </xf>
    <xf numFmtId="172" fontId="80" fillId="0" borderId="25" xfId="0" applyFont="1" applyBorder="1" applyAlignment="1" applyProtection="1">
      <alignment horizontal="center" wrapText="1"/>
      <protection locked="0"/>
    </xf>
    <xf numFmtId="172" fontId="80" fillId="0" borderId="0" xfId="0" applyFont="1" applyProtection="1">
      <protection locked="0"/>
    </xf>
    <xf numFmtId="172" fontId="80" fillId="0" borderId="25" xfId="0" applyFont="1" applyBorder="1" applyProtection="1">
      <protection locked="0"/>
    </xf>
    <xf numFmtId="172" fontId="28" fillId="0" borderId="0" xfId="0" applyFont="1" applyProtection="1">
      <protection locked="0"/>
    </xf>
    <xf numFmtId="172" fontId="81" fillId="0" borderId="0" xfId="0" applyFont="1" applyAlignment="1" applyProtection="1">
      <alignment horizontal="center"/>
      <protection locked="0"/>
    </xf>
    <xf numFmtId="5" fontId="80" fillId="0" borderId="26" xfId="0" applyNumberFormat="1" applyFont="1" applyBorder="1" applyAlignment="1" applyProtection="1">
      <alignment horizontal="center"/>
      <protection locked="0"/>
    </xf>
    <xf numFmtId="175" fontId="80" fillId="0" borderId="6" xfId="0" applyNumberFormat="1" applyFont="1" applyBorder="1" applyProtection="1">
      <protection locked="0"/>
    </xf>
    <xf numFmtId="172" fontId="80" fillId="0" borderId="6" xfId="0" applyFont="1" applyBorder="1" applyAlignment="1" applyProtection="1">
      <alignment horizontal="center"/>
      <protection locked="0"/>
    </xf>
    <xf numFmtId="172" fontId="28" fillId="0" borderId="6" xfId="0" applyFont="1" applyBorder="1" applyProtection="1">
      <protection locked="0"/>
    </xf>
    <xf numFmtId="175" fontId="80" fillId="0" borderId="0" xfId="0" applyNumberFormat="1" applyFont="1" applyAlignment="1" applyProtection="1">
      <alignment horizontal="center"/>
      <protection locked="0"/>
    </xf>
    <xf numFmtId="172" fontId="80" fillId="0" borderId="0" xfId="0" applyFont="1" applyAlignment="1" applyProtection="1">
      <alignment horizontal="center"/>
      <protection locked="0"/>
    </xf>
    <xf numFmtId="172" fontId="28" fillId="0" borderId="0" xfId="0" applyFont="1" applyAlignment="1" applyProtection="1">
      <alignment horizontal="center"/>
      <protection locked="0"/>
    </xf>
    <xf numFmtId="175" fontId="81" fillId="0" borderId="0" xfId="59" applyNumberFormat="1" applyFont="1" applyAlignment="1">
      <alignment horizontal="center"/>
    </xf>
    <xf numFmtId="175" fontId="81" fillId="0" borderId="0" xfId="0" applyNumberFormat="1" applyFont="1" applyAlignment="1" applyProtection="1">
      <alignment horizontal="center"/>
      <protection locked="0"/>
    </xf>
    <xf numFmtId="172" fontId="51" fillId="0" borderId="0" xfId="0" applyFont="1" applyAlignment="1">
      <alignment vertical="center"/>
    </xf>
    <xf numFmtId="17" fontId="126" fillId="20" borderId="0" xfId="159" applyNumberFormat="1" applyFont="1" applyFill="1" applyAlignment="1">
      <alignment horizontal="center"/>
    </xf>
    <xf numFmtId="180" fontId="80" fillId="20" borderId="0" xfId="0" applyNumberFormat="1" applyFont="1" applyFill="1" applyProtection="1">
      <protection locked="0"/>
    </xf>
    <xf numFmtId="180" fontId="80" fillId="0" borderId="0" xfId="0" applyNumberFormat="1" applyFont="1" applyProtection="1">
      <protection locked="0"/>
    </xf>
    <xf numFmtId="180" fontId="50" fillId="0" borderId="0" xfId="160" applyNumberFormat="1" applyFont="1" applyFill="1"/>
    <xf numFmtId="17" fontId="126" fillId="0" borderId="0" xfId="159" applyNumberFormat="1" applyFont="1" applyAlignment="1">
      <alignment horizontal="center"/>
    </xf>
    <xf numFmtId="180" fontId="50" fillId="0" borderId="11" xfId="160" applyNumberFormat="1" applyFont="1" applyFill="1" applyBorder="1"/>
    <xf numFmtId="175" fontId="80" fillId="0" borderId="0" xfId="0" applyNumberFormat="1" applyFont="1" applyAlignment="1" applyProtection="1">
      <alignment horizontal="left"/>
      <protection locked="0"/>
    </xf>
    <xf numFmtId="175" fontId="80" fillId="0" borderId="0" xfId="0" applyNumberFormat="1" applyFont="1" applyProtection="1">
      <protection locked="0"/>
    </xf>
    <xf numFmtId="180" fontId="50" fillId="0" borderId="0" xfId="160" applyNumberFormat="1" applyFont="1" applyAlignment="1">
      <alignment horizontal="right"/>
    </xf>
    <xf numFmtId="183" fontId="50" fillId="0" borderId="0" xfId="160" applyNumberFormat="1" applyFont="1" applyFill="1"/>
    <xf numFmtId="180" fontId="50" fillId="0" borderId="0" xfId="160" applyNumberFormat="1" applyFont="1" applyFill="1" applyAlignment="1">
      <alignment horizontal="right"/>
    </xf>
    <xf numFmtId="183" fontId="50" fillId="20" borderId="18" xfId="160" applyNumberFormat="1" applyFont="1" applyFill="1" applyBorder="1"/>
    <xf numFmtId="180" fontId="50" fillId="0" borderId="0" xfId="160" applyNumberFormat="1" applyFont="1"/>
    <xf numFmtId="0" fontId="140" fillId="0" borderId="0" xfId="159" applyFont="1"/>
    <xf numFmtId="180" fontId="80" fillId="0" borderId="0" xfId="160" applyNumberFormat="1" applyFont="1" applyAlignment="1">
      <alignment horizontal="right"/>
    </xf>
    <xf numFmtId="175" fontId="50" fillId="0" borderId="0" xfId="59" applyNumberFormat="1" applyFont="1" applyFill="1" applyAlignment="1">
      <alignment horizontal="center" vertical="center"/>
    </xf>
    <xf numFmtId="170" fontId="28" fillId="0" borderId="0" xfId="0" applyNumberFormat="1" applyFont="1"/>
    <xf numFmtId="0" fontId="72" fillId="0" borderId="0" xfId="154" applyFont="1" applyAlignment="1">
      <alignment vertical="center"/>
    </xf>
    <xf numFmtId="172" fontId="141" fillId="0" borderId="0" xfId="0" applyFont="1" applyAlignment="1">
      <alignment vertical="center"/>
    </xf>
    <xf numFmtId="172" fontId="142" fillId="0" borderId="0" xfId="0" applyFont="1" applyAlignment="1">
      <alignment horizontal="center" vertical="center"/>
    </xf>
    <xf numFmtId="0" fontId="72" fillId="0" borderId="0" xfId="158" applyFont="1" applyAlignment="1">
      <alignment horizontal="center"/>
    </xf>
    <xf numFmtId="0" fontId="72" fillId="0" borderId="0" xfId="158" applyFont="1"/>
    <xf numFmtId="175" fontId="72" fillId="0" borderId="0" xfId="157" applyNumberFormat="1" applyFont="1" applyAlignment="1">
      <alignment horizontal="center"/>
    </xf>
    <xf numFmtId="0" fontId="74" fillId="20" borderId="11" xfId="157" applyNumberFormat="1" applyFont="1" applyFill="1" applyBorder="1" applyAlignment="1">
      <alignment horizontal="center" wrapText="1"/>
    </xf>
    <xf numFmtId="0" fontId="74" fillId="0" borderId="11" xfId="157" applyNumberFormat="1" applyFont="1" applyBorder="1" applyAlignment="1">
      <alignment horizontal="center" wrapText="1"/>
    </xf>
    <xf numFmtId="0" fontId="74" fillId="0" borderId="11" xfId="158" applyFont="1" applyBorder="1" applyAlignment="1">
      <alignment horizontal="center" wrapText="1"/>
    </xf>
    <xf numFmtId="0" fontId="143" fillId="0" borderId="0" xfId="158" applyFont="1"/>
    <xf numFmtId="49" fontId="74" fillId="0" borderId="11" xfId="157" applyNumberFormat="1" applyFont="1" applyBorder="1" applyAlignment="1">
      <alignment horizontal="left" wrapText="1"/>
    </xf>
    <xf numFmtId="0" fontId="74" fillId="0" borderId="0" xfId="158" applyFont="1"/>
    <xf numFmtId="49" fontId="74" fillId="0" borderId="0" xfId="157" applyNumberFormat="1" applyFont="1" applyFill="1" applyBorder="1" applyAlignment="1">
      <alignment horizontal="left" wrapText="1"/>
    </xf>
    <xf numFmtId="49" fontId="74" fillId="0" borderId="11" xfId="157" applyNumberFormat="1" applyFont="1" applyBorder="1" applyAlignment="1">
      <alignment horizontal="center" wrapText="1"/>
    </xf>
    <xf numFmtId="0" fontId="74" fillId="0" borderId="0" xfId="156" applyFont="1" applyAlignment="1">
      <alignment horizontal="center"/>
    </xf>
    <xf numFmtId="49" fontId="74" fillId="0" borderId="11" xfId="157" applyNumberFormat="1" applyFont="1" applyFill="1" applyBorder="1" applyAlignment="1">
      <alignment horizontal="center" wrapText="1"/>
    </xf>
    <xf numFmtId="0" fontId="74" fillId="0" borderId="0" xfId="158" applyFont="1" applyAlignment="1">
      <alignment horizontal="center" wrapText="1"/>
    </xf>
    <xf numFmtId="49" fontId="74" fillId="0" borderId="0" xfId="157" applyNumberFormat="1" applyFont="1" applyBorder="1" applyAlignment="1">
      <alignment horizontal="left" wrapText="1"/>
    </xf>
    <xf numFmtId="49" fontId="74" fillId="0" borderId="0" xfId="157" applyNumberFormat="1" applyFont="1" applyBorder="1" applyAlignment="1">
      <alignment horizontal="center" wrapText="1"/>
    </xf>
    <xf numFmtId="49" fontId="74" fillId="0" borderId="0" xfId="157" applyNumberFormat="1" applyFont="1" applyFill="1" applyBorder="1" applyAlignment="1">
      <alignment horizontal="center" wrapText="1"/>
    </xf>
    <xf numFmtId="0" fontId="72" fillId="0" borderId="0" xfId="158" applyFont="1" applyAlignment="1">
      <alignment horizontal="center" wrapText="1"/>
    </xf>
    <xf numFmtId="0" fontId="74" fillId="0" borderId="0" xfId="161" applyNumberFormat="1" applyFont="1"/>
    <xf numFmtId="0" fontId="74" fillId="0" borderId="0" xfId="161" applyNumberFormat="1" applyFont="1" applyFill="1"/>
    <xf numFmtId="175" fontId="72" fillId="0" borderId="0" xfId="157" applyNumberFormat="1" applyFont="1"/>
    <xf numFmtId="175" fontId="72" fillId="0" borderId="0" xfId="157" applyNumberFormat="1" applyFont="1" applyFill="1" applyAlignment="1">
      <alignment horizontal="left"/>
    </xf>
    <xf numFmtId="0" fontId="72" fillId="20" borderId="0" xfId="158" applyFont="1" applyFill="1" applyAlignment="1">
      <alignment horizontal="center"/>
    </xf>
    <xf numFmtId="175" fontId="72" fillId="20" borderId="0" xfId="157" applyNumberFormat="1" applyFont="1" applyFill="1" applyAlignment="1">
      <alignment horizontal="left"/>
    </xf>
    <xf numFmtId="175" fontId="72" fillId="0" borderId="32" xfId="157" applyNumberFormat="1" applyFont="1" applyBorder="1"/>
    <xf numFmtId="0" fontId="74" fillId="20" borderId="0" xfId="158" applyFont="1" applyFill="1"/>
    <xf numFmtId="49" fontId="74" fillId="20" borderId="0" xfId="157" applyNumberFormat="1" applyFont="1" applyFill="1" applyBorder="1" applyAlignment="1">
      <alignment horizontal="center" wrapText="1"/>
    </xf>
    <xf numFmtId="175" fontId="72" fillId="0" borderId="0" xfId="157" applyNumberFormat="1" applyFont="1" applyAlignment="1">
      <alignment horizontal="left"/>
    </xf>
    <xf numFmtId="0" fontId="72" fillId="20" borderId="0" xfId="162" applyFont="1" applyFill="1" applyAlignment="1">
      <alignment horizontal="left"/>
    </xf>
    <xf numFmtId="0" fontId="72" fillId="0" borderId="0" xfId="162" applyFont="1" applyAlignment="1">
      <alignment horizontal="left"/>
    </xf>
    <xf numFmtId="172" fontId="142" fillId="0" borderId="0" xfId="0" applyFont="1" applyAlignment="1">
      <alignment vertical="center"/>
    </xf>
    <xf numFmtId="175" fontId="74" fillId="0" borderId="0" xfId="157" applyNumberFormat="1" applyFont="1" applyAlignment="1">
      <alignment horizontal="center" wrapText="1"/>
    </xf>
    <xf numFmtId="43" fontId="72" fillId="20" borderId="0" xfId="59" applyFont="1" applyFill="1" applyAlignment="1">
      <alignment horizontal="center"/>
    </xf>
    <xf numFmtId="175" fontId="72" fillId="0" borderId="0" xfId="157" applyNumberFormat="1" applyFont="1" applyFill="1"/>
    <xf numFmtId="175" fontId="72" fillId="0" borderId="0" xfId="157" applyNumberFormat="1" applyFont="1" applyAlignment="1">
      <alignment horizontal="right"/>
    </xf>
    <xf numFmtId="0" fontId="141" fillId="0" borderId="0" xfId="158" applyFont="1"/>
    <xf numFmtId="175" fontId="72" fillId="0" borderId="11" xfId="158" applyNumberFormat="1" applyFont="1" applyBorder="1"/>
    <xf numFmtId="0" fontId="74" fillId="0" borderId="0" xfId="157" applyNumberFormat="1" applyFont="1" applyFill="1" applyAlignment="1">
      <alignment vertical="top"/>
    </xf>
    <xf numFmtId="0" fontId="143" fillId="0" borderId="0" xfId="158" applyFont="1" applyAlignment="1">
      <alignment horizontal="left"/>
    </xf>
    <xf numFmtId="175" fontId="85" fillId="0" borderId="0" xfId="157" applyNumberFormat="1" applyFont="1" applyFill="1"/>
    <xf numFmtId="175" fontId="144" fillId="0" borderId="0" xfId="157" applyNumberFormat="1" applyFont="1"/>
    <xf numFmtId="0" fontId="144" fillId="0" borderId="0" xfId="158" applyFont="1"/>
    <xf numFmtId="175" fontId="74" fillId="0" borderId="0" xfId="157" applyNumberFormat="1" applyFont="1" applyFill="1" applyAlignment="1">
      <alignment vertical="top"/>
    </xf>
    <xf numFmtId="175" fontId="50" fillId="20" borderId="0" xfId="157" applyNumberFormat="1" applyFont="1" applyFill="1"/>
    <xf numFmtId="170" fontId="50" fillId="0" borderId="0" xfId="0" applyNumberFormat="1" applyFont="1" applyProtection="1"/>
    <xf numFmtId="172" fontId="50" fillId="0" borderId="0" xfId="0" applyFont="1" applyAlignment="1">
      <alignment horizontal="center" vertical="top" wrapText="1"/>
    </xf>
    <xf numFmtId="166" fontId="50" fillId="0" borderId="0" xfId="0" applyNumberFormat="1" applyFont="1"/>
    <xf numFmtId="0" fontId="136" fillId="0" borderId="0" xfId="137" applyFont="1" applyAlignment="1">
      <alignment horizontal="center"/>
    </xf>
    <xf numFmtId="0" fontId="127" fillId="0" borderId="0" xfId="137" applyFont="1" applyAlignment="1">
      <alignment horizontal="center"/>
    </xf>
    <xf numFmtId="0" fontId="28" fillId="0" borderId="0" xfId="137" applyFont="1" applyAlignment="1">
      <alignment horizontal="center" wrapText="1"/>
    </xf>
    <xf numFmtId="169" fontId="108" fillId="20" borderId="0" xfId="0" applyNumberFormat="1" applyFont="1" applyFill="1"/>
    <xf numFmtId="0" fontId="126" fillId="0" borderId="0" xfId="0" applyNumberFormat="1" applyFont="1" applyAlignment="1">
      <alignment horizontal="center"/>
    </xf>
    <xf numFmtId="172" fontId="126" fillId="0" borderId="0" xfId="0" applyFont="1"/>
    <xf numFmtId="3" fontId="50" fillId="20" borderId="0" xfId="0" applyNumberFormat="1" applyFont="1" applyFill="1"/>
    <xf numFmtId="178" fontId="50" fillId="0" borderId="0" xfId="0" applyNumberFormat="1" applyFont="1" applyAlignment="1">
      <alignment horizontal="right"/>
    </xf>
    <xf numFmtId="175" fontId="50" fillId="0" borderId="0" xfId="59" applyNumberFormat="1" applyFont="1" applyFill="1" applyBorder="1" applyAlignment="1" applyProtection="1">
      <protection locked="0"/>
    </xf>
    <xf numFmtId="0" fontId="3" fillId="0" borderId="0" xfId="148" applyFont="1" applyAlignment="1">
      <alignment horizontal="center" wrapText="1"/>
    </xf>
    <xf numFmtId="175" fontId="72" fillId="20" borderId="0" xfId="157" applyNumberFormat="1" applyFont="1" applyFill="1" applyBorder="1"/>
    <xf numFmtId="175" fontId="72" fillId="0" borderId="0" xfId="157" applyNumberFormat="1" applyFont="1" applyBorder="1"/>
    <xf numFmtId="0" fontId="72" fillId="0" borderId="0" xfId="158" applyFont="1" applyAlignment="1">
      <alignment vertical="top"/>
    </xf>
    <xf numFmtId="0" fontId="50" fillId="0" borderId="0" xfId="0" quotePrefix="1" applyNumberFormat="1" applyFont="1"/>
    <xf numFmtId="170" fontId="50" fillId="20" borderId="21" xfId="0" applyNumberFormat="1" applyFont="1" applyFill="1" applyBorder="1"/>
    <xf numFmtId="170" fontId="50" fillId="21" borderId="21" xfId="0" applyNumberFormat="1" applyFont="1" applyFill="1" applyBorder="1"/>
    <xf numFmtId="170" fontId="50" fillId="0" borderId="20" xfId="0" applyNumberFormat="1" applyFont="1" applyBorder="1"/>
    <xf numFmtId="170" fontId="50" fillId="20" borderId="22" xfId="0" applyNumberFormat="1" applyFont="1" applyFill="1" applyBorder="1"/>
    <xf numFmtId="170" fontId="50" fillId="0" borderId="21" xfId="0" applyNumberFormat="1" applyFont="1" applyBorder="1"/>
    <xf numFmtId="170" fontId="51" fillId="0" borderId="42" xfId="0" applyNumberFormat="1" applyFont="1" applyBorder="1"/>
    <xf numFmtId="170" fontId="50" fillId="20" borderId="10" xfId="0" applyNumberFormat="1" applyFont="1" applyFill="1" applyBorder="1"/>
    <xf numFmtId="170" fontId="50" fillId="21" borderId="10" xfId="0" applyNumberFormat="1" applyFont="1" applyFill="1" applyBorder="1"/>
    <xf numFmtId="170" fontId="50" fillId="0" borderId="41" xfId="0" applyNumberFormat="1" applyFont="1" applyBorder="1"/>
    <xf numFmtId="170" fontId="50" fillId="20" borderId="19" xfId="0" applyNumberFormat="1" applyFont="1" applyFill="1" applyBorder="1"/>
    <xf numFmtId="170" fontId="50" fillId="0" borderId="10" xfId="0" applyNumberFormat="1" applyFont="1" applyBorder="1"/>
    <xf numFmtId="170" fontId="51" fillId="0" borderId="43" xfId="0" applyNumberFormat="1" applyFont="1" applyBorder="1"/>
    <xf numFmtId="0" fontId="82" fillId="0" borderId="0" xfId="129" applyFont="1" applyAlignment="1">
      <alignment horizontal="right" vertical="top"/>
    </xf>
    <xf numFmtId="170" fontId="28" fillId="20" borderId="0" xfId="0" applyNumberFormat="1" applyFont="1" applyFill="1"/>
    <xf numFmtId="175" fontId="28" fillId="20" borderId="2" xfId="59" applyNumberFormat="1" applyFont="1" applyFill="1" applyBorder="1"/>
    <xf numFmtId="175" fontId="28" fillId="20" borderId="0" xfId="59" applyNumberFormat="1" applyFont="1" applyFill="1" applyBorder="1" applyAlignment="1"/>
    <xf numFmtId="175" fontId="28" fillId="0" borderId="0" xfId="59" applyNumberFormat="1" applyFont="1" applyFill="1" applyBorder="1" applyAlignment="1">
      <alignment horizontal="center"/>
    </xf>
    <xf numFmtId="175" fontId="28" fillId="0" borderId="0" xfId="59" applyNumberFormat="1" applyFont="1" applyFill="1" applyBorder="1" applyAlignment="1"/>
    <xf numFmtId="175" fontId="28" fillId="0" borderId="0" xfId="85" applyNumberFormat="1" applyFont="1" applyFill="1" applyBorder="1" applyAlignment="1"/>
    <xf numFmtId="175" fontId="28" fillId="20" borderId="10" xfId="59" applyNumberFormat="1" applyFont="1" applyFill="1" applyBorder="1" applyAlignment="1"/>
    <xf numFmtId="175" fontId="28" fillId="20" borderId="10" xfId="0" applyNumberFormat="1" applyFont="1" applyFill="1" applyBorder="1"/>
    <xf numFmtId="175" fontId="51" fillId="0" borderId="0" xfId="160" applyNumberFormat="1" applyFont="1" applyFill="1" applyAlignment="1">
      <alignment vertical="top"/>
    </xf>
    <xf numFmtId="170" fontId="73" fillId="0" borderId="0" xfId="0" applyNumberFormat="1" applyFont="1" applyAlignment="1">
      <alignment horizontal="right" vertical="center"/>
    </xf>
    <xf numFmtId="175" fontId="50" fillId="20" borderId="0" xfId="59" applyNumberFormat="1" applyFont="1" applyFill="1" applyAlignment="1">
      <alignment horizontal="center"/>
    </xf>
    <xf numFmtId="187" fontId="108" fillId="20" borderId="0" xfId="0" applyNumberFormat="1" applyFont="1" applyFill="1" applyAlignment="1">
      <alignment horizontal="right"/>
    </xf>
    <xf numFmtId="188" fontId="108" fillId="0" borderId="0" xfId="59" applyNumberFormat="1" applyFont="1" applyFill="1" applyAlignment="1"/>
    <xf numFmtId="0" fontId="21" fillId="20" borderId="0" xfId="156" applyFill="1" applyAlignment="1">
      <alignment wrapText="1"/>
    </xf>
    <xf numFmtId="0" fontId="130" fillId="20" borderId="0" xfId="163" applyFont="1" applyFill="1"/>
    <xf numFmtId="0" fontId="128" fillId="20" borderId="0" xfId="163" applyFont="1" applyFill="1"/>
    <xf numFmtId="0" fontId="130" fillId="20" borderId="0" xfId="163" applyFont="1" applyFill="1" applyAlignment="1">
      <alignment horizontal="center"/>
    </xf>
    <xf numFmtId="175" fontId="130" fillId="20" borderId="0" xfId="164" applyNumberFormat="1" applyFont="1" applyFill="1" applyAlignment="1">
      <alignment vertical="center"/>
    </xf>
    <xf numFmtId="10" fontId="28" fillId="20" borderId="0" xfId="137" applyNumberFormat="1" applyFont="1" applyFill="1"/>
    <xf numFmtId="175" fontId="50" fillId="20" borderId="6" xfId="59" applyNumberFormat="1" applyFont="1" applyFill="1" applyBorder="1" applyAlignment="1"/>
    <xf numFmtId="0" fontId="2" fillId="20" borderId="0" xfId="154" applyFont="1" applyFill="1"/>
    <xf numFmtId="175" fontId="50" fillId="0" borderId="0" xfId="59" applyNumberFormat="1" applyFont="1" applyFill="1"/>
    <xf numFmtId="0" fontId="129" fillId="20" borderId="0" xfId="132" applyFont="1" applyFill="1"/>
    <xf numFmtId="0" fontId="130" fillId="0" borderId="0" xfId="132" applyFont="1" applyAlignment="1">
      <alignment wrapText="1"/>
    </xf>
    <xf numFmtId="189" fontId="108" fillId="0" borderId="0" xfId="0" applyNumberFormat="1" applyFont="1"/>
    <xf numFmtId="172" fontId="28" fillId="23" borderId="0" xfId="0" applyFont="1" applyFill="1"/>
    <xf numFmtId="0" fontId="28" fillId="23" borderId="0" xfId="0" applyNumberFormat="1" applyFont="1" applyFill="1" applyAlignment="1" applyProtection="1">
      <alignment horizontal="center"/>
      <protection locked="0"/>
    </xf>
    <xf numFmtId="3" fontId="28" fillId="23" borderId="0" xfId="0" applyNumberFormat="1" applyFont="1" applyFill="1"/>
    <xf numFmtId="172" fontId="28" fillId="23" borderId="0" xfId="0" applyFont="1" applyFill="1" applyAlignment="1">
      <alignment horizontal="center" vertical="center"/>
    </xf>
    <xf numFmtId="175" fontId="130" fillId="0" borderId="0" xfId="133" applyNumberFormat="1" applyFont="1" applyFill="1" applyBorder="1" applyAlignment="1">
      <alignment vertical="center"/>
    </xf>
    <xf numFmtId="0" fontId="130" fillId="0" borderId="0" xfId="163" applyFont="1" applyAlignment="1">
      <alignment horizontal="center"/>
    </xf>
    <xf numFmtId="172" fontId="50" fillId="20" borderId="0" xfId="143" applyFont="1" applyFill="1" applyAlignment="1">
      <alignment wrapText="1"/>
    </xf>
    <xf numFmtId="173" fontId="51" fillId="0" borderId="0" xfId="63" applyNumberFormat="1" applyFont="1" applyFill="1" applyBorder="1" applyAlignment="1"/>
    <xf numFmtId="177" fontId="51" fillId="0" borderId="0" xfId="63" applyNumberFormat="1" applyFont="1" applyFill="1" applyBorder="1"/>
    <xf numFmtId="0" fontId="45" fillId="0" borderId="0" xfId="82" applyFont="1" applyAlignment="1">
      <alignment horizontal="right"/>
    </xf>
    <xf numFmtId="3" fontId="51" fillId="0" borderId="0" xfId="82" applyNumberFormat="1" applyFont="1"/>
    <xf numFmtId="175" fontId="1" fillId="0" borderId="0" xfId="59" applyNumberFormat="1" applyFont="1" applyFill="1" applyBorder="1"/>
    <xf numFmtId="1" fontId="16" fillId="0" borderId="0" xfId="148" applyNumberFormat="1"/>
    <xf numFmtId="175" fontId="21" fillId="0" borderId="0" xfId="59" applyNumberFormat="1" applyFont="1" applyFill="1" applyAlignment="1">
      <alignment horizontal="right"/>
    </xf>
    <xf numFmtId="0" fontId="108" fillId="0" borderId="0" xfId="0" applyNumberFormat="1" applyFont="1" applyAlignment="1">
      <alignment vertical="top" wrapText="1"/>
    </xf>
    <xf numFmtId="0" fontId="50" fillId="0" borderId="0" xfId="0" applyNumberFormat="1" applyFont="1" applyAlignment="1">
      <alignment vertical="top" wrapText="1"/>
    </xf>
    <xf numFmtId="0" fontId="50" fillId="0" borderId="0" xfId="0" applyNumberFormat="1" applyFont="1" applyAlignment="1">
      <alignment horizontal="left" vertical="top" wrapText="1"/>
    </xf>
    <xf numFmtId="172" fontId="108" fillId="0" borderId="0" xfId="0" applyFont="1"/>
    <xf numFmtId="172" fontId="108" fillId="0" borderId="0" xfId="0" applyFont="1" applyAlignment="1">
      <alignment horizontal="left" vertical="top" wrapText="1"/>
    </xf>
    <xf numFmtId="0" fontId="108" fillId="0" borderId="0" xfId="0" applyNumberFormat="1" applyFont="1" applyAlignment="1">
      <alignment horizontal="left" vertical="top" wrapText="1"/>
    </xf>
    <xf numFmtId="0" fontId="111" fillId="0" borderId="0" xfId="0" applyNumberFormat="1" applyFont="1" applyAlignment="1">
      <alignment vertical="top" wrapText="1"/>
    </xf>
    <xf numFmtId="172" fontId="108" fillId="0" borderId="0" xfId="0" applyFont="1" applyAlignment="1">
      <alignment vertical="top" wrapText="1"/>
    </xf>
    <xf numFmtId="0" fontId="50" fillId="0" borderId="0" xfId="0" applyNumberFormat="1" applyFont="1" applyAlignment="1">
      <alignment horizontal="left" wrapText="1"/>
    </xf>
    <xf numFmtId="0" fontId="114" fillId="0" borderId="0" xfId="0" applyNumberFormat="1" applyFont="1" applyAlignment="1">
      <alignment horizontal="center"/>
    </xf>
    <xf numFmtId="0" fontId="108" fillId="0" borderId="0" xfId="0" applyNumberFormat="1" applyFont="1" applyAlignment="1">
      <alignment horizontal="left"/>
    </xf>
    <xf numFmtId="0" fontId="108" fillId="0" borderId="0" xfId="0" applyNumberFormat="1" applyFont="1" applyAlignment="1">
      <alignment horizontal="left" wrapText="1"/>
    </xf>
    <xf numFmtId="0" fontId="50" fillId="0" borderId="0" xfId="82" applyFont="1" applyAlignment="1">
      <alignment horizontal="left" wrapText="1"/>
    </xf>
    <xf numFmtId="0" fontId="50" fillId="0" borderId="0" xfId="82" applyFont="1" applyAlignment="1">
      <alignment horizontal="left"/>
    </xf>
    <xf numFmtId="0" fontId="51" fillId="0" borderId="0" xfId="82" applyFont="1" applyAlignment="1">
      <alignment horizontal="center"/>
    </xf>
    <xf numFmtId="49" fontId="20" fillId="0" borderId="0" xfId="132" applyNumberFormat="1" applyFont="1" applyAlignment="1">
      <alignment horizontal="center"/>
    </xf>
    <xf numFmtId="0" fontId="20" fillId="0" borderId="0" xfId="132" applyFont="1" applyAlignment="1">
      <alignment horizontal="center"/>
    </xf>
    <xf numFmtId="0" fontId="89" fillId="0" borderId="0" xfId="132" applyFont="1" applyAlignment="1">
      <alignment horizontal="center"/>
    </xf>
    <xf numFmtId="0" fontId="28" fillId="0" borderId="0" xfId="132" applyFont="1" applyAlignment="1">
      <alignment horizontal="left" vertical="center" wrapText="1"/>
    </xf>
    <xf numFmtId="0" fontId="50" fillId="0" borderId="0" xfId="0" applyNumberFormat="1" applyFont="1" applyAlignment="1">
      <alignment horizontal="right"/>
    </xf>
    <xf numFmtId="0" fontId="28" fillId="0" borderId="0" xfId="132" applyFont="1" applyAlignment="1">
      <alignment horizontal="left" wrapText="1"/>
    </xf>
    <xf numFmtId="0" fontId="50" fillId="0" borderId="0" xfId="0" applyNumberFormat="1" applyFont="1" applyAlignment="1">
      <alignment horizontal="center"/>
    </xf>
    <xf numFmtId="172" fontId="51" fillId="0" borderId="0" xfId="0" applyFont="1" applyAlignment="1">
      <alignment horizontal="center"/>
    </xf>
    <xf numFmtId="3" fontId="50" fillId="0" borderId="0" xfId="0" applyNumberFormat="1" applyFont="1" applyAlignment="1" applyProtection="1">
      <alignment horizontal="center"/>
      <protection locked="0"/>
    </xf>
    <xf numFmtId="172" fontId="50" fillId="0" borderId="0" xfId="0" applyFont="1" applyAlignment="1">
      <alignment horizontal="left"/>
    </xf>
    <xf numFmtId="172" fontId="0" fillId="0" borderId="0" xfId="0"/>
    <xf numFmtId="172" fontId="72" fillId="0" borderId="0" xfId="0" applyFont="1" applyAlignment="1">
      <alignment horizontal="left" vertical="top" wrapText="1"/>
    </xf>
    <xf numFmtId="172" fontId="72" fillId="0" borderId="0" xfId="0" applyFont="1" applyAlignment="1">
      <alignment horizontal="center" vertical="center"/>
    </xf>
    <xf numFmtId="172" fontId="72" fillId="0" borderId="0" xfId="0" applyFont="1" applyAlignment="1">
      <alignment horizontal="left" vertical="center"/>
    </xf>
    <xf numFmtId="0" fontId="139" fillId="0" borderId="0" xfId="156" applyFont="1" applyAlignment="1">
      <alignment horizontal="center"/>
    </xf>
    <xf numFmtId="0" fontId="101" fillId="20" borderId="30" xfId="148" applyFont="1" applyFill="1" applyBorder="1" applyAlignment="1">
      <alignment horizontal="center"/>
    </xf>
    <xf numFmtId="0" fontId="101" fillId="20" borderId="31" xfId="148" applyFont="1" applyFill="1" applyBorder="1" applyAlignment="1">
      <alignment horizontal="center"/>
    </xf>
    <xf numFmtId="0" fontId="5" fillId="20" borderId="0" xfId="148" applyFont="1" applyFill="1" applyAlignment="1">
      <alignment horizontal="center" wrapText="1"/>
    </xf>
    <xf numFmtId="0" fontId="16" fillId="20" borderId="0" xfId="148" applyFill="1" applyAlignment="1">
      <alignment horizontal="center" wrapText="1"/>
    </xf>
    <xf numFmtId="0" fontId="14" fillId="0" borderId="0" xfId="148" applyFont="1" applyAlignment="1">
      <alignment horizontal="left" wrapText="1"/>
    </xf>
    <xf numFmtId="0" fontId="12" fillId="0" borderId="0" xfId="148" applyFont="1" applyAlignment="1">
      <alignment horizontal="left" wrapText="1"/>
    </xf>
    <xf numFmtId="0" fontId="7" fillId="20" borderId="0" xfId="148" applyFont="1" applyFill="1" applyAlignment="1">
      <alignment horizontal="center" wrapText="1"/>
    </xf>
    <xf numFmtId="172" fontId="72" fillId="0" borderId="0" xfId="0" applyFont="1" applyAlignment="1">
      <alignment horizontal="left" vertical="center" wrapText="1"/>
    </xf>
    <xf numFmtId="0" fontId="21" fillId="0" borderId="0" xfId="129" applyFont="1" applyAlignment="1">
      <alignment horizontal="right" vertical="top" wrapText="1"/>
    </xf>
    <xf numFmtId="0" fontId="82" fillId="0" borderId="0" xfId="129" applyFont="1" applyAlignment="1">
      <alignment horizontal="left" vertical="top" wrapText="1"/>
    </xf>
    <xf numFmtId="172" fontId="28" fillId="0" borderId="0" xfId="0" applyFont="1" applyAlignment="1">
      <alignment horizontal="left"/>
    </xf>
    <xf numFmtId="172" fontId="23" fillId="0" borderId="0" xfId="0" applyFont="1" applyAlignment="1">
      <alignment horizontal="center"/>
    </xf>
    <xf numFmtId="3" fontId="28" fillId="0" borderId="0" xfId="0" applyNumberFormat="1" applyFont="1" applyAlignment="1" applyProtection="1">
      <alignment horizontal="center"/>
      <protection locked="0"/>
    </xf>
    <xf numFmtId="49" fontId="23" fillId="0" borderId="0" xfId="0" applyNumberFormat="1" applyFont="1" applyAlignment="1">
      <alignment horizontal="center"/>
    </xf>
    <xf numFmtId="3" fontId="28" fillId="0" borderId="0" xfId="0" applyNumberFormat="1" applyFont="1" applyAlignment="1">
      <alignment horizontal="center"/>
    </xf>
    <xf numFmtId="172" fontId="28" fillId="0" borderId="0" xfId="0" applyFont="1" applyAlignment="1">
      <alignment horizontal="left" wrapText="1"/>
    </xf>
    <xf numFmtId="172" fontId="127" fillId="0" borderId="0" xfId="0" applyFont="1" applyAlignment="1">
      <alignment horizontal="center"/>
    </xf>
    <xf numFmtId="0" fontId="28" fillId="0" borderId="0" xfId="0" applyNumberFormat="1" applyFont="1" applyAlignment="1" applyProtection="1">
      <alignment horizontal="center"/>
      <protection locked="0"/>
    </xf>
    <xf numFmtId="172" fontId="50" fillId="0" borderId="0" xfId="0" applyFont="1" applyAlignment="1">
      <alignment horizontal="left" vertical="center"/>
    </xf>
    <xf numFmtId="172" fontId="50" fillId="0" borderId="0" xfId="0" applyFont="1" applyAlignment="1">
      <alignment horizontal="left" vertical="center" wrapText="1"/>
    </xf>
    <xf numFmtId="172" fontId="51" fillId="0" borderId="0" xfId="0" applyFont="1" applyAlignment="1">
      <alignment horizontal="center" vertical="center"/>
    </xf>
    <xf numFmtId="172" fontId="50" fillId="0" borderId="0" xfId="0" applyFont="1" applyAlignment="1">
      <alignment horizontal="left" vertical="top" wrapText="1"/>
    </xf>
    <xf numFmtId="0" fontId="50" fillId="0" borderId="0" xfId="159" applyFont="1" applyAlignment="1">
      <alignment horizontal="left" vertical="top" wrapText="1"/>
    </xf>
    <xf numFmtId="0" fontId="126" fillId="0" borderId="0" xfId="159" applyFont="1" applyAlignment="1">
      <alignment horizontal="left" vertical="top" wrapText="1"/>
    </xf>
    <xf numFmtId="172" fontId="50" fillId="0" borderId="0" xfId="0" applyFont="1" applyAlignment="1">
      <alignment horizontal="left" wrapText="1"/>
    </xf>
    <xf numFmtId="0" fontId="72" fillId="0" borderId="0" xfId="158" applyFont="1" applyAlignment="1">
      <alignment horizontal="left"/>
    </xf>
    <xf numFmtId="0" fontId="72" fillId="0" borderId="0" xfId="158" applyFont="1" applyAlignment="1">
      <alignment horizontal="left" wrapText="1"/>
    </xf>
    <xf numFmtId="0" fontId="72" fillId="0" borderId="0" xfId="158" applyFont="1" applyAlignment="1">
      <alignment horizontal="left" vertical="top" wrapText="1"/>
    </xf>
    <xf numFmtId="0" fontId="128" fillId="0" borderId="0" xfId="78" applyFont="1" applyAlignment="1">
      <alignment horizontal="center"/>
    </xf>
    <xf numFmtId="0" fontId="129" fillId="0" borderId="0" xfId="132" applyFont="1" applyAlignment="1">
      <alignment horizontal="left" vertical="top" wrapText="1"/>
    </xf>
    <xf numFmtId="172" fontId="50" fillId="0" borderId="0" xfId="0" applyFont="1" applyAlignment="1">
      <alignment horizontal="right"/>
    </xf>
  </cellXfs>
  <cellStyles count="16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00A" xfId="26" xr:uid="{00000000-0005-0000-0000-000019000000}"/>
    <cellStyle name="C00B" xfId="27" xr:uid="{00000000-0005-0000-0000-00001A000000}"/>
    <cellStyle name="C00L" xfId="28" xr:uid="{00000000-0005-0000-0000-00001B000000}"/>
    <cellStyle name="C01A" xfId="29" xr:uid="{00000000-0005-0000-0000-00001C000000}"/>
    <cellStyle name="C01B" xfId="30" xr:uid="{00000000-0005-0000-0000-00001D000000}"/>
    <cellStyle name="C01H" xfId="31" xr:uid="{00000000-0005-0000-0000-00001E000000}"/>
    <cellStyle name="C01L" xfId="32" xr:uid="{00000000-0005-0000-0000-00001F000000}"/>
    <cellStyle name="C02A" xfId="33" xr:uid="{00000000-0005-0000-0000-000020000000}"/>
    <cellStyle name="C02B" xfId="34" xr:uid="{00000000-0005-0000-0000-000021000000}"/>
    <cellStyle name="C02H" xfId="35" xr:uid="{00000000-0005-0000-0000-000022000000}"/>
    <cellStyle name="C02L" xfId="36" xr:uid="{00000000-0005-0000-0000-000023000000}"/>
    <cellStyle name="C03A" xfId="37" xr:uid="{00000000-0005-0000-0000-000024000000}"/>
    <cellStyle name="C03B" xfId="38" xr:uid="{00000000-0005-0000-0000-000025000000}"/>
    <cellStyle name="C03H" xfId="39" xr:uid="{00000000-0005-0000-0000-000026000000}"/>
    <cellStyle name="C03L" xfId="40" xr:uid="{00000000-0005-0000-0000-000027000000}"/>
    <cellStyle name="C04A" xfId="41" xr:uid="{00000000-0005-0000-0000-000028000000}"/>
    <cellStyle name="C04B" xfId="42" xr:uid="{00000000-0005-0000-0000-000029000000}"/>
    <cellStyle name="C04H" xfId="43" xr:uid="{00000000-0005-0000-0000-00002A000000}"/>
    <cellStyle name="C04L" xfId="44" xr:uid="{00000000-0005-0000-0000-00002B000000}"/>
    <cellStyle name="C05A" xfId="45" xr:uid="{00000000-0005-0000-0000-00002C000000}"/>
    <cellStyle name="C05B" xfId="46" xr:uid="{00000000-0005-0000-0000-00002D000000}"/>
    <cellStyle name="C05H" xfId="47" xr:uid="{00000000-0005-0000-0000-00002E000000}"/>
    <cellStyle name="C05L" xfId="48" xr:uid="{00000000-0005-0000-0000-00002F000000}"/>
    <cellStyle name="C06A" xfId="49" xr:uid="{00000000-0005-0000-0000-000030000000}"/>
    <cellStyle name="C06B" xfId="50" xr:uid="{00000000-0005-0000-0000-000031000000}"/>
    <cellStyle name="C06H" xfId="51" xr:uid="{00000000-0005-0000-0000-000032000000}"/>
    <cellStyle name="C06L" xfId="52" xr:uid="{00000000-0005-0000-0000-000033000000}"/>
    <cellStyle name="C07A" xfId="53" xr:uid="{00000000-0005-0000-0000-000034000000}"/>
    <cellStyle name="C07B" xfId="54" xr:uid="{00000000-0005-0000-0000-000035000000}"/>
    <cellStyle name="C07H" xfId="55" xr:uid="{00000000-0005-0000-0000-000036000000}"/>
    <cellStyle name="C07L" xfId="56" xr:uid="{00000000-0005-0000-0000-000037000000}"/>
    <cellStyle name="Calculation" xfId="57" builtinId="22" customBuiltin="1"/>
    <cellStyle name="Check Cell" xfId="58" builtinId="23" customBuiltin="1"/>
    <cellStyle name="Comma" xfId="59" builtinId="3"/>
    <cellStyle name="Comma [0] 2" xfId="161" xr:uid="{07B2F304-DCA3-486A-934E-08847D73644B}"/>
    <cellStyle name="Comma 2" xfId="60" xr:uid="{00000000-0005-0000-0000-00003B000000}"/>
    <cellStyle name="Comma 2 2" xfId="61" xr:uid="{00000000-0005-0000-0000-00003C000000}"/>
    <cellStyle name="Comma 2 3" xfId="136" xr:uid="{00000000-0005-0000-0000-00003D000000}"/>
    <cellStyle name="Comma 20" xfId="146" xr:uid="{00000000-0005-0000-0000-00003E000000}"/>
    <cellStyle name="Comma 21" xfId="147" xr:uid="{00000000-0005-0000-0000-00003F000000}"/>
    <cellStyle name="Comma 3" xfId="133" xr:uid="{00000000-0005-0000-0000-000040000000}"/>
    <cellStyle name="Comma 3 2" xfId="139" xr:uid="{00000000-0005-0000-0000-000041000000}"/>
    <cellStyle name="Comma 3 2 2 2" xfId="164" xr:uid="{51583463-98D3-4A50-8449-5EC5924095AD}"/>
    <cellStyle name="Comma 4" xfId="140" xr:uid="{00000000-0005-0000-0000-000042000000}"/>
    <cellStyle name="Comma 5" xfId="149" xr:uid="{00000000-0005-0000-0000-000043000000}"/>
    <cellStyle name="Comma 6" xfId="151" xr:uid="{00000000-0005-0000-0000-000044000000}"/>
    <cellStyle name="Comma 7" xfId="157" xr:uid="{AE705269-E130-4ED3-A4E9-7FFA16C806D0}"/>
    <cellStyle name="Comma 8" xfId="160" xr:uid="{CB53FB3B-9328-4B96-86A7-4090C466A53E}"/>
    <cellStyle name="Comma 9" xfId="155" xr:uid="{A4571CB2-D93D-49BF-A7C2-D44C6A8CEF42}"/>
    <cellStyle name="Comma0" xfId="62" xr:uid="{00000000-0005-0000-0000-000045000000}"/>
    <cellStyle name="Currency" xfId="63" builtinId="4"/>
    <cellStyle name="Currency 2" xfId="131" xr:uid="{00000000-0005-0000-0000-000047000000}"/>
    <cellStyle name="Currency 2 2" xfId="142" xr:uid="{00000000-0005-0000-0000-000048000000}"/>
    <cellStyle name="Currency 3" xfId="138" xr:uid="{00000000-0005-0000-0000-000049000000}"/>
    <cellStyle name="Currency0" xfId="64" xr:uid="{00000000-0005-0000-0000-00004A000000}"/>
    <cellStyle name="Date" xfId="65" xr:uid="{00000000-0005-0000-0000-00004B000000}"/>
    <cellStyle name="Explanatory Text" xfId="66" builtinId="53" customBuiltin="1"/>
    <cellStyle name="Fixed" xfId="67" xr:uid="{00000000-0005-0000-0000-00004D000000}"/>
    <cellStyle name="Good" xfId="68" builtinId="26" customBuiltin="1"/>
    <cellStyle name="Heading 1" xfId="69" builtinId="16" customBuiltin="1"/>
    <cellStyle name="Heading 2" xfId="70" builtinId="17" customBuiltin="1"/>
    <cellStyle name="Heading 3" xfId="71" builtinId="18" customBuiltin="1"/>
    <cellStyle name="Heading 4" xfId="72" builtinId="19" customBuiltin="1"/>
    <cellStyle name="Heading1" xfId="73" xr:uid="{00000000-0005-0000-0000-000053000000}"/>
    <cellStyle name="Heading2" xfId="74" xr:uid="{00000000-0005-0000-0000-000054000000}"/>
    <cellStyle name="Input" xfId="75" builtinId="20" customBuiltin="1"/>
    <cellStyle name="Linked Cell" xfId="76" builtinId="24" customBuiltin="1"/>
    <cellStyle name="Neutral" xfId="77" builtinId="28" customBuiltin="1"/>
    <cellStyle name="Normal" xfId="0" builtinId="0"/>
    <cellStyle name="Normal 10" xfId="154" xr:uid="{767CFB30-76F7-46BF-B7FF-9EBA9CC227CB}"/>
    <cellStyle name="Normal 10 2" xfId="144" xr:uid="{00000000-0005-0000-0000-000059000000}"/>
    <cellStyle name="Normal 11" xfId="159" xr:uid="{3893BC9C-C9FE-4315-95B7-1C6E40B4D033}"/>
    <cellStyle name="Normal 2" xfId="78" xr:uid="{00000000-0005-0000-0000-00005A000000}"/>
    <cellStyle name="Normal 2 2" xfId="79" xr:uid="{00000000-0005-0000-0000-00005B000000}"/>
    <cellStyle name="Normal 2 3" xfId="156" xr:uid="{1453020E-E75E-45DD-938E-F0CC83AC8E22}"/>
    <cellStyle name="Normal 20" xfId="145" xr:uid="{00000000-0005-0000-0000-00005C000000}"/>
    <cellStyle name="Normal 3" xfId="80" xr:uid="{00000000-0005-0000-0000-00005D000000}"/>
    <cellStyle name="Normal 3 2" xfId="81" xr:uid="{00000000-0005-0000-0000-00005E000000}"/>
    <cellStyle name="Normal 4" xfId="129" xr:uid="{00000000-0005-0000-0000-00005F000000}"/>
    <cellStyle name="Normal 4 2" xfId="158" xr:uid="{83DA8D5B-8D39-42E7-B6F0-0C26C0938D1F}"/>
    <cellStyle name="Normal 5" xfId="132" xr:uid="{00000000-0005-0000-0000-000060000000}"/>
    <cellStyle name="Normal 5 5" xfId="163" xr:uid="{23507A8F-9ADC-419B-8931-3C349686BF96}"/>
    <cellStyle name="Normal 6" xfId="137" xr:uid="{00000000-0005-0000-0000-000061000000}"/>
    <cellStyle name="Normal 6 2" xfId="152" xr:uid="{00000000-0005-0000-0000-000062000000}"/>
    <cellStyle name="Normal 7" xfId="148" xr:uid="{00000000-0005-0000-0000-000063000000}"/>
    <cellStyle name="Normal 8" xfId="150" xr:uid="{00000000-0005-0000-0000-000064000000}"/>
    <cellStyle name="Normal 9" xfId="162" xr:uid="{FF83C6D7-6E35-417E-96AE-B8638D900175}"/>
    <cellStyle name="Normal_21 Exh B" xfId="135" xr:uid="{00000000-0005-0000-0000-000065000000}"/>
    <cellStyle name="Normal_ATSI Attachment H-20A-Appendix A- Schedule 1A_7-29-2010 " xfId="82" xr:uid="{00000000-0005-0000-0000-000066000000}"/>
    <cellStyle name="Normal_Attachment Os for 2002 True-up" xfId="143" xr:uid="{00000000-0005-0000-0000-000067000000}"/>
    <cellStyle name="Note" xfId="83" builtinId="10" customBuiltin="1"/>
    <cellStyle name="Output" xfId="84" builtinId="21" customBuiltin="1"/>
    <cellStyle name="Percent" xfId="85" builtinId="5"/>
    <cellStyle name="Percent 2" xfId="130" xr:uid="{00000000-0005-0000-0000-00006B000000}"/>
    <cellStyle name="Percent 2 2" xfId="86" xr:uid="{00000000-0005-0000-0000-00006C000000}"/>
    <cellStyle name="Percent 2 2 2" xfId="141" xr:uid="{00000000-0005-0000-0000-00006D000000}"/>
    <cellStyle name="Percent 3" xfId="134" xr:uid="{00000000-0005-0000-0000-00006E000000}"/>
    <cellStyle name="Percent 4" xfId="153" xr:uid="{00000000-0005-0000-0000-00006F000000}"/>
    <cellStyle name="PSChar" xfId="87" xr:uid="{00000000-0005-0000-0000-000070000000}"/>
    <cellStyle name="PSDate" xfId="88" xr:uid="{00000000-0005-0000-0000-000071000000}"/>
    <cellStyle name="PSDec" xfId="89" xr:uid="{00000000-0005-0000-0000-000072000000}"/>
    <cellStyle name="PSdesc" xfId="90" xr:uid="{00000000-0005-0000-0000-000073000000}"/>
    <cellStyle name="PSHeading" xfId="91" xr:uid="{00000000-0005-0000-0000-000074000000}"/>
    <cellStyle name="PSInt" xfId="92" xr:uid="{00000000-0005-0000-0000-000075000000}"/>
    <cellStyle name="PSSpacer" xfId="93" xr:uid="{00000000-0005-0000-0000-000076000000}"/>
    <cellStyle name="PStest" xfId="94" xr:uid="{00000000-0005-0000-0000-000077000000}"/>
    <cellStyle name="R00A" xfId="95" xr:uid="{00000000-0005-0000-0000-000078000000}"/>
    <cellStyle name="R00B" xfId="96" xr:uid="{00000000-0005-0000-0000-000079000000}"/>
    <cellStyle name="R00L" xfId="97" xr:uid="{00000000-0005-0000-0000-00007A000000}"/>
    <cellStyle name="R01A" xfId="98" xr:uid="{00000000-0005-0000-0000-00007B000000}"/>
    <cellStyle name="R01B" xfId="99" xr:uid="{00000000-0005-0000-0000-00007C000000}"/>
    <cellStyle name="R01H" xfId="100" xr:uid="{00000000-0005-0000-0000-00007D000000}"/>
    <cellStyle name="R01L" xfId="101" xr:uid="{00000000-0005-0000-0000-00007E000000}"/>
    <cellStyle name="R02A" xfId="102" xr:uid="{00000000-0005-0000-0000-00007F000000}"/>
    <cellStyle name="R02B" xfId="103" xr:uid="{00000000-0005-0000-0000-000080000000}"/>
    <cellStyle name="R02H" xfId="104" xr:uid="{00000000-0005-0000-0000-000081000000}"/>
    <cellStyle name="R02L" xfId="105" xr:uid="{00000000-0005-0000-0000-000082000000}"/>
    <cellStyle name="R03A" xfId="106" xr:uid="{00000000-0005-0000-0000-000083000000}"/>
    <cellStyle name="R03B" xfId="107" xr:uid="{00000000-0005-0000-0000-000084000000}"/>
    <cellStyle name="R03H" xfId="108" xr:uid="{00000000-0005-0000-0000-000085000000}"/>
    <cellStyle name="R03L" xfId="109" xr:uid="{00000000-0005-0000-0000-000086000000}"/>
    <cellStyle name="R04A" xfId="110" xr:uid="{00000000-0005-0000-0000-000087000000}"/>
    <cellStyle name="R04B" xfId="111" xr:uid="{00000000-0005-0000-0000-000088000000}"/>
    <cellStyle name="R04H" xfId="112" xr:uid="{00000000-0005-0000-0000-000089000000}"/>
    <cellStyle name="R04L" xfId="113" xr:uid="{00000000-0005-0000-0000-00008A000000}"/>
    <cellStyle name="R05A" xfId="114" xr:uid="{00000000-0005-0000-0000-00008B000000}"/>
    <cellStyle name="R05B" xfId="115" xr:uid="{00000000-0005-0000-0000-00008C000000}"/>
    <cellStyle name="R05H" xfId="116" xr:uid="{00000000-0005-0000-0000-00008D000000}"/>
    <cellStyle name="R05L" xfId="117" xr:uid="{00000000-0005-0000-0000-00008E000000}"/>
    <cellStyle name="R06A" xfId="118" xr:uid="{00000000-0005-0000-0000-00008F000000}"/>
    <cellStyle name="R06B" xfId="119" xr:uid="{00000000-0005-0000-0000-000090000000}"/>
    <cellStyle name="R06H" xfId="120" xr:uid="{00000000-0005-0000-0000-000091000000}"/>
    <cellStyle name="R06L" xfId="121" xr:uid="{00000000-0005-0000-0000-000092000000}"/>
    <cellStyle name="R07A" xfId="122" xr:uid="{00000000-0005-0000-0000-000093000000}"/>
    <cellStyle name="R07B" xfId="123" xr:uid="{00000000-0005-0000-0000-000094000000}"/>
    <cellStyle name="R07H" xfId="124" xr:uid="{00000000-0005-0000-0000-000095000000}"/>
    <cellStyle name="R07L" xfId="125" xr:uid="{00000000-0005-0000-0000-000096000000}"/>
    <cellStyle name="Title" xfId="126" builtinId="15" customBuiltin="1"/>
    <cellStyle name="Total" xfId="127" builtinId="25" customBuiltin="1"/>
    <cellStyle name="Warning Text" xfId="12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2"/>
  <dimension ref="A1:T384"/>
  <sheetViews>
    <sheetView tabSelected="1" view="pageBreakPreview" zoomScale="80" zoomScaleNormal="80" zoomScaleSheetLayoutView="80" workbookViewId="0"/>
  </sheetViews>
  <sheetFormatPr defaultColWidth="8.88671875" defaultRowHeight="15.75"/>
  <cols>
    <col min="1" max="1" width="5.77734375" style="419" bestFit="1" customWidth="1"/>
    <col min="2" max="2" width="59.109375" style="419" customWidth="1"/>
    <col min="3" max="3" width="40.33203125" style="419" customWidth="1"/>
    <col min="4" max="4" width="23.5546875" style="419" bestFit="1" customWidth="1"/>
    <col min="5" max="5" width="10.33203125" style="419" customWidth="1"/>
    <col min="6" max="6" width="11.5546875" style="419" customWidth="1"/>
    <col min="7" max="7" width="13" style="419" bestFit="1" customWidth="1"/>
    <col min="8" max="8" width="4.109375" style="419" customWidth="1"/>
    <col min="9" max="9" width="18.21875" style="419" customWidth="1"/>
    <col min="10" max="10" width="13.88671875" style="419" customWidth="1"/>
    <col min="11" max="11" width="17.88671875" style="419" customWidth="1"/>
    <col min="12" max="12" width="10.77734375" style="419" customWidth="1"/>
    <col min="13" max="13" width="13.6640625" style="419" bestFit="1" customWidth="1"/>
    <col min="14" max="14" width="10.5546875" style="419" customWidth="1"/>
    <col min="15" max="16384" width="8.88671875" style="419"/>
  </cols>
  <sheetData>
    <row r="1" spans="1:13" ht="16.5" customHeight="1">
      <c r="B1" s="420"/>
      <c r="C1" s="420"/>
      <c r="D1" s="421"/>
      <c r="E1" s="420"/>
      <c r="F1" s="420"/>
      <c r="G1" s="420"/>
      <c r="H1" s="420"/>
      <c r="I1" s="420"/>
      <c r="K1" s="3" t="s">
        <v>911</v>
      </c>
      <c r="L1" s="420"/>
      <c r="M1" s="420"/>
    </row>
    <row r="2" spans="1:13" ht="16.5" customHeight="1">
      <c r="B2" s="420"/>
      <c r="C2" s="420"/>
      <c r="D2" s="421"/>
      <c r="E2" s="420"/>
      <c r="F2" s="420"/>
      <c r="G2" s="420"/>
      <c r="H2" s="420"/>
      <c r="I2" s="420"/>
      <c r="J2" s="420"/>
      <c r="K2" s="422" t="s">
        <v>0</v>
      </c>
      <c r="L2" s="420"/>
      <c r="M2" s="420"/>
    </row>
    <row r="3" spans="1:13" ht="16.5" customHeight="1">
      <c r="B3" s="420"/>
      <c r="C3" s="420"/>
      <c r="D3" s="421"/>
      <c r="E3" s="420"/>
      <c r="F3" s="420"/>
      <c r="G3" s="420"/>
      <c r="H3" s="420"/>
      <c r="I3" s="420"/>
      <c r="J3" s="420"/>
      <c r="K3" s="420"/>
      <c r="L3" s="420"/>
      <c r="M3" s="420"/>
    </row>
    <row r="4" spans="1:13">
      <c r="B4" s="420" t="s">
        <v>1</v>
      </c>
      <c r="C4" s="420"/>
      <c r="D4" s="421" t="s">
        <v>2</v>
      </c>
      <c r="E4" s="420"/>
      <c r="F4" s="420"/>
      <c r="G4" s="420"/>
      <c r="H4" s="423"/>
      <c r="I4" s="424"/>
      <c r="J4" s="423"/>
      <c r="K4" s="32" t="s">
        <v>1299</v>
      </c>
      <c r="L4" s="420"/>
      <c r="M4" s="420"/>
    </row>
    <row r="5" spans="1:13">
      <c r="B5" s="420"/>
      <c r="C5" s="425"/>
      <c r="D5" s="425" t="s">
        <v>4</v>
      </c>
      <c r="E5" s="425"/>
      <c r="F5" s="425"/>
      <c r="G5" s="425"/>
      <c r="H5" s="420"/>
      <c r="I5" s="420"/>
      <c r="J5" s="420"/>
      <c r="K5" s="420"/>
      <c r="L5" s="420"/>
      <c r="M5" s="420"/>
    </row>
    <row r="6" spans="1:13">
      <c r="B6" s="420"/>
      <c r="C6" s="420"/>
      <c r="D6" s="420"/>
      <c r="E6" s="420"/>
      <c r="F6" s="420"/>
      <c r="G6" s="420"/>
      <c r="H6" s="420"/>
      <c r="I6" s="420"/>
      <c r="J6" s="420"/>
      <c r="K6" s="420"/>
      <c r="L6" s="420"/>
      <c r="M6" s="420"/>
    </row>
    <row r="7" spans="1:13">
      <c r="A7" s="426"/>
      <c r="B7" s="420"/>
      <c r="C7" s="420"/>
      <c r="D7" s="719" t="s">
        <v>915</v>
      </c>
      <c r="E7" s="423"/>
      <c r="F7" s="423"/>
      <c r="G7" s="420"/>
      <c r="H7" s="420"/>
      <c r="I7" s="420"/>
      <c r="J7" s="420"/>
      <c r="K7" s="420"/>
      <c r="L7" s="420"/>
      <c r="M7" s="420"/>
    </row>
    <row r="8" spans="1:13">
      <c r="A8" s="426"/>
      <c r="B8" s="426" t="s">
        <v>19</v>
      </c>
      <c r="C8" s="426" t="s">
        <v>20</v>
      </c>
      <c r="D8" s="426" t="s">
        <v>21</v>
      </c>
      <c r="E8" s="425" t="s">
        <v>3</v>
      </c>
      <c r="F8" s="425"/>
      <c r="G8" s="428" t="s">
        <v>22</v>
      </c>
      <c r="H8" s="425"/>
      <c r="I8" s="429" t="s">
        <v>23</v>
      </c>
      <c r="J8" s="420"/>
      <c r="K8" s="420"/>
      <c r="L8" s="420"/>
      <c r="M8" s="420"/>
    </row>
    <row r="9" spans="1:13">
      <c r="A9" s="426" t="s">
        <v>5</v>
      </c>
      <c r="B9" s="420"/>
      <c r="C9" s="420"/>
      <c r="D9" s="427"/>
      <c r="E9" s="420"/>
      <c r="F9" s="420"/>
      <c r="G9" s="420"/>
      <c r="H9" s="420"/>
      <c r="I9" s="426" t="s">
        <v>6</v>
      </c>
      <c r="J9" s="420"/>
      <c r="K9" s="420"/>
      <c r="L9" s="420"/>
      <c r="M9" s="420"/>
    </row>
    <row r="10" spans="1:13" ht="16.5" thickBot="1">
      <c r="A10" s="430" t="s">
        <v>7</v>
      </c>
      <c r="B10" s="420"/>
      <c r="C10" s="420"/>
      <c r="D10" s="420"/>
      <c r="E10" s="420"/>
      <c r="F10" s="420"/>
      <c r="G10" s="426"/>
      <c r="H10" s="420"/>
      <c r="I10" s="430" t="s">
        <v>8</v>
      </c>
      <c r="J10" s="420"/>
      <c r="K10" s="422"/>
      <c r="L10" s="420"/>
      <c r="M10" s="420"/>
    </row>
    <row r="11" spans="1:13">
      <c r="A11" s="426">
        <v>1</v>
      </c>
      <c r="B11" s="2" t="s">
        <v>919</v>
      </c>
      <c r="C11" s="420"/>
      <c r="D11" s="425"/>
      <c r="E11" s="420"/>
      <c r="F11" s="420"/>
      <c r="G11" s="420"/>
      <c r="H11" s="420"/>
      <c r="I11" s="431">
        <f>I182</f>
        <v>108657603.82614389</v>
      </c>
      <c r="J11" s="432"/>
      <c r="K11" s="761"/>
      <c r="L11" s="420"/>
      <c r="M11" s="420"/>
    </row>
    <row r="12" spans="1:13">
      <c r="A12" s="426"/>
      <c r="B12" s="420"/>
      <c r="C12" s="420"/>
      <c r="D12" s="420"/>
      <c r="E12" s="420"/>
      <c r="F12" s="420"/>
      <c r="G12" s="433"/>
      <c r="H12" s="420"/>
      <c r="I12" s="425"/>
      <c r="J12" s="432"/>
      <c r="K12" s="761"/>
      <c r="L12" s="420"/>
      <c r="M12" s="420"/>
    </row>
    <row r="13" spans="1:13" ht="16.5" thickBot="1">
      <c r="A13" s="426" t="s">
        <v>3</v>
      </c>
      <c r="B13" s="420" t="s">
        <v>97</v>
      </c>
      <c r="C13" s="425" t="s">
        <v>9</v>
      </c>
      <c r="D13" s="430" t="s">
        <v>10</v>
      </c>
      <c r="E13" s="425"/>
      <c r="F13" s="435" t="s">
        <v>11</v>
      </c>
      <c r="G13" s="435"/>
      <c r="H13" s="420"/>
      <c r="I13" s="425"/>
      <c r="J13" s="432"/>
      <c r="K13" s="761"/>
      <c r="L13" s="420"/>
      <c r="M13" s="420"/>
    </row>
    <row r="14" spans="1:13">
      <c r="A14" s="426">
        <v>2</v>
      </c>
      <c r="B14" s="420" t="s">
        <v>415</v>
      </c>
      <c r="C14" s="565" t="s">
        <v>862</v>
      </c>
      <c r="D14" s="436">
        <f>I272</f>
        <v>0</v>
      </c>
      <c r="E14" s="425"/>
      <c r="F14" s="425" t="s">
        <v>13</v>
      </c>
      <c r="G14" s="437">
        <f>I211</f>
        <v>1</v>
      </c>
      <c r="H14" s="420"/>
      <c r="I14" s="438">
        <f t="shared" ref="I14:I18" si="0">+G14*D14</f>
        <v>0</v>
      </c>
      <c r="J14" s="432"/>
      <c r="K14" s="761"/>
      <c r="L14" s="420"/>
      <c r="M14" s="420"/>
    </row>
    <row r="15" spans="1:13">
      <c r="A15" s="426">
        <v>3</v>
      </c>
      <c r="B15" s="420" t="s">
        <v>12</v>
      </c>
      <c r="C15" s="565" t="s">
        <v>863</v>
      </c>
      <c r="D15" s="439">
        <f>I274</f>
        <v>0</v>
      </c>
      <c r="E15" s="425"/>
      <c r="F15" s="425" t="s">
        <v>13</v>
      </c>
      <c r="G15" s="437">
        <f>I211</f>
        <v>1</v>
      </c>
      <c r="H15" s="425"/>
      <c r="I15" s="438">
        <f t="shared" si="0"/>
        <v>0</v>
      </c>
      <c r="J15" s="438"/>
      <c r="K15" s="761"/>
      <c r="L15" s="420"/>
      <c r="M15" s="420"/>
    </row>
    <row r="16" spans="1:13">
      <c r="A16" s="426">
        <v>4</v>
      </c>
      <c r="B16" s="420" t="s">
        <v>447</v>
      </c>
      <c r="C16" s="565" t="s">
        <v>864</v>
      </c>
      <c r="D16" s="439">
        <f>I276</f>
        <v>927600</v>
      </c>
      <c r="E16" s="425"/>
      <c r="F16" s="425" t="s">
        <v>13</v>
      </c>
      <c r="G16" s="437">
        <f>I211</f>
        <v>1</v>
      </c>
      <c r="H16" s="425"/>
      <c r="I16" s="438">
        <f t="shared" si="0"/>
        <v>927600</v>
      </c>
      <c r="J16" s="432"/>
      <c r="K16" s="761"/>
      <c r="L16" s="420"/>
      <c r="M16" s="420"/>
    </row>
    <row r="17" spans="1:13">
      <c r="A17" s="426">
        <v>5</v>
      </c>
      <c r="B17" s="2" t="s">
        <v>1016</v>
      </c>
      <c r="C17" s="565" t="s">
        <v>1017</v>
      </c>
      <c r="D17" s="439">
        <f>I280</f>
        <v>0</v>
      </c>
      <c r="E17" s="425"/>
      <c r="F17" s="565" t="s">
        <v>13</v>
      </c>
      <c r="G17" s="937">
        <f>I196</f>
        <v>0</v>
      </c>
      <c r="H17" s="425"/>
      <c r="I17" s="438">
        <f t="shared" si="0"/>
        <v>0</v>
      </c>
      <c r="J17" s="438"/>
      <c r="K17" s="761"/>
      <c r="L17" s="420"/>
      <c r="M17" s="420"/>
    </row>
    <row r="18" spans="1:13">
      <c r="A18" s="426">
        <v>6</v>
      </c>
      <c r="B18" s="2" t="s">
        <v>1018</v>
      </c>
      <c r="C18" s="565" t="s">
        <v>1019</v>
      </c>
      <c r="D18" s="439">
        <f>I282</f>
        <v>0</v>
      </c>
      <c r="E18" s="425"/>
      <c r="F18" s="565" t="s">
        <v>329</v>
      </c>
      <c r="G18" s="937">
        <v>1</v>
      </c>
      <c r="H18" s="425"/>
      <c r="I18" s="438">
        <f t="shared" si="0"/>
        <v>0</v>
      </c>
      <c r="J18" s="438"/>
      <c r="K18" s="761"/>
      <c r="L18" s="420"/>
      <c r="M18" s="420"/>
    </row>
    <row r="19" spans="1:13" ht="27.75" customHeight="1">
      <c r="A19" s="568">
        <v>7</v>
      </c>
      <c r="B19" s="425" t="s">
        <v>438</v>
      </c>
      <c r="C19" s="565" t="s">
        <v>762</v>
      </c>
      <c r="D19" s="441">
        <f>'Attachment 11 - TEC'!O82</f>
        <v>16818512.85758584</v>
      </c>
      <c r="E19" s="425"/>
      <c r="F19" s="565" t="s">
        <v>329</v>
      </c>
      <c r="G19" s="437">
        <v>1</v>
      </c>
      <c r="H19" s="425"/>
      <c r="I19" s="442">
        <f>D19*G19</f>
        <v>16818512.85758584</v>
      </c>
      <c r="J19" s="432"/>
      <c r="K19" s="761"/>
      <c r="M19" s="420"/>
    </row>
    <row r="20" spans="1:13">
      <c r="A20" s="568">
        <v>8</v>
      </c>
      <c r="B20" s="2" t="s">
        <v>1044</v>
      </c>
      <c r="C20" s="420"/>
      <c r="D20" s="624">
        <f>SUM(D14:D19)</f>
        <v>17746112.85758584</v>
      </c>
      <c r="E20" s="425"/>
      <c r="F20" s="425"/>
      <c r="G20" s="437"/>
      <c r="H20" s="425"/>
      <c r="I20" s="444">
        <f>SUM(I14:I19)</f>
        <v>17746112.85758584</v>
      </c>
      <c r="J20" s="438"/>
      <c r="K20" s="761"/>
      <c r="M20" s="420"/>
    </row>
    <row r="21" spans="1:13">
      <c r="A21" s="426"/>
      <c r="B21" s="420"/>
      <c r="C21" s="420"/>
      <c r="D21" s="443"/>
      <c r="E21" s="425"/>
      <c r="F21" s="425"/>
      <c r="G21" s="437"/>
      <c r="H21" s="425"/>
      <c r="I21" s="444"/>
      <c r="J21" s="420"/>
      <c r="K21" s="434"/>
      <c r="M21" s="420"/>
    </row>
    <row r="22" spans="1:13">
      <c r="A22" s="568">
        <v>9</v>
      </c>
      <c r="B22" s="445" t="s">
        <v>431</v>
      </c>
      <c r="C22" s="2" t="s">
        <v>1045</v>
      </c>
      <c r="D22" s="446"/>
      <c r="E22" s="425"/>
      <c r="F22" s="425"/>
      <c r="G22" s="437"/>
      <c r="H22" s="425"/>
      <c r="I22" s="447">
        <f>-'Attachment 13 - NITS True-Up'!G74</f>
        <v>-5314473.3528069127</v>
      </c>
      <c r="J22" s="420"/>
      <c r="K22" s="431"/>
      <c r="M22" s="420"/>
    </row>
    <row r="23" spans="1:13" ht="15.75" customHeight="1">
      <c r="A23" s="568">
        <v>10</v>
      </c>
      <c r="B23" s="420" t="s">
        <v>430</v>
      </c>
      <c r="C23" s="2" t="s">
        <v>1046</v>
      </c>
      <c r="D23" s="448"/>
      <c r="E23" s="425"/>
      <c r="F23" s="425"/>
      <c r="G23" s="425"/>
      <c r="H23" s="425"/>
      <c r="I23" s="830">
        <f>I11-I20+I22</f>
        <v>85597017.615751132</v>
      </c>
      <c r="J23" s="432"/>
      <c r="K23" s="447"/>
      <c r="M23" s="420"/>
    </row>
    <row r="24" spans="1:13" ht="17.25" customHeight="1">
      <c r="A24" s="426"/>
      <c r="B24" s="420"/>
      <c r="C24" s="420"/>
      <c r="D24" s="448"/>
      <c r="E24" s="425"/>
      <c r="F24" s="425"/>
      <c r="G24" s="425"/>
      <c r="H24" s="425"/>
      <c r="I24" s="449"/>
      <c r="J24" s="432"/>
      <c r="K24" s="447"/>
      <c r="M24" s="420"/>
    </row>
    <row r="25" spans="1:13" ht="17.25" customHeight="1">
      <c r="A25" s="426"/>
      <c r="B25" s="420"/>
      <c r="C25" s="420"/>
      <c r="D25" s="448"/>
      <c r="E25" s="425"/>
      <c r="F25" s="425"/>
      <c r="G25" s="425"/>
      <c r="H25" s="425"/>
      <c r="I25" s="449"/>
      <c r="J25" s="432"/>
      <c r="K25" s="447"/>
      <c r="M25" s="420"/>
    </row>
    <row r="26" spans="1:13" ht="17.25" customHeight="1">
      <c r="A26" s="426"/>
      <c r="B26" s="420"/>
      <c r="C26" s="420"/>
      <c r="D26" s="448"/>
      <c r="E26" s="425"/>
      <c r="F26" s="425"/>
      <c r="G26" s="425"/>
      <c r="H26" s="425"/>
      <c r="I26" s="449"/>
      <c r="J26" s="432"/>
      <c r="K26" s="447"/>
      <c r="M26" s="420"/>
    </row>
    <row r="27" spans="1:13" ht="17.25" customHeight="1" thickBot="1">
      <c r="A27" s="426"/>
      <c r="B27" s="420" t="s">
        <v>876</v>
      </c>
      <c r="C27" s="420"/>
      <c r="D27" s="448"/>
      <c r="E27" s="425"/>
      <c r="F27" s="425"/>
      <c r="G27" s="425"/>
      <c r="H27" s="425"/>
      <c r="I27" s="820" t="s">
        <v>10</v>
      </c>
      <c r="J27" s="438"/>
      <c r="K27" s="447"/>
      <c r="M27" s="420"/>
    </row>
    <row r="28" spans="1:13" ht="17.25" customHeight="1">
      <c r="A28" s="568">
        <v>11</v>
      </c>
      <c r="B28" s="420" t="s">
        <v>877</v>
      </c>
      <c r="C28" s="420"/>
      <c r="D28" s="448"/>
      <c r="E28" s="425"/>
      <c r="F28" s="425"/>
      <c r="G28" s="565" t="s">
        <v>888</v>
      </c>
      <c r="H28" s="425"/>
      <c r="I28" s="976">
        <v>9791.61</v>
      </c>
      <c r="J28" s="438"/>
      <c r="K28" s="447"/>
      <c r="M28" s="420"/>
    </row>
    <row r="29" spans="1:13" ht="17.25" customHeight="1">
      <c r="A29" s="568">
        <v>12</v>
      </c>
      <c r="B29" s="420" t="s">
        <v>878</v>
      </c>
      <c r="C29" s="420"/>
      <c r="D29" s="448"/>
      <c r="E29" s="425"/>
      <c r="F29" s="425"/>
      <c r="G29" s="425" t="s">
        <v>879</v>
      </c>
      <c r="H29" s="425"/>
      <c r="I29" s="976">
        <v>7806.9892500000014</v>
      </c>
      <c r="J29" s="438"/>
      <c r="K29" s="447"/>
      <c r="M29" s="420"/>
    </row>
    <row r="30" spans="1:13" ht="17.25" customHeight="1">
      <c r="A30" s="426"/>
      <c r="B30" s="420"/>
      <c r="C30" s="420"/>
      <c r="D30" s="448"/>
      <c r="E30" s="425"/>
      <c r="F30" s="425"/>
      <c r="G30" s="425"/>
      <c r="H30" s="425"/>
      <c r="I30" s="449"/>
      <c r="J30" s="438"/>
      <c r="K30" s="447"/>
      <c r="M30" s="420"/>
    </row>
    <row r="31" spans="1:13" ht="17.25" customHeight="1" thickBot="1">
      <c r="A31" s="426"/>
      <c r="B31" s="420"/>
      <c r="C31" s="420"/>
      <c r="D31" s="821" t="s">
        <v>10</v>
      </c>
      <c r="E31" s="425"/>
      <c r="F31" s="425"/>
      <c r="G31" s="425"/>
      <c r="H31" s="425"/>
      <c r="I31" s="449"/>
      <c r="J31" s="438"/>
      <c r="K31" s="447"/>
      <c r="M31" s="420"/>
    </row>
    <row r="32" spans="1:13" ht="17.25" customHeight="1">
      <c r="A32" s="568">
        <v>13</v>
      </c>
      <c r="B32" s="420" t="s">
        <v>880</v>
      </c>
      <c r="C32" s="2" t="s">
        <v>1072</v>
      </c>
      <c r="D32" s="569">
        <f>IF(I28&gt;0,(I23/I28),0)</f>
        <v>8741.8736669200607</v>
      </c>
      <c r="E32" s="425"/>
      <c r="F32" s="425"/>
      <c r="G32" s="425"/>
      <c r="H32" s="425"/>
      <c r="I32" s="449"/>
      <c r="J32" s="438"/>
      <c r="K32" s="447"/>
      <c r="M32" s="420"/>
    </row>
    <row r="33" spans="1:13" ht="17.25" customHeight="1">
      <c r="A33" s="426"/>
      <c r="B33" s="420"/>
      <c r="C33" s="420"/>
      <c r="D33" s="448"/>
      <c r="E33" s="425"/>
      <c r="F33" s="425"/>
      <c r="G33" s="425"/>
      <c r="H33" s="425"/>
      <c r="I33" s="449"/>
      <c r="J33" s="438"/>
      <c r="K33" s="447"/>
      <c r="M33" s="420"/>
    </row>
    <row r="34" spans="1:13" ht="17.25" customHeight="1">
      <c r="A34" s="426"/>
      <c r="B34" s="420"/>
      <c r="C34" s="420"/>
      <c r="D34" s="822" t="s">
        <v>881</v>
      </c>
      <c r="E34" s="425"/>
      <c r="F34" s="425"/>
      <c r="G34" s="425"/>
      <c r="H34" s="425"/>
      <c r="I34" s="17" t="s">
        <v>882</v>
      </c>
      <c r="J34" s="438"/>
      <c r="K34" s="447"/>
      <c r="M34" s="420"/>
    </row>
    <row r="35" spans="1:13" ht="17.25" customHeight="1" thickBot="1">
      <c r="A35" s="426"/>
      <c r="B35" s="420"/>
      <c r="C35" s="420"/>
      <c r="D35" s="823" t="s">
        <v>10</v>
      </c>
      <c r="E35" s="425"/>
      <c r="F35" s="425"/>
      <c r="G35" s="425"/>
      <c r="H35" s="425"/>
      <c r="I35" s="824" t="s">
        <v>10</v>
      </c>
      <c r="J35" s="438"/>
      <c r="K35" s="447"/>
      <c r="M35" s="420"/>
    </row>
    <row r="36" spans="1:13" ht="17.25" customHeight="1">
      <c r="A36" s="568">
        <v>14</v>
      </c>
      <c r="B36" s="2" t="s">
        <v>883</v>
      </c>
      <c r="C36" s="2" t="s">
        <v>1073</v>
      </c>
      <c r="D36" s="619">
        <f>I23/I29</f>
        <v>10964.152104571056</v>
      </c>
      <c r="E36" s="425"/>
      <c r="F36" s="425"/>
      <c r="G36" s="425"/>
      <c r="H36" s="425"/>
      <c r="I36" s="619">
        <f>I23/I29</f>
        <v>10964.152104571056</v>
      </c>
      <c r="J36" s="438"/>
      <c r="K36" s="447"/>
      <c r="M36" s="420"/>
    </row>
    <row r="37" spans="1:13">
      <c r="A37" s="568">
        <v>15</v>
      </c>
      <c r="B37" s="420" t="s">
        <v>884</v>
      </c>
      <c r="C37" s="2" t="s">
        <v>1074</v>
      </c>
      <c r="D37" s="986">
        <f>D36/12</f>
        <v>913.67934204758797</v>
      </c>
      <c r="E37" s="425"/>
      <c r="F37" s="425"/>
      <c r="G37" s="425"/>
      <c r="H37" s="425"/>
      <c r="I37" s="986">
        <f>I36/12</f>
        <v>913.67934204758797</v>
      </c>
      <c r="J37" s="420"/>
      <c r="K37" s="434"/>
      <c r="M37" s="420"/>
    </row>
    <row r="38" spans="1:13">
      <c r="A38" s="568">
        <v>16</v>
      </c>
      <c r="B38" s="419" t="s">
        <v>885</v>
      </c>
      <c r="C38" s="565" t="s">
        <v>1075</v>
      </c>
      <c r="D38" s="986">
        <f>D36/52</f>
        <v>210.84907893405878</v>
      </c>
      <c r="I38" s="986">
        <f>I36/52</f>
        <v>210.84907893405878</v>
      </c>
      <c r="J38" s="420"/>
      <c r="K38" s="434"/>
      <c r="M38" s="420"/>
    </row>
    <row r="39" spans="1:13">
      <c r="A39" s="568">
        <v>17</v>
      </c>
      <c r="B39" s="420" t="s">
        <v>886</v>
      </c>
      <c r="C39" s="2" t="s">
        <v>1076</v>
      </c>
      <c r="D39" s="986">
        <f>D38/5</f>
        <v>42.169815786811753</v>
      </c>
      <c r="E39" s="454"/>
      <c r="F39" s="454"/>
      <c r="G39" s="458"/>
      <c r="H39" s="454"/>
      <c r="I39" s="986">
        <f>I38/7</f>
        <v>30.121296990579825</v>
      </c>
      <c r="J39" s="460"/>
      <c r="K39" s="420" t="s">
        <v>3</v>
      </c>
      <c r="L39" s="420"/>
    </row>
    <row r="40" spans="1:13">
      <c r="A40" s="568">
        <v>18</v>
      </c>
      <c r="B40" s="420" t="s">
        <v>887</v>
      </c>
      <c r="C40" s="2" t="s">
        <v>1077</v>
      </c>
      <c r="D40" s="986">
        <f>D36/4160</f>
        <v>2.6356134866757346</v>
      </c>
      <c r="E40" s="456"/>
      <c r="F40" s="457"/>
      <c r="G40" s="456"/>
      <c r="H40" s="456"/>
      <c r="I40" s="563">
        <f>I36/8760</f>
        <v>1.2516155370514903</v>
      </c>
      <c r="J40" s="420"/>
      <c r="K40" s="420" t="s">
        <v>3</v>
      </c>
      <c r="L40" s="420"/>
    </row>
    <row r="41" spans="1:13">
      <c r="A41" s="426"/>
      <c r="B41" s="420"/>
      <c r="C41" s="420"/>
      <c r="D41" s="801"/>
      <c r="E41" s="455"/>
      <c r="F41" s="457"/>
      <c r="G41" s="456"/>
      <c r="H41" s="455"/>
      <c r="I41" s="800"/>
      <c r="J41" s="420"/>
      <c r="K41" s="420"/>
      <c r="L41" s="420"/>
    </row>
    <row r="42" spans="1:13">
      <c r="A42" s="426"/>
      <c r="B42" s="420"/>
      <c r="C42" s="420"/>
      <c r="D42" s="801"/>
      <c r="E42" s="455"/>
      <c r="F42" s="457"/>
      <c r="G42" s="456"/>
      <c r="H42" s="455"/>
      <c r="I42" s="800"/>
      <c r="J42" s="420"/>
      <c r="K42" s="420"/>
      <c r="L42" s="420"/>
    </row>
    <row r="43" spans="1:13">
      <c r="A43" s="426"/>
      <c r="B43" s="420"/>
      <c r="C43" s="420"/>
      <c r="D43" s="801"/>
      <c r="E43" s="455"/>
      <c r="F43" s="457"/>
      <c r="G43" s="456"/>
      <c r="H43" s="455"/>
      <c r="I43" s="800"/>
      <c r="J43" s="420"/>
      <c r="K43" s="420"/>
      <c r="L43" s="420"/>
    </row>
    <row r="44" spans="1:13" ht="16.5" customHeight="1">
      <c r="B44" s="420"/>
      <c r="C44" s="420"/>
      <c r="D44" s="421"/>
      <c r="E44" s="420"/>
      <c r="F44" s="420"/>
      <c r="G44" s="420"/>
      <c r="H44" s="420"/>
      <c r="I44" s="420"/>
      <c r="K44" s="422" t="str">
        <f>K1</f>
        <v>Attachment H-34A</v>
      </c>
      <c r="L44" s="420"/>
    </row>
    <row r="45" spans="1:13" ht="16.5" customHeight="1">
      <c r="B45" s="420"/>
      <c r="C45" s="420"/>
      <c r="D45" s="421"/>
      <c r="E45" s="420"/>
      <c r="F45" s="420"/>
      <c r="G45" s="420"/>
      <c r="H45" s="420"/>
      <c r="I45" s="420"/>
      <c r="J45" s="420"/>
      <c r="K45" s="422" t="s">
        <v>18</v>
      </c>
      <c r="L45" s="420"/>
    </row>
    <row r="46" spans="1:13" ht="16.5" customHeight="1">
      <c r="B46" s="420"/>
      <c r="C46" s="420"/>
      <c r="D46" s="421"/>
      <c r="E46" s="420"/>
      <c r="F46" s="420"/>
      <c r="G46" s="420"/>
      <c r="H46" s="420"/>
      <c r="I46" s="420"/>
      <c r="J46" s="420"/>
      <c r="K46" s="422"/>
      <c r="L46" s="420"/>
    </row>
    <row r="47" spans="1:13">
      <c r="B47" s="420" t="s">
        <v>1</v>
      </c>
      <c r="C47" s="420"/>
      <c r="D47" s="421" t="s">
        <v>2</v>
      </c>
      <c r="E47" s="420"/>
      <c r="F47" s="420"/>
      <c r="G47" s="420"/>
      <c r="H47" s="420"/>
      <c r="J47" s="420"/>
      <c r="K47" s="422" t="str">
        <f>K4</f>
        <v>For the 12 months ended 12/31/2026</v>
      </c>
      <c r="L47" s="420"/>
    </row>
    <row r="48" spans="1:13">
      <c r="B48" s="420"/>
      <c r="C48" s="425" t="s">
        <v>3</v>
      </c>
      <c r="D48" s="425" t="s">
        <v>4</v>
      </c>
      <c r="E48" s="425"/>
      <c r="F48" s="425"/>
      <c r="G48" s="425"/>
      <c r="H48" s="420"/>
      <c r="I48" s="420"/>
      <c r="J48" s="420"/>
      <c r="K48" s="420"/>
      <c r="L48" s="420"/>
    </row>
    <row r="49" spans="1:12">
      <c r="B49" s="420"/>
      <c r="C49" s="425"/>
      <c r="D49" s="425"/>
      <c r="E49" s="425"/>
      <c r="F49" s="425"/>
      <c r="G49" s="425"/>
      <c r="H49" s="420"/>
      <c r="I49" s="420"/>
      <c r="J49" s="420"/>
      <c r="K49" s="420"/>
      <c r="L49" s="420"/>
    </row>
    <row r="50" spans="1:12">
      <c r="B50" s="420"/>
      <c r="C50" s="420"/>
      <c r="D50" s="425" t="str">
        <f>D7</f>
        <v>Keystone Appalachian Transmission Company</v>
      </c>
      <c r="E50" s="425"/>
      <c r="F50" s="425"/>
      <c r="G50" s="425"/>
      <c r="H50" s="425"/>
      <c r="I50" s="425"/>
      <c r="J50" s="425"/>
      <c r="K50" s="425"/>
      <c r="L50" s="425"/>
    </row>
    <row r="51" spans="1:12">
      <c r="B51" s="426" t="s">
        <v>19</v>
      </c>
      <c r="C51" s="426" t="s">
        <v>20</v>
      </c>
      <c r="D51" s="426" t="s">
        <v>21</v>
      </c>
      <c r="E51" s="425" t="s">
        <v>3</v>
      </c>
      <c r="F51" s="425"/>
      <c r="G51" s="428" t="s">
        <v>22</v>
      </c>
      <c r="H51" s="425"/>
      <c r="I51" s="429" t="s">
        <v>23</v>
      </c>
      <c r="J51" s="425"/>
      <c r="K51" s="429"/>
      <c r="L51" s="425"/>
    </row>
    <row r="52" spans="1:12">
      <c r="B52" s="420"/>
      <c r="C52" s="461"/>
      <c r="D52" s="425"/>
      <c r="E52" s="425"/>
      <c r="F52" s="425"/>
      <c r="G52" s="426"/>
      <c r="H52" s="425"/>
      <c r="I52" s="462" t="s">
        <v>25</v>
      </c>
      <c r="J52" s="425"/>
      <c r="K52" s="463"/>
      <c r="L52" s="426"/>
    </row>
    <row r="53" spans="1:12">
      <c r="A53" s="426" t="s">
        <v>5</v>
      </c>
      <c r="B53" s="420"/>
      <c r="C53" s="461" t="s">
        <v>309</v>
      </c>
      <c r="D53" s="462" t="s">
        <v>26</v>
      </c>
      <c r="E53" s="464"/>
      <c r="F53" s="462" t="s">
        <v>27</v>
      </c>
      <c r="H53" s="464"/>
      <c r="I53" s="426" t="s">
        <v>28</v>
      </c>
      <c r="J53" s="425"/>
      <c r="K53" s="465"/>
      <c r="L53" s="426"/>
    </row>
    <row r="54" spans="1:12" ht="16.5" thickBot="1">
      <c r="A54" s="430" t="s">
        <v>7</v>
      </c>
      <c r="B54" s="2" t="s">
        <v>29</v>
      </c>
      <c r="C54" s="425"/>
      <c r="D54" s="425"/>
      <c r="E54" s="425"/>
      <c r="F54" s="425"/>
      <c r="G54" s="425"/>
      <c r="H54" s="425"/>
      <c r="I54" s="425"/>
      <c r="J54" s="425"/>
      <c r="K54" s="425"/>
      <c r="L54" s="425"/>
    </row>
    <row r="55" spans="1:12">
      <c r="A55" s="426"/>
      <c r="B55" s="420" t="s">
        <v>30</v>
      </c>
      <c r="C55" s="425"/>
      <c r="D55" s="425"/>
      <c r="E55" s="425"/>
      <c r="F55" s="425"/>
      <c r="G55" s="425"/>
      <c r="H55" s="425"/>
      <c r="I55" s="425"/>
      <c r="J55" s="425"/>
      <c r="L55" s="425"/>
    </row>
    <row r="56" spans="1:12">
      <c r="A56" s="426">
        <v>1</v>
      </c>
      <c r="B56" s="420" t="s">
        <v>31</v>
      </c>
      <c r="C56" s="425" t="s">
        <v>456</v>
      </c>
      <c r="D56" s="439">
        <f>'Attachment 3 - Gross Plant'!E22</f>
        <v>0</v>
      </c>
      <c r="E56" s="425"/>
      <c r="F56" s="425" t="s">
        <v>32</v>
      </c>
      <c r="G56" s="467" t="s">
        <v>3</v>
      </c>
      <c r="H56" s="425"/>
      <c r="I56" s="425" t="s">
        <v>3</v>
      </c>
      <c r="J56" s="425"/>
      <c r="K56" s="458"/>
      <c r="L56" s="425"/>
    </row>
    <row r="57" spans="1:12">
      <c r="A57" s="426">
        <v>2</v>
      </c>
      <c r="B57" s="420" t="s">
        <v>33</v>
      </c>
      <c r="C57" s="565" t="s">
        <v>920</v>
      </c>
      <c r="D57" s="439">
        <f>'Attachment 3 - Gross Plant'!F22</f>
        <v>908168494.65951431</v>
      </c>
      <c r="E57" s="425"/>
      <c r="F57" s="425" t="s">
        <v>13</v>
      </c>
      <c r="G57" s="467">
        <f>I211</f>
        <v>1</v>
      </c>
      <c r="H57" s="425"/>
      <c r="I57" s="468">
        <f>+G57*D57</f>
        <v>908168494.65951431</v>
      </c>
      <c r="J57" s="425"/>
      <c r="K57" s="458"/>
      <c r="L57" s="425"/>
    </row>
    <row r="58" spans="1:12">
      <c r="A58" s="426">
        <v>3</v>
      </c>
      <c r="B58" s="420" t="s">
        <v>34</v>
      </c>
      <c r="C58" s="565" t="s">
        <v>457</v>
      </c>
      <c r="D58" s="439">
        <f>'Attachment 3 - Gross Plant'!G22</f>
        <v>0</v>
      </c>
      <c r="E58" s="425"/>
      <c r="F58" s="425" t="s">
        <v>32</v>
      </c>
      <c r="G58" s="467" t="s">
        <v>3</v>
      </c>
      <c r="H58" s="425"/>
      <c r="I58" s="468" t="s">
        <v>3</v>
      </c>
      <c r="J58" s="425"/>
      <c r="K58" s="458"/>
      <c r="L58" s="425"/>
    </row>
    <row r="59" spans="1:12">
      <c r="A59" s="426">
        <v>4</v>
      </c>
      <c r="B59" s="2" t="s">
        <v>35</v>
      </c>
      <c r="C59" s="565" t="s">
        <v>921</v>
      </c>
      <c r="D59" s="439">
        <f>'Attachment 3 - Gross Plant'!H22+'Attachment 3 - Gross Plant'!I22</f>
        <v>3290433.1938250312</v>
      </c>
      <c r="E59" s="425"/>
      <c r="F59" s="565" t="s">
        <v>36</v>
      </c>
      <c r="G59" s="770">
        <f>I228</f>
        <v>1</v>
      </c>
      <c r="H59" s="425"/>
      <c r="I59" s="439">
        <f>+G59*D59</f>
        <v>3290433.1938250312</v>
      </c>
      <c r="J59" s="425"/>
      <c r="K59" s="458"/>
      <c r="L59" s="426"/>
    </row>
    <row r="60" spans="1:12" ht="16.5" thickBot="1">
      <c r="A60" s="426">
        <v>5</v>
      </c>
      <c r="B60" s="420" t="s">
        <v>37</v>
      </c>
      <c r="C60" s="565" t="s">
        <v>922</v>
      </c>
      <c r="D60" s="469">
        <f>'Attachment 3 - Gross Plant'!J22</f>
        <v>0</v>
      </c>
      <c r="E60" s="425"/>
      <c r="F60" s="425" t="s">
        <v>38</v>
      </c>
      <c r="G60" s="467">
        <f>K233</f>
        <v>1</v>
      </c>
      <c r="H60" s="425"/>
      <c r="I60" s="470">
        <f>+G60*D60</f>
        <v>0</v>
      </c>
      <c r="J60" s="425"/>
      <c r="K60" s="458"/>
      <c r="L60" s="426"/>
    </row>
    <row r="61" spans="1:12">
      <c r="A61" s="426">
        <v>6</v>
      </c>
      <c r="B61" s="420" t="s">
        <v>830</v>
      </c>
      <c r="C61" s="425"/>
      <c r="D61" s="468">
        <f>SUM(D56:D60)</f>
        <v>911458927.85333931</v>
      </c>
      <c r="E61" s="425"/>
      <c r="F61" s="425" t="s">
        <v>39</v>
      </c>
      <c r="G61" s="829">
        <f>IF(I61&gt;0,I61/D61,0)</f>
        <v>1</v>
      </c>
      <c r="H61" s="425"/>
      <c r="I61" s="468">
        <f>SUM(I56:I60)</f>
        <v>911458927.85333931</v>
      </c>
      <c r="J61" s="425"/>
      <c r="K61" s="472"/>
      <c r="L61" s="425"/>
    </row>
    <row r="62" spans="1:12">
      <c r="B62" s="420"/>
      <c r="C62" s="425"/>
      <c r="D62" s="468"/>
      <c r="E62" s="425"/>
      <c r="F62" s="425"/>
      <c r="G62" s="471"/>
      <c r="H62" s="425"/>
      <c r="I62" s="468"/>
      <c r="J62" s="425"/>
      <c r="K62" s="472"/>
      <c r="L62" s="425"/>
    </row>
    <row r="63" spans="1:12">
      <c r="B63" s="420" t="s">
        <v>40</v>
      </c>
      <c r="C63" s="425"/>
      <c r="D63" s="468"/>
      <c r="E63" s="425"/>
      <c r="F63" s="425"/>
      <c r="G63" s="425"/>
      <c r="H63" s="425"/>
      <c r="I63" s="468"/>
      <c r="J63" s="425"/>
      <c r="K63" s="458"/>
      <c r="L63" s="425"/>
    </row>
    <row r="64" spans="1:12">
      <c r="A64" s="426">
        <v>7</v>
      </c>
      <c r="B64" s="420" t="str">
        <f>+B56</f>
        <v xml:space="preserve">  Production</v>
      </c>
      <c r="C64" s="425" t="s">
        <v>458</v>
      </c>
      <c r="D64" s="439">
        <f>'Attachment 4 - Accum Depr'!E22</f>
        <v>0</v>
      </c>
      <c r="E64" s="425"/>
      <c r="F64" s="425" t="str">
        <f>+F56</f>
        <v>NA</v>
      </c>
      <c r="G64" s="467" t="str">
        <f>+G56</f>
        <v xml:space="preserve"> </v>
      </c>
      <c r="H64" s="425"/>
      <c r="I64" s="468" t="s">
        <v>3</v>
      </c>
      <c r="J64" s="425"/>
      <c r="K64" s="458"/>
      <c r="L64" s="425"/>
    </row>
    <row r="65" spans="1:12">
      <c r="A65" s="426">
        <v>8</v>
      </c>
      <c r="B65" s="420" t="str">
        <f>+B57</f>
        <v xml:space="preserve">  Transmission</v>
      </c>
      <c r="C65" s="565" t="s">
        <v>923</v>
      </c>
      <c r="D65" s="439">
        <f>'Attachment 4 - Accum Depr'!F22</f>
        <v>228926847.21162897</v>
      </c>
      <c r="E65" s="425"/>
      <c r="F65" s="425" t="str">
        <f>+F57</f>
        <v>TP</v>
      </c>
      <c r="G65" s="467">
        <f>I211</f>
        <v>1</v>
      </c>
      <c r="H65" s="425"/>
      <c r="I65" s="468">
        <f>+G65*D65</f>
        <v>228926847.21162897</v>
      </c>
      <c r="J65" s="425"/>
      <c r="K65" s="458"/>
      <c r="L65" s="425"/>
    </row>
    <row r="66" spans="1:12">
      <c r="A66" s="426">
        <v>9</v>
      </c>
      <c r="B66" s="420" t="str">
        <f>+B58</f>
        <v xml:space="preserve">  Distribution</v>
      </c>
      <c r="C66" s="565" t="s">
        <v>459</v>
      </c>
      <c r="D66" s="439">
        <f>'Attachment 4 - Accum Depr'!G22</f>
        <v>0</v>
      </c>
      <c r="E66" s="425"/>
      <c r="F66" s="425" t="str">
        <f>+F58</f>
        <v>NA</v>
      </c>
      <c r="G66" s="467" t="str">
        <f>+G58</f>
        <v xml:space="preserve"> </v>
      </c>
      <c r="H66" s="425"/>
      <c r="I66" s="468" t="s">
        <v>3</v>
      </c>
      <c r="J66" s="425"/>
      <c r="K66" s="458"/>
      <c r="L66" s="425"/>
    </row>
    <row r="67" spans="1:12">
      <c r="A67" s="426">
        <v>10</v>
      </c>
      <c r="B67" s="420" t="str">
        <f>+B59</f>
        <v xml:space="preserve">  General &amp; Intangible</v>
      </c>
      <c r="C67" s="565" t="s">
        <v>924</v>
      </c>
      <c r="D67" s="439">
        <f>'Attachment 4 - Accum Depr'!H22+'Attachment 4 - Accum Depr'!I22</f>
        <v>665099.54404992925</v>
      </c>
      <c r="E67" s="425"/>
      <c r="F67" s="565" t="s">
        <v>36</v>
      </c>
      <c r="G67" s="770">
        <f>I228</f>
        <v>1</v>
      </c>
      <c r="H67" s="425"/>
      <c r="I67" s="439">
        <f>+G67*D67</f>
        <v>665099.54404992925</v>
      </c>
      <c r="J67" s="425"/>
      <c r="K67" s="458"/>
      <c r="L67" s="426"/>
    </row>
    <row r="68" spans="1:12" ht="16.5" thickBot="1">
      <c r="A68" s="426">
        <v>11</v>
      </c>
      <c r="B68" s="420" t="str">
        <f>+B60</f>
        <v xml:space="preserve">  Common</v>
      </c>
      <c r="C68" s="565" t="s">
        <v>925</v>
      </c>
      <c r="D68" s="469">
        <f>'Attachment 4 - Accum Depr'!J22</f>
        <v>0</v>
      </c>
      <c r="E68" s="425"/>
      <c r="F68" s="425" t="str">
        <f>+F60</f>
        <v>CE</v>
      </c>
      <c r="G68" s="467">
        <f>K233</f>
        <v>1</v>
      </c>
      <c r="H68" s="425"/>
      <c r="I68" s="470">
        <f>+G68*D68</f>
        <v>0</v>
      </c>
      <c r="J68" s="425"/>
      <c r="K68" s="458"/>
      <c r="L68" s="426"/>
    </row>
    <row r="69" spans="1:12">
      <c r="A69" s="426">
        <v>12</v>
      </c>
      <c r="B69" s="420" t="s">
        <v>831</v>
      </c>
      <c r="C69" s="425"/>
      <c r="D69" s="468">
        <f>SUM(D64:D68)</f>
        <v>229591946.75567889</v>
      </c>
      <c r="E69" s="425"/>
      <c r="F69" s="425"/>
      <c r="G69" s="425"/>
      <c r="H69" s="425"/>
      <c r="I69" s="468">
        <f>SUM(I64:I68)</f>
        <v>229591946.75567889</v>
      </c>
      <c r="J69" s="425"/>
      <c r="K69" s="458"/>
      <c r="L69" s="425"/>
    </row>
    <row r="70" spans="1:12">
      <c r="A70" s="426"/>
      <c r="C70" s="425" t="s">
        <v>3</v>
      </c>
      <c r="E70" s="425"/>
      <c r="F70" s="425"/>
      <c r="G70" s="471"/>
      <c r="H70" s="425"/>
      <c r="I70" s="451"/>
      <c r="J70" s="425"/>
      <c r="K70" s="472"/>
      <c r="L70" s="425"/>
    </row>
    <row r="71" spans="1:12">
      <c r="A71" s="426"/>
      <c r="B71" s="420" t="s">
        <v>43</v>
      </c>
      <c r="C71" s="425"/>
      <c r="D71" s="425"/>
      <c r="E71" s="425"/>
      <c r="F71" s="425"/>
      <c r="G71" s="425"/>
      <c r="H71" s="425"/>
      <c r="I71" s="451"/>
      <c r="J71" s="425"/>
      <c r="K71" s="458"/>
      <c r="L71" s="425"/>
    </row>
    <row r="72" spans="1:12">
      <c r="A72" s="426">
        <v>13</v>
      </c>
      <c r="B72" s="420" t="str">
        <f>+B64</f>
        <v xml:space="preserve">  Production</v>
      </c>
      <c r="C72" s="425" t="s">
        <v>832</v>
      </c>
      <c r="D72" s="468">
        <f>D56-D64</f>
        <v>0</v>
      </c>
      <c r="E72" s="425"/>
      <c r="F72" s="425"/>
      <c r="G72" s="471"/>
      <c r="H72" s="425"/>
      <c r="I72" s="468" t="s">
        <v>3</v>
      </c>
      <c r="J72" s="425"/>
      <c r="K72" s="472"/>
      <c r="L72" s="425"/>
    </row>
    <row r="73" spans="1:12">
      <c r="A73" s="426">
        <v>14</v>
      </c>
      <c r="B73" s="420" t="str">
        <f>+B65</f>
        <v xml:space="preserve">  Transmission</v>
      </c>
      <c r="C73" s="425" t="s">
        <v>833</v>
      </c>
      <c r="D73" s="468">
        <f>D57-D65</f>
        <v>679241647.44788527</v>
      </c>
      <c r="E73" s="425"/>
      <c r="F73" s="425"/>
      <c r="G73" s="467"/>
      <c r="H73" s="425"/>
      <c r="I73" s="468">
        <f>I57-I65</f>
        <v>679241647.44788527</v>
      </c>
      <c r="J73" s="425"/>
      <c r="K73" s="458"/>
      <c r="L73" s="425"/>
    </row>
    <row r="74" spans="1:12">
      <c r="A74" s="426">
        <v>15</v>
      </c>
      <c r="B74" s="420" t="str">
        <f>+B66</f>
        <v xml:space="preserve">  Distribution</v>
      </c>
      <c r="C74" s="425" t="s">
        <v>834</v>
      </c>
      <c r="D74" s="468">
        <f>D58-D66</f>
        <v>0</v>
      </c>
      <c r="E74" s="425"/>
      <c r="F74" s="425"/>
      <c r="G74" s="471"/>
      <c r="H74" s="425"/>
      <c r="I74" s="468" t="s">
        <v>3</v>
      </c>
      <c r="J74" s="425"/>
      <c r="K74" s="473"/>
      <c r="L74" s="425"/>
    </row>
    <row r="75" spans="1:12">
      <c r="A75" s="426">
        <v>16</v>
      </c>
      <c r="B75" s="420" t="str">
        <f>+B67</f>
        <v xml:space="preserve">  General &amp; Intangible</v>
      </c>
      <c r="C75" s="425" t="s">
        <v>835</v>
      </c>
      <c r="D75" s="439">
        <f>D59-D67</f>
        <v>2625333.6497751018</v>
      </c>
      <c r="E75" s="425"/>
      <c r="F75" s="425"/>
      <c r="G75" s="471"/>
      <c r="H75" s="425"/>
      <c r="I75" s="439">
        <f>I59-I67</f>
        <v>2625333.6497751018</v>
      </c>
      <c r="J75" s="425"/>
      <c r="K75" s="471"/>
      <c r="L75" s="426"/>
    </row>
    <row r="76" spans="1:12" ht="16.5" thickBot="1">
      <c r="A76" s="426">
        <v>17</v>
      </c>
      <c r="B76" s="420" t="str">
        <f>+B68</f>
        <v xml:space="preserve">  Common</v>
      </c>
      <c r="C76" s="425" t="s">
        <v>836</v>
      </c>
      <c r="D76" s="470">
        <f>D60-D68</f>
        <v>0</v>
      </c>
      <c r="E76" s="425"/>
      <c r="F76" s="425"/>
      <c r="G76" s="471"/>
      <c r="H76" s="425"/>
      <c r="I76" s="470">
        <f>I60-I68</f>
        <v>0</v>
      </c>
      <c r="J76" s="425"/>
      <c r="K76" s="471"/>
      <c r="L76" s="426"/>
    </row>
    <row r="77" spans="1:12">
      <c r="A77" s="426">
        <v>18</v>
      </c>
      <c r="B77" s="420" t="s">
        <v>837</v>
      </c>
      <c r="C77" s="425"/>
      <c r="D77" s="468">
        <f>SUM(D72:D76)</f>
        <v>681866981.09766042</v>
      </c>
      <c r="E77" s="425"/>
      <c r="F77" s="425"/>
      <c r="G77" s="471"/>
      <c r="H77" s="425"/>
      <c r="I77" s="468">
        <f>SUM(I72:I76)</f>
        <v>681866981.09766042</v>
      </c>
      <c r="J77" s="425"/>
      <c r="K77" s="425"/>
      <c r="L77" s="425"/>
    </row>
    <row r="78" spans="1:12">
      <c r="A78" s="426"/>
      <c r="C78" s="425"/>
      <c r="D78" s="468"/>
      <c r="E78" s="425"/>
      <c r="H78" s="425"/>
      <c r="I78" s="468"/>
      <c r="J78" s="425"/>
      <c r="K78" s="471"/>
      <c r="L78" s="425"/>
    </row>
    <row r="79" spans="1:12">
      <c r="A79" s="426"/>
      <c r="B79" s="420" t="s">
        <v>527</v>
      </c>
      <c r="C79" s="425"/>
      <c r="D79" s="468"/>
      <c r="E79" s="425"/>
      <c r="F79" s="425"/>
      <c r="G79" s="425"/>
      <c r="H79" s="425"/>
      <c r="I79" s="468"/>
      <c r="J79" s="425"/>
      <c r="K79" s="425"/>
      <c r="L79" s="425"/>
    </row>
    <row r="80" spans="1:12">
      <c r="A80" s="426">
        <v>19</v>
      </c>
      <c r="B80" s="420" t="s">
        <v>44</v>
      </c>
      <c r="C80" s="565" t="s">
        <v>622</v>
      </c>
      <c r="D80" s="439">
        <f>'Attachment 5 - ADIT Summary'!E10</f>
        <v>0</v>
      </c>
      <c r="E80" s="425"/>
      <c r="F80" s="425" t="str">
        <f>+F64</f>
        <v>NA</v>
      </c>
      <c r="G80" s="474"/>
      <c r="H80" s="425"/>
      <c r="I80" s="468"/>
      <c r="J80" s="425"/>
      <c r="K80" s="471"/>
      <c r="L80" s="426"/>
    </row>
    <row r="81" spans="1:20">
      <c r="A81" s="426">
        <v>20</v>
      </c>
      <c r="B81" s="420" t="s">
        <v>45</v>
      </c>
      <c r="C81" s="565" t="s">
        <v>815</v>
      </c>
      <c r="D81" s="439">
        <f>'Attachment 5 - ADIT Summary'!F10</f>
        <v>-101208047.51731034</v>
      </c>
      <c r="E81" s="425"/>
      <c r="F81" s="425" t="s">
        <v>329</v>
      </c>
      <c r="G81" s="467">
        <v>1</v>
      </c>
      <c r="H81" s="425"/>
      <c r="I81" s="468">
        <f t="shared" ref="I81:I88" si="1">D81*G81</f>
        <v>-101208047.51731034</v>
      </c>
      <c r="J81" s="425"/>
      <c r="K81" s="471"/>
      <c r="L81" s="426"/>
    </row>
    <row r="82" spans="1:20">
      <c r="A82" s="426">
        <v>21</v>
      </c>
      <c r="B82" s="420" t="s">
        <v>46</v>
      </c>
      <c r="C82" s="565" t="s">
        <v>623</v>
      </c>
      <c r="D82" s="476">
        <f>'Attachment 5 - ADIT Summary'!G10</f>
        <v>-2091751.315345156</v>
      </c>
      <c r="E82" s="425"/>
      <c r="F82" s="425" t="s">
        <v>329</v>
      </c>
      <c r="G82" s="467">
        <f>+G81</f>
        <v>1</v>
      </c>
      <c r="H82" s="425"/>
      <c r="I82" s="468">
        <f t="shared" si="1"/>
        <v>-2091751.315345156</v>
      </c>
      <c r="J82" s="425"/>
      <c r="K82" s="471"/>
      <c r="L82" s="426"/>
    </row>
    <row r="83" spans="1:20">
      <c r="A83" s="426">
        <v>22</v>
      </c>
      <c r="B83" s="420" t="s">
        <v>47</v>
      </c>
      <c r="C83" s="565" t="s">
        <v>624</v>
      </c>
      <c r="D83" s="476">
        <f>'Attachment 5 - ADIT Summary'!H10</f>
        <v>-1314507.6853186339</v>
      </c>
      <c r="E83" s="425"/>
      <c r="F83" s="425" t="s">
        <v>329</v>
      </c>
      <c r="G83" s="467">
        <f>+G82</f>
        <v>1</v>
      </c>
      <c r="H83" s="425"/>
      <c r="I83" s="468">
        <f t="shared" si="1"/>
        <v>-1314507.6853186339</v>
      </c>
      <c r="J83" s="425"/>
      <c r="K83" s="471"/>
      <c r="L83" s="426"/>
    </row>
    <row r="84" spans="1:20">
      <c r="A84" s="426">
        <v>23</v>
      </c>
      <c r="B84" s="419" t="s">
        <v>48</v>
      </c>
      <c r="C84" s="565" t="s">
        <v>625</v>
      </c>
      <c r="D84" s="476">
        <f>'Attachment 5 - ADIT Summary'!I10</f>
        <v>0</v>
      </c>
      <c r="E84" s="425"/>
      <c r="F84" s="425" t="s">
        <v>329</v>
      </c>
      <c r="G84" s="467">
        <f>G83</f>
        <v>1</v>
      </c>
      <c r="H84" s="425"/>
      <c r="I84" s="477">
        <f t="shared" si="1"/>
        <v>0</v>
      </c>
      <c r="J84" s="425"/>
      <c r="K84" s="471"/>
      <c r="L84" s="426"/>
    </row>
    <row r="85" spans="1:20">
      <c r="A85" s="426">
        <v>24</v>
      </c>
      <c r="B85" s="2" t="s">
        <v>1140</v>
      </c>
      <c r="C85" s="1" t="s">
        <v>1082</v>
      </c>
      <c r="D85" s="476">
        <f>'Attachment 5 - ADIT Summary'!I10</f>
        <v>0</v>
      </c>
      <c r="E85" s="425"/>
      <c r="F85" s="425" t="s">
        <v>329</v>
      </c>
      <c r="G85" s="467">
        <f>G84</f>
        <v>1</v>
      </c>
      <c r="H85" s="425"/>
      <c r="I85" s="477">
        <f t="shared" si="1"/>
        <v>0</v>
      </c>
      <c r="J85" s="425"/>
      <c r="K85" s="471"/>
      <c r="L85" s="426"/>
    </row>
    <row r="86" spans="1:20">
      <c r="A86" s="426">
        <v>25</v>
      </c>
      <c r="B86" s="951" t="s">
        <v>1129</v>
      </c>
      <c r="C86" s="1"/>
      <c r="D86" s="562"/>
      <c r="E86" s="425"/>
      <c r="F86" s="425"/>
      <c r="G86" s="467"/>
      <c r="H86" s="425"/>
      <c r="I86" s="476"/>
      <c r="J86" s="425"/>
      <c r="K86" s="471"/>
      <c r="L86" s="426"/>
    </row>
    <row r="87" spans="1:20">
      <c r="A87" s="426">
        <v>26</v>
      </c>
      <c r="B87" s="419" t="s">
        <v>310</v>
      </c>
      <c r="C87" s="1" t="s">
        <v>807</v>
      </c>
      <c r="D87" s="476">
        <f>'Attachment 17 - CWIP in RB'!AG14</f>
        <v>0</v>
      </c>
      <c r="E87" s="425"/>
      <c r="F87" s="425" t="s">
        <v>329</v>
      </c>
      <c r="G87" s="467">
        <f>G83</f>
        <v>1</v>
      </c>
      <c r="H87" s="425"/>
      <c r="I87" s="476">
        <f t="shared" si="1"/>
        <v>0</v>
      </c>
      <c r="J87" s="425"/>
      <c r="K87" s="471"/>
      <c r="L87" s="426"/>
    </row>
    <row r="88" spans="1:20" ht="16.5" thickBot="1">
      <c r="A88" s="568">
        <v>27</v>
      </c>
      <c r="B88" s="1" t="s">
        <v>756</v>
      </c>
      <c r="C88" s="1" t="s">
        <v>874</v>
      </c>
      <c r="D88" s="469">
        <f>'Attachment 19 - Reg Asset'!AA26</f>
        <v>0</v>
      </c>
      <c r="E88" s="425"/>
      <c r="F88" s="565" t="s">
        <v>329</v>
      </c>
      <c r="G88" s="467">
        <v>1</v>
      </c>
      <c r="H88" s="425"/>
      <c r="I88" s="469">
        <f t="shared" si="1"/>
        <v>0</v>
      </c>
      <c r="J88" s="425"/>
      <c r="K88" s="471"/>
      <c r="L88" s="718"/>
      <c r="M88" s="718"/>
      <c r="N88" s="718"/>
      <c r="O88" s="718"/>
      <c r="P88" s="718"/>
      <c r="Q88" s="718"/>
      <c r="R88" s="718"/>
      <c r="S88" s="718"/>
      <c r="T88" s="718"/>
    </row>
    <row r="89" spans="1:20">
      <c r="A89" s="568">
        <v>28</v>
      </c>
      <c r="B89" s="2" t="s">
        <v>838</v>
      </c>
      <c r="C89" s="425"/>
      <c r="D89" s="439">
        <f>SUM(D80:D88)</f>
        <v>-104614306.51797412</v>
      </c>
      <c r="E89" s="825"/>
      <c r="F89" s="825"/>
      <c r="G89" s="825"/>
      <c r="H89" s="825"/>
      <c r="I89" s="439">
        <f>SUM(I80:I88)</f>
        <v>-104614306.51797412</v>
      </c>
      <c r="J89" s="425"/>
      <c r="K89" s="425"/>
      <c r="L89" s="425"/>
      <c r="M89" s="476"/>
    </row>
    <row r="90" spans="1:20">
      <c r="A90" s="426"/>
      <c r="C90" s="425"/>
      <c r="D90" s="439"/>
      <c r="E90" s="425"/>
      <c r="F90" s="425"/>
      <c r="G90" s="471"/>
      <c r="H90" s="425"/>
      <c r="I90" s="439"/>
      <c r="J90" s="425"/>
      <c r="K90" s="471"/>
      <c r="L90" s="425"/>
    </row>
    <row r="91" spans="1:20">
      <c r="A91" s="568">
        <v>29</v>
      </c>
      <c r="B91" s="2" t="s">
        <v>49</v>
      </c>
      <c r="C91" s="565" t="s">
        <v>1083</v>
      </c>
      <c r="D91" s="563">
        <f>'Attachment 14 - Other RB'!AF20</f>
        <v>0</v>
      </c>
      <c r="E91" s="425"/>
      <c r="F91" s="425" t="str">
        <f>+F65</f>
        <v>TP</v>
      </c>
      <c r="G91" s="467">
        <f>I211</f>
        <v>1</v>
      </c>
      <c r="H91" s="425"/>
      <c r="I91" s="439">
        <f>+G91*D91</f>
        <v>0</v>
      </c>
      <c r="J91" s="425"/>
      <c r="K91" s="425"/>
      <c r="L91" s="425"/>
    </row>
    <row r="92" spans="1:20">
      <c r="A92" s="568"/>
      <c r="B92" s="2"/>
      <c r="C92" s="565"/>
      <c r="D92" s="569"/>
      <c r="E92" s="425"/>
      <c r="F92" s="425"/>
      <c r="G92" s="425"/>
      <c r="H92" s="425"/>
      <c r="I92" s="439"/>
      <c r="J92" s="425"/>
      <c r="K92" s="425"/>
      <c r="L92" s="425"/>
    </row>
    <row r="93" spans="1:20">
      <c r="A93" s="568">
        <v>30</v>
      </c>
      <c r="B93" s="2" t="s">
        <v>145</v>
      </c>
      <c r="C93" s="565" t="s">
        <v>3</v>
      </c>
      <c r="D93" s="569"/>
      <c r="E93" s="425"/>
      <c r="F93" s="425"/>
      <c r="G93" s="425"/>
      <c r="H93" s="425"/>
      <c r="I93" s="457"/>
      <c r="J93" s="425"/>
      <c r="K93" s="425"/>
      <c r="L93" s="425"/>
    </row>
    <row r="94" spans="1:20" ht="31.5">
      <c r="A94" s="568">
        <v>31</v>
      </c>
      <c r="B94" s="2" t="s">
        <v>50</v>
      </c>
      <c r="C94" s="996" t="s">
        <v>1331</v>
      </c>
      <c r="D94" s="572">
        <f>(D139-D138-1016653.64)/8</f>
        <v>3879400.6436221912</v>
      </c>
      <c r="E94" s="425"/>
      <c r="F94" s="565" t="s">
        <v>329</v>
      </c>
      <c r="G94" s="770">
        <v>1</v>
      </c>
      <c r="H94" s="425"/>
      <c r="I94" s="573">
        <f>G94*D94</f>
        <v>3879400.6436221912</v>
      </c>
      <c r="J94" s="420"/>
      <c r="K94" s="471"/>
      <c r="L94" s="426"/>
    </row>
    <row r="95" spans="1:20">
      <c r="A95" s="568">
        <v>32</v>
      </c>
      <c r="B95" s="2" t="s">
        <v>146</v>
      </c>
      <c r="C95" s="565" t="s">
        <v>1084</v>
      </c>
      <c r="D95" s="563">
        <f>'Attachment 14 - Other RB'!AF17</f>
        <v>0</v>
      </c>
      <c r="E95" s="425"/>
      <c r="F95" s="425" t="s">
        <v>51</v>
      </c>
      <c r="G95" s="467">
        <f>I220</f>
        <v>0.94759107120517849</v>
      </c>
      <c r="H95" s="425"/>
      <c r="I95" s="439">
        <f>+G95*D95</f>
        <v>0</v>
      </c>
      <c r="J95" s="425" t="s">
        <v>3</v>
      </c>
      <c r="K95" s="471"/>
      <c r="L95" s="426"/>
    </row>
    <row r="96" spans="1:20" ht="16.5" thickBot="1">
      <c r="A96" s="568">
        <v>33</v>
      </c>
      <c r="B96" s="2" t="s">
        <v>52</v>
      </c>
      <c r="C96" s="565" t="s">
        <v>1136</v>
      </c>
      <c r="D96" s="564">
        <f>'Attachment 14 - Other RB'!AF14</f>
        <v>33608</v>
      </c>
      <c r="E96" s="425"/>
      <c r="F96" s="565" t="s">
        <v>329</v>
      </c>
      <c r="G96" s="770">
        <v>1</v>
      </c>
      <c r="H96" s="425"/>
      <c r="I96" s="469">
        <f>+G96*D96</f>
        <v>33608</v>
      </c>
      <c r="J96" s="425"/>
      <c r="K96" s="471"/>
      <c r="L96" s="426"/>
    </row>
    <row r="97" spans="1:12">
      <c r="A97" s="568">
        <v>34</v>
      </c>
      <c r="B97" s="2" t="s">
        <v>839</v>
      </c>
      <c r="C97" s="2"/>
      <c r="D97" s="563">
        <f>SUM(D94:D96)</f>
        <v>3913008.6436221912</v>
      </c>
      <c r="E97" s="420"/>
      <c r="F97" s="420"/>
      <c r="G97" s="420"/>
      <c r="H97" s="420"/>
      <c r="I97" s="439">
        <f>SUM(I94:I96)</f>
        <v>3913008.6436221912</v>
      </c>
      <c r="J97" s="420"/>
      <c r="K97" s="420"/>
      <c r="L97" s="425"/>
    </row>
    <row r="98" spans="1:12" ht="16.5" thickBot="1">
      <c r="A98" s="1"/>
      <c r="B98" s="1"/>
      <c r="C98" s="565"/>
      <c r="D98" s="564"/>
      <c r="E98" s="425"/>
      <c r="F98" s="425"/>
      <c r="G98" s="425"/>
      <c r="H98" s="425"/>
      <c r="I98" s="469"/>
      <c r="J98" s="425"/>
      <c r="K98" s="425"/>
      <c r="L98" s="425"/>
    </row>
    <row r="99" spans="1:12" ht="16.5" thickBot="1">
      <c r="A99" s="568">
        <v>35</v>
      </c>
      <c r="B99" s="2" t="s">
        <v>840</v>
      </c>
      <c r="C99" s="565"/>
      <c r="D99" s="570">
        <f>+D97+D91+D89+D77</f>
        <v>581165683.22330844</v>
      </c>
      <c r="E99" s="425"/>
      <c r="F99" s="425"/>
      <c r="G99" s="471"/>
      <c r="H99" s="425"/>
      <c r="I99" s="826">
        <f>+I97+I91+I89+I77</f>
        <v>581165683.22330844</v>
      </c>
      <c r="J99" s="425"/>
      <c r="K99" s="471"/>
      <c r="L99" s="425"/>
    </row>
    <row r="100" spans="1:12" ht="16.5" thickTop="1">
      <c r="A100" s="426"/>
      <c r="B100" s="420"/>
      <c r="C100" s="425"/>
      <c r="D100" s="459"/>
      <c r="E100" s="425"/>
      <c r="F100" s="425"/>
      <c r="G100" s="471"/>
      <c r="H100" s="425"/>
      <c r="I100" s="425"/>
      <c r="J100" s="425"/>
      <c r="K100" s="471"/>
      <c r="L100" s="425"/>
    </row>
    <row r="101" spans="1:12">
      <c r="A101" s="426"/>
      <c r="B101" s="420"/>
      <c r="C101" s="425"/>
      <c r="D101" s="459"/>
      <c r="E101" s="425"/>
      <c r="F101" s="425"/>
      <c r="G101" s="471"/>
      <c r="H101" s="425"/>
      <c r="I101" s="425"/>
      <c r="J101" s="425"/>
      <c r="K101" s="471"/>
      <c r="L101" s="425"/>
    </row>
    <row r="102" spans="1:12">
      <c r="A102" s="426"/>
      <c r="B102" s="420"/>
      <c r="C102" s="425"/>
      <c r="D102" s="459"/>
      <c r="E102" s="425"/>
      <c r="F102" s="425"/>
      <c r="G102" s="471"/>
      <c r="H102" s="425"/>
      <c r="I102" s="425"/>
      <c r="J102" s="425"/>
      <c r="K102" s="471"/>
      <c r="L102" s="425"/>
    </row>
    <row r="103" spans="1:12">
      <c r="A103" s="426"/>
      <c r="B103" s="420"/>
      <c r="C103" s="425"/>
      <c r="D103" s="425"/>
      <c r="E103" s="425"/>
      <c r="F103" s="425"/>
      <c r="G103" s="471"/>
      <c r="H103" s="425"/>
      <c r="I103" s="425"/>
      <c r="J103" s="425"/>
      <c r="K103" s="471"/>
      <c r="L103" s="425"/>
    </row>
    <row r="104" spans="1:12">
      <c r="A104" s="426"/>
      <c r="B104" s="420"/>
      <c r="C104" s="425"/>
      <c r="D104" s="425"/>
      <c r="E104" s="425"/>
      <c r="F104" s="425"/>
      <c r="G104" s="471"/>
      <c r="H104" s="425"/>
      <c r="I104" s="425"/>
      <c r="J104" s="425"/>
      <c r="K104" s="471"/>
      <c r="L104" s="425"/>
    </row>
    <row r="105" spans="1:12">
      <c r="A105" s="426"/>
      <c r="B105" s="420"/>
      <c r="C105" s="425"/>
      <c r="D105" s="425"/>
      <c r="E105" s="425"/>
      <c r="F105" s="425"/>
      <c r="G105" s="471"/>
      <c r="H105" s="425"/>
      <c r="I105" s="425"/>
      <c r="J105" s="425"/>
      <c r="K105" s="471"/>
      <c r="L105" s="425"/>
    </row>
    <row r="106" spans="1:12">
      <c r="A106" s="426"/>
      <c r="B106" s="420"/>
      <c r="C106" s="425"/>
      <c r="D106" s="425"/>
      <c r="E106" s="425"/>
      <c r="F106" s="425"/>
      <c r="G106" s="471"/>
      <c r="H106" s="425"/>
      <c r="I106" s="425"/>
      <c r="J106" s="425"/>
      <c r="K106" s="471"/>
      <c r="L106" s="425"/>
    </row>
    <row r="107" spans="1:12">
      <c r="A107" s="426"/>
      <c r="B107" s="420"/>
      <c r="C107" s="425"/>
      <c r="D107" s="425"/>
      <c r="E107" s="425"/>
      <c r="F107" s="425"/>
      <c r="G107" s="471"/>
      <c r="H107" s="425"/>
      <c r="I107" s="425"/>
      <c r="J107" s="425"/>
      <c r="K107" s="471"/>
      <c r="L107" s="425"/>
    </row>
    <row r="108" spans="1:12">
      <c r="A108" s="426"/>
      <c r="B108" s="420"/>
      <c r="C108" s="425"/>
      <c r="D108" s="425"/>
      <c r="E108" s="425"/>
      <c r="F108" s="425"/>
      <c r="G108" s="471"/>
      <c r="H108" s="425"/>
      <c r="I108" s="425"/>
      <c r="J108" s="425"/>
      <c r="K108" s="471"/>
      <c r="L108" s="425"/>
    </row>
    <row r="109" spans="1:12">
      <c r="A109" s="426"/>
      <c r="B109" s="420"/>
      <c r="C109" s="425"/>
      <c r="D109" s="425"/>
      <c r="E109" s="425"/>
      <c r="F109" s="425"/>
      <c r="G109" s="471"/>
      <c r="H109" s="425"/>
      <c r="I109" s="425"/>
      <c r="J109" s="425"/>
      <c r="K109" s="471"/>
      <c r="L109" s="425"/>
    </row>
    <row r="110" spans="1:12">
      <c r="A110" s="426"/>
      <c r="B110" s="420"/>
      <c r="C110" s="425"/>
      <c r="D110" s="425"/>
      <c r="E110" s="425"/>
      <c r="F110" s="425"/>
      <c r="G110" s="471"/>
      <c r="H110" s="425"/>
      <c r="I110" s="425"/>
      <c r="J110" s="425"/>
      <c r="K110" s="471"/>
      <c r="L110" s="425"/>
    </row>
    <row r="111" spans="1:12">
      <c r="A111" s="426"/>
      <c r="B111" s="420"/>
      <c r="C111" s="425"/>
      <c r="D111" s="425"/>
      <c r="E111" s="425"/>
      <c r="F111" s="425"/>
      <c r="G111" s="471"/>
      <c r="H111" s="425"/>
      <c r="I111" s="425"/>
      <c r="J111" s="425"/>
      <c r="K111" s="471"/>
      <c r="L111" s="425"/>
    </row>
    <row r="112" spans="1:12">
      <c r="A112" s="426"/>
      <c r="B112" s="420"/>
      <c r="C112" s="425"/>
      <c r="D112" s="425"/>
      <c r="E112" s="425"/>
      <c r="F112" s="425"/>
      <c r="G112" s="471"/>
      <c r="H112" s="425"/>
      <c r="I112" s="425"/>
      <c r="J112" s="425"/>
      <c r="K112" s="471"/>
      <c r="L112" s="425"/>
    </row>
    <row r="113" spans="1:12">
      <c r="A113" s="426"/>
      <c r="B113" s="420"/>
      <c r="C113" s="425"/>
      <c r="D113" s="425"/>
      <c r="E113" s="425"/>
      <c r="F113" s="425"/>
      <c r="G113" s="471"/>
      <c r="H113" s="425"/>
      <c r="I113" s="425"/>
      <c r="J113" s="425"/>
      <c r="K113" s="471"/>
      <c r="L113" s="425"/>
    </row>
    <row r="114" spans="1:12">
      <c r="A114" s="479"/>
      <c r="B114" s="420"/>
      <c r="C114" s="425"/>
      <c r="D114" s="425"/>
      <c r="E114" s="425"/>
      <c r="F114" s="425"/>
      <c r="G114" s="471"/>
      <c r="H114" s="425"/>
      <c r="I114" s="425"/>
      <c r="J114" s="425"/>
      <c r="K114" s="465"/>
    </row>
    <row r="115" spans="1:12">
      <c r="A115" s="479"/>
      <c r="B115" s="420"/>
      <c r="C115" s="425"/>
      <c r="D115" s="425"/>
      <c r="E115" s="425"/>
      <c r="F115" s="425"/>
      <c r="G115" s="471"/>
      <c r="H115" s="425"/>
      <c r="I115" s="425"/>
      <c r="J115" s="425"/>
      <c r="K115" s="465"/>
    </row>
    <row r="116" spans="1:12">
      <c r="B116" s="420"/>
      <c r="C116" s="420"/>
      <c r="D116" s="421"/>
      <c r="E116" s="420"/>
      <c r="F116" s="420"/>
      <c r="G116" s="420"/>
      <c r="H116" s="420"/>
      <c r="I116" s="426"/>
      <c r="J116" s="426"/>
      <c r="K116" s="422"/>
      <c r="L116" s="420"/>
    </row>
    <row r="117" spans="1:12">
      <c r="B117" s="420"/>
      <c r="C117" s="420"/>
      <c r="D117" s="421"/>
      <c r="E117" s="420"/>
      <c r="F117" s="420"/>
      <c r="G117" s="420"/>
      <c r="H117" s="420"/>
      <c r="I117" s="422"/>
      <c r="J117" s="422"/>
      <c r="K117" s="422"/>
      <c r="L117" s="420"/>
    </row>
    <row r="118" spans="1:12" ht="16.5" customHeight="1">
      <c r="B118" s="420"/>
      <c r="C118" s="420"/>
      <c r="D118" s="421"/>
      <c r="E118" s="420"/>
      <c r="F118" s="420"/>
      <c r="G118" s="420"/>
      <c r="H118" s="420"/>
      <c r="I118" s="420"/>
      <c r="K118" s="422" t="str">
        <f>K44</f>
        <v>Attachment H-34A</v>
      </c>
      <c r="L118" s="420"/>
    </row>
    <row r="119" spans="1:12" ht="16.5" customHeight="1">
      <c r="B119" s="420"/>
      <c r="C119" s="420"/>
      <c r="D119" s="421"/>
      <c r="E119" s="420"/>
      <c r="F119" s="420"/>
      <c r="G119" s="420"/>
      <c r="H119" s="420"/>
      <c r="I119" s="420"/>
      <c r="J119" s="420"/>
      <c r="K119" s="422" t="s">
        <v>140</v>
      </c>
      <c r="L119" s="420"/>
    </row>
    <row r="120" spans="1:12" ht="16.5" customHeight="1">
      <c r="B120" s="420"/>
      <c r="C120" s="420"/>
      <c r="D120" s="421"/>
      <c r="E120" s="420"/>
      <c r="F120" s="420"/>
      <c r="G120" s="420"/>
      <c r="H120" s="420"/>
      <c r="I120" s="420"/>
      <c r="J120" s="420"/>
      <c r="K120" s="422"/>
      <c r="L120" s="420"/>
    </row>
    <row r="121" spans="1:12">
      <c r="B121" s="420" t="s">
        <v>1</v>
      </c>
      <c r="C121" s="420"/>
      <c r="D121" s="421" t="s">
        <v>2</v>
      </c>
      <c r="E121" s="420"/>
      <c r="F121" s="420"/>
      <c r="G121" s="420"/>
      <c r="H121" s="420"/>
      <c r="J121" s="420"/>
      <c r="K121" s="422" t="str">
        <f>K4</f>
        <v>For the 12 months ended 12/31/2026</v>
      </c>
      <c r="L121" s="420"/>
    </row>
    <row r="122" spans="1:12">
      <c r="B122" s="420"/>
      <c r="C122" s="425" t="s">
        <v>3</v>
      </c>
      <c r="D122" s="425" t="s">
        <v>4</v>
      </c>
      <c r="E122" s="425"/>
      <c r="F122" s="425"/>
      <c r="G122" s="425"/>
      <c r="H122" s="420"/>
      <c r="I122" s="420"/>
      <c r="J122" s="420"/>
      <c r="K122" s="420"/>
      <c r="L122" s="420"/>
    </row>
    <row r="123" spans="1:12">
      <c r="B123" s="420"/>
      <c r="C123" s="425"/>
      <c r="D123" s="425"/>
      <c r="E123" s="425"/>
      <c r="F123" s="425"/>
      <c r="G123" s="425"/>
      <c r="H123" s="420"/>
      <c r="I123" s="420"/>
      <c r="J123" s="420"/>
      <c r="K123" s="420"/>
      <c r="L123" s="420"/>
    </row>
    <row r="124" spans="1:12">
      <c r="A124" s="426"/>
      <c r="D124" s="419" t="str">
        <f>D7</f>
        <v>Keystone Appalachian Transmission Company</v>
      </c>
      <c r="J124" s="425"/>
      <c r="K124" s="425"/>
      <c r="L124" s="425"/>
    </row>
    <row r="125" spans="1:12">
      <c r="A125" s="426"/>
      <c r="B125" s="426" t="s">
        <v>19</v>
      </c>
      <c r="C125" s="426" t="s">
        <v>20</v>
      </c>
      <c r="D125" s="426" t="s">
        <v>21</v>
      </c>
      <c r="E125" s="425" t="s">
        <v>3</v>
      </c>
      <c r="F125" s="425"/>
      <c r="G125" s="428" t="s">
        <v>22</v>
      </c>
      <c r="H125" s="425"/>
      <c r="I125" s="429" t="s">
        <v>23</v>
      </c>
      <c r="J125" s="425"/>
      <c r="K125" s="425"/>
      <c r="L125" s="425"/>
    </row>
    <row r="126" spans="1:12">
      <c r="A126" s="426" t="s">
        <v>5</v>
      </c>
      <c r="B126" s="420"/>
      <c r="C126" s="461"/>
      <c r="D126" s="425"/>
      <c r="E126" s="425"/>
      <c r="F126" s="425"/>
      <c r="G126" s="426"/>
      <c r="H126" s="425"/>
      <c r="I126" s="462" t="s">
        <v>25</v>
      </c>
      <c r="J126" s="425"/>
      <c r="K126" s="462"/>
      <c r="L126" s="425"/>
    </row>
    <row r="127" spans="1:12" ht="16.5" thickBot="1">
      <c r="A127" s="430" t="s">
        <v>7</v>
      </c>
      <c r="B127" s="420"/>
      <c r="C127" s="461" t="s">
        <v>309</v>
      </c>
      <c r="D127" s="462" t="s">
        <v>26</v>
      </c>
      <c r="E127" s="464"/>
      <c r="F127" s="462" t="s">
        <v>27</v>
      </c>
      <c r="H127" s="464"/>
      <c r="I127" s="426" t="s">
        <v>28</v>
      </c>
      <c r="J127" s="425"/>
      <c r="K127" s="462"/>
      <c r="L127" s="425"/>
    </row>
    <row r="128" spans="1:12">
      <c r="A128" s="426"/>
      <c r="B128" s="2" t="s">
        <v>912</v>
      </c>
      <c r="C128" s="425"/>
      <c r="D128" s="425"/>
      <c r="E128" s="425"/>
      <c r="F128" s="425"/>
      <c r="G128" s="425"/>
      <c r="H128" s="425"/>
      <c r="I128" s="425"/>
      <c r="J128" s="425"/>
      <c r="K128" s="425"/>
      <c r="L128" s="425"/>
    </row>
    <row r="129" spans="1:12">
      <c r="A129" s="426">
        <v>1</v>
      </c>
      <c r="B129" s="2" t="s">
        <v>913</v>
      </c>
      <c r="C129" s="565" t="s">
        <v>1173</v>
      </c>
      <c r="D129" s="439">
        <f>'Attachment 20 - O&amp;M and A&amp;G'!H39</f>
        <v>24932206.02</v>
      </c>
      <c r="E129" s="425"/>
      <c r="F129" s="425" t="s">
        <v>51</v>
      </c>
      <c r="G129" s="467">
        <f>I220</f>
        <v>0.94759107120517849</v>
      </c>
      <c r="H129" s="425"/>
      <c r="I129" s="468">
        <f t="shared" ref="I129:I135" si="2">+G129*D129</f>
        <v>23625535.809999999</v>
      </c>
      <c r="J129" s="480"/>
      <c r="K129" s="425"/>
      <c r="L129" s="426"/>
    </row>
    <row r="130" spans="1:12">
      <c r="A130" s="426">
        <v>2</v>
      </c>
      <c r="B130" s="420" t="s">
        <v>266</v>
      </c>
      <c r="C130" s="565" t="s">
        <v>1176</v>
      </c>
      <c r="D130" s="439">
        <f>'Attachment 20 - O&amp;M and A&amp;G'!H15+'Attachment 20 - O&amp;M and A&amp;G'!H19</f>
        <v>0</v>
      </c>
      <c r="E130" s="425"/>
      <c r="F130" s="565" t="s">
        <v>51</v>
      </c>
      <c r="G130" s="467">
        <f>I220</f>
        <v>0.94759107120517849</v>
      </c>
      <c r="H130" s="425"/>
      <c r="I130" s="468">
        <f t="shared" si="2"/>
        <v>0</v>
      </c>
      <c r="J130" s="420"/>
      <c r="K130" s="425"/>
      <c r="L130" s="426"/>
    </row>
    <row r="131" spans="1:12">
      <c r="A131" s="426">
        <v>3</v>
      </c>
      <c r="B131" s="420" t="s">
        <v>54</v>
      </c>
      <c r="C131" s="565" t="s">
        <v>1174</v>
      </c>
      <c r="D131" s="439">
        <f>'Attachment 20 - O&amp;M and A&amp;G'!H23</f>
        <v>0</v>
      </c>
      <c r="E131" s="425"/>
      <c r="F131" s="565" t="s">
        <v>51</v>
      </c>
      <c r="G131" s="467">
        <f>I220</f>
        <v>0.94759107120517849</v>
      </c>
      <c r="H131" s="425"/>
      <c r="I131" s="468">
        <f t="shared" si="2"/>
        <v>0</v>
      </c>
      <c r="J131" s="420"/>
      <c r="K131" s="425"/>
      <c r="L131" s="426"/>
    </row>
    <row r="132" spans="1:12">
      <c r="A132" s="426">
        <v>4</v>
      </c>
      <c r="B132" s="2" t="s">
        <v>914</v>
      </c>
      <c r="C132" s="565" t="s">
        <v>1175</v>
      </c>
      <c r="D132" s="439">
        <f>'Attachment 20 - O&amp;M and A&amp;G'!H71</f>
        <v>7249856.8200000003</v>
      </c>
      <c r="E132" s="425"/>
      <c r="F132" s="425" t="s">
        <v>36</v>
      </c>
      <c r="G132" s="467">
        <f>I228</f>
        <v>1</v>
      </c>
      <c r="H132" s="425"/>
      <c r="I132" s="468">
        <f t="shared" si="2"/>
        <v>7249856.8200000003</v>
      </c>
      <c r="J132" s="425"/>
      <c r="K132" s="425" t="s">
        <v>3</v>
      </c>
      <c r="L132" s="426"/>
    </row>
    <row r="133" spans="1:12">
      <c r="A133" s="426">
        <v>5</v>
      </c>
      <c r="B133" s="420" t="s">
        <v>55</v>
      </c>
      <c r="C133" s="425"/>
      <c r="D133" s="440"/>
      <c r="E133" s="425"/>
      <c r="F133" s="425" t="str">
        <f>+F132</f>
        <v>W/S</v>
      </c>
      <c r="G133" s="467">
        <f>I228</f>
        <v>1</v>
      </c>
      <c r="H133" s="425"/>
      <c r="I133" s="468">
        <f t="shared" si="2"/>
        <v>0</v>
      </c>
      <c r="J133" s="425"/>
      <c r="K133" s="425"/>
      <c r="L133" s="426"/>
    </row>
    <row r="134" spans="1:12">
      <c r="A134" s="426">
        <v>6</v>
      </c>
      <c r="B134" s="420" t="s">
        <v>267</v>
      </c>
      <c r="C134" s="425"/>
      <c r="D134" s="440"/>
      <c r="E134" s="425"/>
      <c r="F134" s="425" t="str">
        <f>+F133</f>
        <v>W/S</v>
      </c>
      <c r="G134" s="467">
        <f>I228</f>
        <v>1</v>
      </c>
      <c r="H134" s="425"/>
      <c r="I134" s="468">
        <f t="shared" si="2"/>
        <v>0</v>
      </c>
      <c r="J134" s="425"/>
      <c r="K134" s="425"/>
      <c r="L134" s="426"/>
    </row>
    <row r="135" spans="1:12">
      <c r="A135" s="426">
        <v>7</v>
      </c>
      <c r="B135" s="420" t="s">
        <v>268</v>
      </c>
      <c r="C135" s="425"/>
      <c r="D135" s="440"/>
      <c r="E135" s="425"/>
      <c r="F135" s="481" t="str">
        <f>+F129</f>
        <v>TE</v>
      </c>
      <c r="G135" s="467">
        <f>I220</f>
        <v>0.94759107120517849</v>
      </c>
      <c r="H135" s="425"/>
      <c r="I135" s="468">
        <f t="shared" si="2"/>
        <v>0</v>
      </c>
      <c r="J135" s="425"/>
      <c r="K135" s="425"/>
      <c r="L135" s="426"/>
    </row>
    <row r="136" spans="1:12">
      <c r="A136" s="568">
        <v>8</v>
      </c>
      <c r="B136" s="2" t="s">
        <v>328</v>
      </c>
      <c r="C136" s="565" t="s">
        <v>926</v>
      </c>
      <c r="D136" s="563">
        <f>'Attachment 6 - PBOP'!E16</f>
        <v>-130204.05102247157</v>
      </c>
      <c r="E136" s="425"/>
      <c r="F136" s="481" t="s">
        <v>416</v>
      </c>
      <c r="G136" s="467">
        <v>1</v>
      </c>
      <c r="H136" s="425"/>
      <c r="I136" s="468">
        <f>D136*G136</f>
        <v>-130204.05102247157</v>
      </c>
      <c r="J136" s="425"/>
      <c r="K136" s="425"/>
      <c r="L136" s="426"/>
    </row>
    <row r="137" spans="1:12">
      <c r="A137" s="568">
        <v>9</v>
      </c>
      <c r="B137" s="2" t="s">
        <v>37</v>
      </c>
      <c r="C137" s="571" t="s">
        <v>1103</v>
      </c>
      <c r="D137" s="572"/>
      <c r="E137" s="425"/>
      <c r="F137" s="425" t="s">
        <v>38</v>
      </c>
      <c r="G137" s="467">
        <f>K233</f>
        <v>1</v>
      </c>
      <c r="H137" s="425"/>
      <c r="I137" s="468">
        <f t="shared" ref="I137" si="3">+G137*D137</f>
        <v>0</v>
      </c>
      <c r="J137" s="425"/>
      <c r="K137" s="425"/>
      <c r="L137" s="426"/>
    </row>
    <row r="138" spans="1:12" ht="16.5" thickBot="1">
      <c r="A138" s="568">
        <v>10</v>
      </c>
      <c r="B138" s="2" t="s">
        <v>871</v>
      </c>
      <c r="C138" s="571" t="s">
        <v>873</v>
      </c>
      <c r="D138" s="564">
        <f>'Attachment 19 - Reg Asset'!M26</f>
        <v>390791.16794400057</v>
      </c>
      <c r="E138" s="425"/>
      <c r="F138" s="425" t="s">
        <v>416</v>
      </c>
      <c r="G138" s="467">
        <v>1</v>
      </c>
      <c r="H138" s="425"/>
      <c r="I138" s="469">
        <f>G138*D138</f>
        <v>390791.16794400057</v>
      </c>
      <c r="J138" s="425"/>
      <c r="K138" s="425"/>
      <c r="L138" s="426"/>
    </row>
    <row r="139" spans="1:12">
      <c r="A139" s="568">
        <v>11</v>
      </c>
      <c r="B139" s="2" t="s">
        <v>927</v>
      </c>
      <c r="C139" s="565"/>
      <c r="D139" s="563">
        <f>D129+D132+D136+D137-D130-D131-D133-D134+D135+D138</f>
        <v>32442649.956921529</v>
      </c>
      <c r="E139" s="425"/>
      <c r="F139" s="425"/>
      <c r="G139" s="425"/>
      <c r="H139" s="425"/>
      <c r="I139" s="977">
        <f>I129+I132+I136+I137-I130-I131-I133-I134+I135+I138</f>
        <v>31135979.746921528</v>
      </c>
      <c r="J139" s="425"/>
      <c r="K139" s="425"/>
      <c r="L139" s="425"/>
    </row>
    <row r="140" spans="1:12">
      <c r="A140" s="568"/>
      <c r="B140" s="1"/>
      <c r="C140" s="565"/>
      <c r="D140" s="573"/>
      <c r="E140" s="425"/>
      <c r="F140" s="425"/>
      <c r="G140" s="425"/>
      <c r="H140" s="425"/>
      <c r="I140" s="468"/>
      <c r="J140" s="425"/>
      <c r="K140" s="425"/>
      <c r="L140" s="425"/>
    </row>
    <row r="141" spans="1:12">
      <c r="A141" s="568"/>
      <c r="B141" s="2" t="s">
        <v>197</v>
      </c>
      <c r="C141" s="565"/>
      <c r="D141" s="573"/>
      <c r="E141" s="425"/>
      <c r="F141" s="425"/>
      <c r="G141" s="425"/>
      <c r="H141" s="425"/>
      <c r="I141" s="468"/>
      <c r="J141" s="425"/>
      <c r="K141" s="425"/>
      <c r="L141" s="425"/>
    </row>
    <row r="142" spans="1:12">
      <c r="A142" s="568">
        <v>12</v>
      </c>
      <c r="B142" s="2" t="s">
        <v>33</v>
      </c>
      <c r="C142" s="565" t="s">
        <v>1104</v>
      </c>
      <c r="D142" s="572">
        <v>19462034.331853196</v>
      </c>
      <c r="E142" s="425"/>
      <c r="F142" s="425" t="s">
        <v>13</v>
      </c>
      <c r="G142" s="467">
        <f>I211</f>
        <v>1</v>
      </c>
      <c r="H142" s="425"/>
      <c r="I142" s="468">
        <f>+G142*D142</f>
        <v>19462034.331853196</v>
      </c>
      <c r="J142" s="425"/>
      <c r="K142" s="471"/>
      <c r="L142" s="426"/>
    </row>
    <row r="143" spans="1:12">
      <c r="A143" s="568">
        <v>13</v>
      </c>
      <c r="B143" s="571" t="s">
        <v>35</v>
      </c>
      <c r="C143" s="565" t="s">
        <v>1105</v>
      </c>
      <c r="D143" s="572">
        <v>325214.67817275238</v>
      </c>
      <c r="E143" s="425"/>
      <c r="F143" s="425" t="s">
        <v>36</v>
      </c>
      <c r="G143" s="467">
        <f>I228</f>
        <v>1</v>
      </c>
      <c r="H143" s="425"/>
      <c r="I143" s="468">
        <f>+G143*D143</f>
        <v>325214.67817275238</v>
      </c>
      <c r="J143" s="425"/>
      <c r="K143" s="471"/>
      <c r="L143" s="426"/>
    </row>
    <row r="144" spans="1:12" ht="16.5" thickBot="1">
      <c r="A144" s="568">
        <v>14</v>
      </c>
      <c r="B144" s="2" t="str">
        <f>+B137</f>
        <v xml:space="preserve">  Common</v>
      </c>
      <c r="C144" s="565" t="s">
        <v>1106</v>
      </c>
      <c r="D144" s="984"/>
      <c r="E144" s="425"/>
      <c r="F144" s="425" t="s">
        <v>38</v>
      </c>
      <c r="G144" s="467">
        <f>K233</f>
        <v>1</v>
      </c>
      <c r="H144" s="425"/>
      <c r="I144" s="470">
        <f>+G144*D144</f>
        <v>0</v>
      </c>
      <c r="J144" s="425"/>
      <c r="K144" s="471"/>
      <c r="L144" s="426"/>
    </row>
    <row r="145" spans="1:12">
      <c r="A145" s="568">
        <v>15</v>
      </c>
      <c r="B145" s="2" t="s">
        <v>928</v>
      </c>
      <c r="C145" s="565"/>
      <c r="D145" s="573">
        <f>D142+D143+D144</f>
        <v>19787249.010025948</v>
      </c>
      <c r="E145" s="425"/>
      <c r="F145" s="425"/>
      <c r="G145" s="425"/>
      <c r="H145" s="425"/>
      <c r="I145" s="468">
        <f>I142+I143+I144</f>
        <v>19787249.010025948</v>
      </c>
      <c r="J145" s="425"/>
      <c r="K145" s="425"/>
      <c r="L145" s="425"/>
    </row>
    <row r="146" spans="1:12">
      <c r="A146" s="568"/>
      <c r="B146" s="2"/>
      <c r="C146" s="565"/>
      <c r="D146" s="573"/>
      <c r="E146" s="425"/>
      <c r="F146" s="425"/>
      <c r="G146" s="425"/>
      <c r="H146" s="425"/>
      <c r="I146" s="468"/>
      <c r="J146" s="425"/>
      <c r="K146" s="425"/>
      <c r="L146" s="425"/>
    </row>
    <row r="147" spans="1:12">
      <c r="A147" s="568" t="s">
        <v>3</v>
      </c>
      <c r="B147" s="2" t="s">
        <v>147</v>
      </c>
      <c r="C147" s="1"/>
      <c r="D147" s="573"/>
      <c r="E147" s="425"/>
      <c r="F147" s="425"/>
      <c r="G147" s="425"/>
      <c r="H147" s="425"/>
      <c r="I147" s="468"/>
      <c r="J147" s="425"/>
      <c r="K147" s="425"/>
      <c r="L147" s="425"/>
    </row>
    <row r="148" spans="1:12">
      <c r="A148" s="568"/>
      <c r="B148" s="2" t="s">
        <v>56</v>
      </c>
      <c r="C148" s="1"/>
      <c r="D148" s="573"/>
      <c r="E148" s="425"/>
      <c r="F148" s="425"/>
      <c r="H148" s="425"/>
      <c r="I148" s="468"/>
      <c r="J148" s="425"/>
      <c r="K148" s="471"/>
      <c r="L148" s="426"/>
    </row>
    <row r="149" spans="1:12">
      <c r="A149" s="568">
        <v>16</v>
      </c>
      <c r="B149" s="2" t="s">
        <v>57</v>
      </c>
      <c r="C149" s="565" t="s">
        <v>1107</v>
      </c>
      <c r="D149" s="563">
        <f>'Attachment 7 - Taxes Other '!D12</f>
        <v>158726.34999999995</v>
      </c>
      <c r="E149" s="425"/>
      <c r="F149" s="425" t="s">
        <v>36</v>
      </c>
      <c r="G149" s="437">
        <f>I228</f>
        <v>1</v>
      </c>
      <c r="H149" s="425"/>
      <c r="I149" s="468">
        <f>+G149*D149</f>
        <v>158726.34999999995</v>
      </c>
      <c r="J149" s="425"/>
      <c r="K149" s="471"/>
      <c r="L149" s="426"/>
    </row>
    <row r="150" spans="1:12">
      <c r="A150" s="568">
        <v>17</v>
      </c>
      <c r="B150" s="2" t="s">
        <v>59</v>
      </c>
      <c r="C150" s="565" t="s">
        <v>1108</v>
      </c>
      <c r="D150" s="563">
        <f>'Attachment 7 - Taxes Other '!D16</f>
        <v>0</v>
      </c>
      <c r="E150" s="425"/>
      <c r="F150" s="425" t="str">
        <f>+F149</f>
        <v>W/S</v>
      </c>
      <c r="G150" s="437">
        <f>I228</f>
        <v>1</v>
      </c>
      <c r="H150" s="425"/>
      <c r="I150" s="468">
        <f>+G150*D150</f>
        <v>0</v>
      </c>
      <c r="J150" s="425"/>
      <c r="K150" s="471"/>
      <c r="L150" s="426"/>
    </row>
    <row r="151" spans="1:12">
      <c r="A151" s="568">
        <v>18</v>
      </c>
      <c r="B151" s="2" t="s">
        <v>60</v>
      </c>
      <c r="C151" s="565" t="s">
        <v>3</v>
      </c>
      <c r="D151" s="563"/>
      <c r="E151" s="425"/>
      <c r="F151" s="425"/>
      <c r="H151" s="425"/>
      <c r="I151" s="468"/>
      <c r="J151" s="425"/>
      <c r="K151" s="471"/>
      <c r="L151" s="426"/>
    </row>
    <row r="152" spans="1:12">
      <c r="A152" s="568">
        <v>19</v>
      </c>
      <c r="B152" s="2" t="s">
        <v>61</v>
      </c>
      <c r="C152" s="565" t="s">
        <v>1109</v>
      </c>
      <c r="D152" s="563">
        <f>'Attachment 7 - Taxes Other '!D23</f>
        <v>424917.96</v>
      </c>
      <c r="E152" s="425"/>
      <c r="F152" s="425" t="s">
        <v>53</v>
      </c>
      <c r="G152" s="437">
        <f>+G61</f>
        <v>1</v>
      </c>
      <c r="H152" s="425"/>
      <c r="I152" s="468">
        <f>+G152*D152</f>
        <v>424917.96</v>
      </c>
      <c r="J152" s="425"/>
      <c r="K152" s="471"/>
      <c r="L152" s="421"/>
    </row>
    <row r="153" spans="1:12">
      <c r="A153" s="568">
        <v>20</v>
      </c>
      <c r="B153" s="2" t="s">
        <v>903</v>
      </c>
      <c r="C153" s="565" t="s">
        <v>1110</v>
      </c>
      <c r="D153" s="563">
        <f>'Attachment 7 - Taxes Other '!D28</f>
        <v>0</v>
      </c>
      <c r="E153" s="425"/>
      <c r="F153" s="425" t="str">
        <f>+F80</f>
        <v>NA</v>
      </c>
      <c r="G153" s="483"/>
      <c r="H153" s="425"/>
      <c r="I153" s="468">
        <v>0</v>
      </c>
      <c r="J153" s="425"/>
      <c r="K153" s="471"/>
      <c r="L153" s="426"/>
    </row>
    <row r="154" spans="1:12">
      <c r="A154" s="568">
        <v>21</v>
      </c>
      <c r="B154" s="2" t="s">
        <v>62</v>
      </c>
      <c r="C154" s="565" t="s">
        <v>1111</v>
      </c>
      <c r="D154" s="563">
        <f>'Attachment 7 - Taxes Other '!D35</f>
        <v>0</v>
      </c>
      <c r="E154" s="425"/>
      <c r="F154" s="425" t="str">
        <f>+F152</f>
        <v>GP</v>
      </c>
      <c r="G154" s="437">
        <f>+G61</f>
        <v>1</v>
      </c>
      <c r="H154" s="425"/>
      <c r="I154" s="468">
        <f>+G154*D154</f>
        <v>0</v>
      </c>
      <c r="J154" s="425"/>
      <c r="K154" s="471"/>
      <c r="L154" s="426"/>
    </row>
    <row r="155" spans="1:12" ht="16.5" thickBot="1">
      <c r="A155" s="568">
        <v>22</v>
      </c>
      <c r="B155" s="2" t="s">
        <v>63</v>
      </c>
      <c r="C155" s="565" t="s">
        <v>841</v>
      </c>
      <c r="D155" s="564">
        <f>'Attachment 7 - Taxes Other '!D37</f>
        <v>0</v>
      </c>
      <c r="E155" s="425"/>
      <c r="F155" s="425" t="s">
        <v>53</v>
      </c>
      <c r="G155" s="437">
        <f>+G61</f>
        <v>1</v>
      </c>
      <c r="H155" s="425"/>
      <c r="I155" s="470">
        <f>+G155*D155</f>
        <v>0</v>
      </c>
      <c r="J155" s="425"/>
      <c r="K155" s="471"/>
      <c r="L155" s="426"/>
    </row>
    <row r="156" spans="1:12">
      <c r="A156" s="568">
        <v>23</v>
      </c>
      <c r="B156" s="2" t="s">
        <v>929</v>
      </c>
      <c r="C156" s="565"/>
      <c r="D156" s="563">
        <f>SUM(D149:D155)</f>
        <v>583644.30999999994</v>
      </c>
      <c r="E156" s="425"/>
      <c r="F156" s="425"/>
      <c r="G156" s="437"/>
      <c r="H156" s="425"/>
      <c r="I156" s="468">
        <f>SUM(I149:I155)</f>
        <v>583644.30999999994</v>
      </c>
      <c r="J156" s="425"/>
      <c r="K156" s="425"/>
      <c r="L156" s="425"/>
    </row>
    <row r="157" spans="1:12">
      <c r="A157" s="568"/>
      <c r="B157" s="2"/>
      <c r="C157" s="565"/>
      <c r="D157" s="565"/>
      <c r="E157" s="425"/>
      <c r="F157" s="425"/>
      <c r="G157" s="437"/>
      <c r="H157" s="425"/>
      <c r="I157" s="451"/>
      <c r="J157" s="425"/>
      <c r="K157" s="425"/>
      <c r="L157" s="425"/>
    </row>
    <row r="158" spans="1:12">
      <c r="A158" s="568" t="s">
        <v>3</v>
      </c>
      <c r="B158" s="2" t="s">
        <v>64</v>
      </c>
      <c r="C158" s="565" t="s">
        <v>144</v>
      </c>
      <c r="D158" s="574"/>
      <c r="E158" s="425"/>
      <c r="G158" s="484"/>
      <c r="H158" s="425"/>
      <c r="I158" s="451"/>
      <c r="J158" s="425"/>
      <c r="L158" s="426"/>
    </row>
    <row r="159" spans="1:12">
      <c r="A159" s="568">
        <v>24</v>
      </c>
      <c r="B159" s="580" t="s">
        <v>65</v>
      </c>
      <c r="C159" s="565"/>
      <c r="D159" s="575">
        <f>IF(D312&gt;0,1-(((1-D313)*(1-D312))/(1-D313*D312*D314)),0)</f>
        <v>0.26917099999999994</v>
      </c>
      <c r="E159" s="464"/>
      <c r="G159" s="484"/>
      <c r="H159" s="425"/>
      <c r="I159" s="451"/>
      <c r="J159" s="425"/>
      <c r="L159" s="426"/>
    </row>
    <row r="160" spans="1:12">
      <c r="A160" s="568">
        <v>25</v>
      </c>
      <c r="B160" s="1" t="s">
        <v>816</v>
      </c>
      <c r="C160" s="565"/>
      <c r="D160" s="575">
        <f>IF(I263&gt;0,(D159/(1-D159))*(1-I260/I263),0)</f>
        <v>0.24293415809746774</v>
      </c>
      <c r="E160" s="425"/>
      <c r="G160" s="484"/>
      <c r="H160" s="425"/>
      <c r="I160" s="451"/>
      <c r="J160" s="425"/>
      <c r="K160" s="485"/>
      <c r="L160" s="426"/>
    </row>
    <row r="161" spans="1:12">
      <c r="A161" s="568"/>
      <c r="B161" s="2" t="s">
        <v>866</v>
      </c>
      <c r="C161" s="565"/>
      <c r="D161" s="565"/>
      <c r="E161" s="425"/>
      <c r="G161" s="484"/>
      <c r="H161" s="425"/>
      <c r="I161" s="451"/>
      <c r="J161" s="425"/>
      <c r="K161" s="485"/>
      <c r="L161" s="426"/>
    </row>
    <row r="162" spans="1:12">
      <c r="A162" s="568"/>
      <c r="B162" s="2" t="s">
        <v>66</v>
      </c>
      <c r="C162" s="565"/>
      <c r="D162" s="565"/>
      <c r="E162" s="425"/>
      <c r="G162" s="484"/>
      <c r="H162" s="425"/>
      <c r="I162" s="451"/>
      <c r="J162" s="425"/>
      <c r="K162" s="485"/>
      <c r="L162" s="426"/>
    </row>
    <row r="163" spans="1:12">
      <c r="A163" s="568">
        <v>26</v>
      </c>
      <c r="B163" s="580" t="s">
        <v>930</v>
      </c>
      <c r="C163" s="565"/>
      <c r="D163" s="77">
        <f>IF(D159&gt;0,1/(1-D159),0)</f>
        <v>1.3683091393472344</v>
      </c>
      <c r="E163" s="425"/>
      <c r="G163" s="484"/>
      <c r="H163" s="425"/>
      <c r="I163" s="468"/>
      <c r="J163" s="425"/>
      <c r="K163" s="485"/>
      <c r="L163" s="426"/>
    </row>
    <row r="164" spans="1:12">
      <c r="A164" s="568">
        <v>27</v>
      </c>
      <c r="B164" s="2" t="s">
        <v>269</v>
      </c>
      <c r="C164" s="565"/>
      <c r="D164" s="572"/>
      <c r="E164" s="425"/>
      <c r="G164" s="484"/>
      <c r="H164" s="425"/>
      <c r="I164" s="468"/>
      <c r="J164" s="425"/>
      <c r="K164" s="485"/>
      <c r="L164" s="426"/>
    </row>
    <row r="165" spans="1:12">
      <c r="A165" s="568">
        <v>28</v>
      </c>
      <c r="B165" s="2" t="s">
        <v>757</v>
      </c>
      <c r="C165" s="565" t="s">
        <v>1006</v>
      </c>
      <c r="D165" s="572">
        <v>167169</v>
      </c>
      <c r="E165" s="425"/>
      <c r="G165" s="484"/>
      <c r="H165" s="425"/>
      <c r="I165" s="468"/>
      <c r="J165" s="425"/>
      <c r="K165" s="485"/>
      <c r="L165" s="426"/>
    </row>
    <row r="166" spans="1:12">
      <c r="A166" s="568">
        <v>29</v>
      </c>
      <c r="B166" s="2" t="s">
        <v>758</v>
      </c>
      <c r="C166" s="565" t="s">
        <v>1007</v>
      </c>
      <c r="D166" s="563">
        <f>'Attach 15 - Excess_Def ADIT'!H107</f>
        <v>383336.12964486826</v>
      </c>
      <c r="E166" s="425"/>
      <c r="G166" s="484"/>
      <c r="H166" s="425"/>
      <c r="I166" s="468"/>
      <c r="J166" s="425"/>
      <c r="K166" s="485"/>
      <c r="L166" s="426"/>
    </row>
    <row r="167" spans="1:12">
      <c r="A167" s="568">
        <v>30</v>
      </c>
      <c r="B167" s="580" t="s">
        <v>931</v>
      </c>
      <c r="C167" s="576"/>
      <c r="D167" s="563">
        <f>D160*D173</f>
        <v>11023006.888092918</v>
      </c>
      <c r="E167" s="425"/>
      <c r="F167" s="425" t="s">
        <v>32</v>
      </c>
      <c r="G167" s="437"/>
      <c r="H167" s="425"/>
      <c r="I167" s="468">
        <f>D160*I173</f>
        <v>11023006.888092918</v>
      </c>
      <c r="J167" s="425"/>
      <c r="K167" s="486"/>
      <c r="L167" s="425"/>
    </row>
    <row r="168" spans="1:12">
      <c r="A168" s="568">
        <v>31</v>
      </c>
      <c r="B168" s="1" t="s">
        <v>932</v>
      </c>
      <c r="C168" s="576"/>
      <c r="D168" s="562">
        <f>D163*D164</f>
        <v>0</v>
      </c>
      <c r="E168" s="487"/>
      <c r="F168" s="827" t="s">
        <v>53</v>
      </c>
      <c r="G168" s="488">
        <f>+G61</f>
        <v>1</v>
      </c>
      <c r="H168" s="487"/>
      <c r="I168" s="477">
        <f>G168*D168</f>
        <v>0</v>
      </c>
      <c r="J168" s="425"/>
      <c r="K168" s="482"/>
      <c r="L168" s="425"/>
    </row>
    <row r="169" spans="1:12">
      <c r="A169" s="568">
        <v>32</v>
      </c>
      <c r="B169" s="1" t="s">
        <v>933</v>
      </c>
      <c r="C169" s="576"/>
      <c r="D169" s="562">
        <f>D163*D165</f>
        <v>228738.87051553783</v>
      </c>
      <c r="E169" s="487"/>
      <c r="F169" s="487" t="s">
        <v>329</v>
      </c>
      <c r="G169" s="488">
        <v>1</v>
      </c>
      <c r="H169" s="487"/>
      <c r="I169" s="477">
        <f>G169*D169</f>
        <v>228738.87051553783</v>
      </c>
      <c r="J169" s="425"/>
      <c r="K169" s="482"/>
      <c r="L169" s="425"/>
    </row>
    <row r="170" spans="1:12" ht="16.5" thickBot="1">
      <c r="A170" s="568">
        <v>33</v>
      </c>
      <c r="B170" s="1" t="s">
        <v>934</v>
      </c>
      <c r="C170" s="576"/>
      <c r="D170" s="564">
        <f>D163*D166</f>
        <v>524522.32963506959</v>
      </c>
      <c r="E170" s="487"/>
      <c r="F170" s="487" t="s">
        <v>329</v>
      </c>
      <c r="G170" s="488">
        <f>G169</f>
        <v>1</v>
      </c>
      <c r="H170" s="487"/>
      <c r="I170" s="470">
        <f>D170*G170</f>
        <v>524522.32963506959</v>
      </c>
      <c r="J170" s="425"/>
      <c r="K170" s="482"/>
      <c r="L170" s="425"/>
    </row>
    <row r="171" spans="1:12">
      <c r="A171" s="568">
        <v>34</v>
      </c>
      <c r="B171" s="580" t="s">
        <v>67</v>
      </c>
      <c r="C171" s="1" t="s">
        <v>935</v>
      </c>
      <c r="D171" s="625">
        <f>+D167+D168+D169+D170</f>
        <v>11776268.088243525</v>
      </c>
      <c r="E171" s="425"/>
      <c r="F171" s="425" t="s">
        <v>3</v>
      </c>
      <c r="G171" s="437" t="s">
        <v>3</v>
      </c>
      <c r="H171" s="425"/>
      <c r="I171" s="626">
        <f>+I167+I168+I169+I170</f>
        <v>11776268.088243525</v>
      </c>
      <c r="J171" s="425"/>
      <c r="K171" s="425"/>
      <c r="L171" s="425"/>
    </row>
    <row r="172" spans="1:12">
      <c r="A172" s="568" t="s">
        <v>3</v>
      </c>
      <c r="B172" s="1"/>
      <c r="C172" s="581"/>
      <c r="D172" s="573"/>
      <c r="E172" s="425"/>
      <c r="F172" s="425"/>
      <c r="G172" s="437"/>
      <c r="H172" s="425"/>
      <c r="I172" s="468"/>
      <c r="J172" s="425"/>
      <c r="K172" s="425"/>
      <c r="L172" s="425"/>
    </row>
    <row r="173" spans="1:12" ht="31.5">
      <c r="A173" s="568">
        <v>35</v>
      </c>
      <c r="B173" s="2" t="s">
        <v>68</v>
      </c>
      <c r="C173" s="828" t="s">
        <v>1112</v>
      </c>
      <c r="D173" s="573">
        <f>+$I263*D99</f>
        <v>45374462.670952894</v>
      </c>
      <c r="E173" s="425"/>
      <c r="F173" s="425" t="s">
        <v>32</v>
      </c>
      <c r="G173" s="484"/>
      <c r="H173" s="425"/>
      <c r="I173" s="468">
        <f>+$I263*I99</f>
        <v>45374462.670952894</v>
      </c>
      <c r="J173" s="425"/>
      <c r="L173" s="426"/>
    </row>
    <row r="174" spans="1:12">
      <c r="A174" s="568"/>
      <c r="B174" s="582"/>
      <c r="C174" s="1"/>
      <c r="D174" s="573"/>
      <c r="E174" s="425"/>
      <c r="F174" s="425"/>
      <c r="G174" s="484"/>
      <c r="H174" s="425"/>
      <c r="I174" s="468"/>
      <c r="J174" s="425"/>
      <c r="K174" s="471"/>
      <c r="L174" s="426"/>
    </row>
    <row r="175" spans="1:12">
      <c r="A175" s="568"/>
      <c r="B175" s="2"/>
      <c r="C175" s="1"/>
      <c r="D175" s="577"/>
      <c r="E175" s="425"/>
      <c r="F175" s="425"/>
      <c r="G175" s="484"/>
      <c r="H175" s="425"/>
      <c r="I175" s="477"/>
      <c r="J175" s="425"/>
      <c r="K175" s="471"/>
      <c r="L175" s="426"/>
    </row>
    <row r="176" spans="1:12" s="1" customFormat="1">
      <c r="A176" s="568">
        <v>36</v>
      </c>
      <c r="B176" s="583" t="s">
        <v>429</v>
      </c>
      <c r="C176" s="580" t="s">
        <v>1113</v>
      </c>
      <c r="D176" s="578">
        <f>+D139+D145+D156+D171+D173</f>
        <v>109964274.0361439</v>
      </c>
      <c r="E176" s="565"/>
      <c r="F176" s="565"/>
      <c r="G176" s="565"/>
      <c r="H176" s="565"/>
      <c r="I176" s="578">
        <f>+I139+I145+I156+I171+I173</f>
        <v>108657603.82614389</v>
      </c>
      <c r="J176" s="2"/>
      <c r="K176" s="2"/>
      <c r="L176" s="2"/>
    </row>
    <row r="177" spans="1:13" s="1" customFormat="1">
      <c r="A177" s="568"/>
      <c r="B177" s="580"/>
      <c r="C177" s="565"/>
      <c r="D177" s="565"/>
      <c r="E177" s="565"/>
      <c r="F177" s="565"/>
      <c r="G177" s="565"/>
      <c r="H177" s="565"/>
      <c r="I177" s="565"/>
      <c r="J177" s="2"/>
      <c r="K177" s="2"/>
      <c r="L177" s="2"/>
    </row>
    <row r="178" spans="1:13">
      <c r="A178" s="426">
        <v>37</v>
      </c>
      <c r="B178" s="2" t="s">
        <v>750</v>
      </c>
      <c r="C178" s="2" t="s">
        <v>842</v>
      </c>
      <c r="D178" s="446">
        <f>'Attach 2b - Incent ROE NITS'!AM31</f>
        <v>0</v>
      </c>
      <c r="E178" s="425"/>
      <c r="F178" s="565"/>
      <c r="G178" s="437"/>
      <c r="H178" s="425"/>
      <c r="I178" s="438">
        <f>D178</f>
        <v>0</v>
      </c>
      <c r="J178" s="420"/>
      <c r="K178" s="434"/>
      <c r="M178" s="420"/>
    </row>
    <row r="179" spans="1:13">
      <c r="A179" s="426">
        <v>38</v>
      </c>
      <c r="B179" s="2" t="s">
        <v>751</v>
      </c>
      <c r="C179" s="2" t="s">
        <v>843</v>
      </c>
      <c r="D179" s="446">
        <f>'Attachment 11 - TEC'!N83</f>
        <v>0</v>
      </c>
      <c r="E179" s="425"/>
      <c r="F179" s="565"/>
      <c r="G179" s="437"/>
      <c r="H179" s="425"/>
      <c r="I179" s="438">
        <f>D179</f>
        <v>0</v>
      </c>
      <c r="J179" s="420"/>
      <c r="K179" s="434"/>
      <c r="M179" s="420"/>
    </row>
    <row r="180" spans="1:13" s="1" customFormat="1">
      <c r="A180" s="568"/>
      <c r="B180" s="580"/>
      <c r="C180" s="565"/>
      <c r="D180" s="565"/>
      <c r="E180" s="565"/>
      <c r="F180" s="565"/>
      <c r="G180" s="565"/>
      <c r="H180" s="565"/>
      <c r="I180" s="565"/>
      <c r="J180" s="2"/>
      <c r="K180" s="2"/>
      <c r="L180" s="2"/>
    </row>
    <row r="181" spans="1:13" s="1" customFormat="1" ht="16.5" thickBot="1">
      <c r="A181" s="568"/>
      <c r="C181" s="565"/>
      <c r="J181" s="2"/>
      <c r="K181" s="2"/>
      <c r="L181" s="2"/>
    </row>
    <row r="182" spans="1:13" s="715" customFormat="1" ht="16.5" thickBot="1">
      <c r="A182" s="568">
        <v>39</v>
      </c>
      <c r="B182" s="580" t="s">
        <v>545</v>
      </c>
      <c r="C182" s="580" t="s">
        <v>936</v>
      </c>
      <c r="D182" s="579">
        <f>D176+D178+D179</f>
        <v>109964274.0361439</v>
      </c>
      <c r="E182" s="565"/>
      <c r="F182" s="565"/>
      <c r="G182" s="565"/>
      <c r="H182" s="565"/>
      <c r="I182" s="579">
        <f>I176+I178+I179</f>
        <v>108657603.82614389</v>
      </c>
      <c r="J182" s="714"/>
      <c r="K182" s="714"/>
      <c r="L182" s="714"/>
    </row>
    <row r="183" spans="1:13" ht="16.5" thickTop="1">
      <c r="A183" s="568"/>
      <c r="B183" s="582"/>
      <c r="C183" s="565"/>
      <c r="D183" s="565"/>
      <c r="E183" s="425"/>
      <c r="F183" s="425"/>
      <c r="G183" s="425"/>
      <c r="H183" s="425"/>
      <c r="I183" s="425"/>
      <c r="J183" s="420"/>
      <c r="K183" s="420"/>
      <c r="L183" s="420"/>
    </row>
    <row r="184" spans="1:13">
      <c r="A184" s="568"/>
      <c r="B184" s="580"/>
      <c r="C184" s="565"/>
      <c r="D184" s="565"/>
      <c r="E184" s="425"/>
      <c r="F184" s="425"/>
      <c r="G184" s="425"/>
      <c r="H184" s="425"/>
      <c r="I184" s="425"/>
      <c r="J184" s="420"/>
      <c r="K184" s="420"/>
      <c r="L184" s="420"/>
    </row>
    <row r="185" spans="1:13">
      <c r="A185" s="568"/>
      <c r="B185" s="580"/>
      <c r="C185" s="565"/>
      <c r="D185" s="565"/>
      <c r="E185" s="425"/>
      <c r="F185" s="425"/>
      <c r="G185" s="425"/>
      <c r="H185" s="425"/>
      <c r="I185" s="425"/>
      <c r="J185" s="420"/>
      <c r="K185" s="420"/>
      <c r="L185" s="420"/>
    </row>
    <row r="186" spans="1:13">
      <c r="A186" s="426"/>
      <c r="B186" s="475"/>
      <c r="C186" s="425"/>
      <c r="D186" s="425"/>
      <c r="E186" s="425"/>
      <c r="F186" s="425"/>
      <c r="G186" s="425"/>
      <c r="H186" s="425"/>
      <c r="I186" s="425"/>
      <c r="J186" s="420"/>
      <c r="K186" s="420"/>
      <c r="L186" s="420"/>
    </row>
    <row r="187" spans="1:13">
      <c r="A187" s="426"/>
      <c r="B187" s="475"/>
      <c r="C187" s="425"/>
      <c r="D187" s="425"/>
      <c r="E187" s="425"/>
      <c r="F187" s="425"/>
      <c r="G187" s="425"/>
      <c r="H187" s="425"/>
      <c r="I187" s="425"/>
      <c r="J187" s="420"/>
      <c r="K187" s="420"/>
      <c r="L187" s="420"/>
    </row>
    <row r="188" spans="1:13">
      <c r="A188" s="426"/>
      <c r="B188" s="475"/>
      <c r="C188" s="425"/>
      <c r="D188" s="425"/>
      <c r="E188" s="425"/>
      <c r="F188" s="425"/>
      <c r="G188" s="425"/>
      <c r="H188" s="425"/>
      <c r="I188" s="425"/>
      <c r="J188" s="420"/>
      <c r="K188" s="420"/>
      <c r="L188" s="420"/>
    </row>
    <row r="189" spans="1:13">
      <c r="A189" s="426"/>
      <c r="B189" s="475"/>
      <c r="C189" s="425"/>
      <c r="D189" s="425"/>
      <c r="E189" s="425"/>
      <c r="F189" s="425"/>
      <c r="G189" s="425"/>
      <c r="H189" s="425"/>
      <c r="I189" s="425"/>
      <c r="J189" s="420"/>
      <c r="K189" s="420"/>
      <c r="L189" s="420"/>
    </row>
    <row r="190" spans="1:13">
      <c r="A190" s="426"/>
      <c r="B190" s="475"/>
      <c r="C190" s="425"/>
      <c r="D190" s="425"/>
      <c r="E190" s="425"/>
      <c r="F190" s="425"/>
      <c r="G190" s="425"/>
      <c r="H190" s="425"/>
      <c r="I190" s="425"/>
      <c r="J190" s="420"/>
      <c r="K190" s="420"/>
      <c r="L190" s="420"/>
    </row>
    <row r="191" spans="1:13">
      <c r="A191" s="426"/>
      <c r="B191" s="475"/>
      <c r="C191" s="425"/>
      <c r="D191" s="425"/>
      <c r="E191" s="425"/>
      <c r="F191" s="425"/>
      <c r="G191" s="425"/>
      <c r="H191" s="425"/>
      <c r="I191" s="425"/>
      <c r="J191" s="420"/>
      <c r="K191" s="420"/>
      <c r="L191" s="420"/>
    </row>
    <row r="192" spans="1:13">
      <c r="A192" s="426"/>
      <c r="B192" s="475"/>
      <c r="C192" s="425"/>
      <c r="D192" s="425"/>
      <c r="E192" s="425"/>
      <c r="F192" s="425"/>
      <c r="G192" s="425"/>
      <c r="H192" s="425"/>
      <c r="I192" s="425"/>
      <c r="J192" s="420"/>
      <c r="K192" s="420"/>
      <c r="L192" s="420"/>
    </row>
    <row r="193" spans="1:12">
      <c r="A193" s="479"/>
      <c r="B193" s="420"/>
      <c r="C193" s="425"/>
      <c r="D193" s="425"/>
      <c r="E193" s="425"/>
      <c r="F193" s="425"/>
      <c r="G193" s="471"/>
      <c r="H193" s="425"/>
      <c r="I193" s="425"/>
      <c r="J193" s="425"/>
      <c r="K193" s="465"/>
    </row>
    <row r="194" spans="1:12">
      <c r="A194" s="479"/>
      <c r="B194" s="420"/>
      <c r="C194" s="425"/>
      <c r="D194" s="425"/>
      <c r="E194" s="425"/>
      <c r="F194" s="425"/>
      <c r="G194" s="471"/>
      <c r="H194" s="425"/>
      <c r="I194" s="425"/>
      <c r="J194" s="425"/>
      <c r="K194" s="465"/>
    </row>
    <row r="195" spans="1:12">
      <c r="B195" s="420"/>
      <c r="C195" s="420"/>
      <c r="D195" s="421"/>
      <c r="E195" s="420"/>
      <c r="F195" s="420"/>
      <c r="G195" s="420"/>
      <c r="H195" s="420"/>
      <c r="I195" s="426"/>
      <c r="J195" s="426"/>
      <c r="K195" s="422"/>
      <c r="L195" s="420"/>
    </row>
    <row r="196" spans="1:12">
      <c r="B196" s="420"/>
      <c r="C196" s="420"/>
      <c r="D196" s="421"/>
      <c r="E196" s="420"/>
      <c r="F196" s="420"/>
      <c r="G196" s="420"/>
      <c r="H196" s="420"/>
      <c r="I196" s="422"/>
      <c r="J196" s="422"/>
      <c r="K196" s="422"/>
      <c r="L196" s="420"/>
    </row>
    <row r="197" spans="1:12" ht="16.5" customHeight="1">
      <c r="B197" s="420"/>
      <c r="C197" s="420"/>
      <c r="D197" s="421"/>
      <c r="E197" s="420"/>
      <c r="F197" s="420"/>
      <c r="G197" s="420"/>
      <c r="H197" s="420"/>
      <c r="I197" s="420"/>
      <c r="K197" s="422" t="str">
        <f>K118</f>
        <v>Attachment H-34A</v>
      </c>
      <c r="L197" s="420"/>
    </row>
    <row r="198" spans="1:12" ht="16.5" customHeight="1">
      <c r="B198" s="420"/>
      <c r="C198" s="420"/>
      <c r="D198" s="421"/>
      <c r="E198" s="420"/>
      <c r="F198" s="420"/>
      <c r="G198" s="420"/>
      <c r="H198" s="420"/>
      <c r="I198" s="420"/>
      <c r="J198" s="420"/>
      <c r="K198" s="422" t="s">
        <v>141</v>
      </c>
      <c r="L198" s="420"/>
    </row>
    <row r="199" spans="1:12" ht="16.5" customHeight="1">
      <c r="B199" s="420"/>
      <c r="C199" s="420"/>
      <c r="D199" s="421"/>
      <c r="E199" s="420"/>
      <c r="F199" s="420"/>
      <c r="G199" s="420"/>
      <c r="H199" s="420"/>
      <c r="I199" s="420"/>
      <c r="J199" s="420"/>
      <c r="K199" s="422"/>
      <c r="L199" s="420"/>
    </row>
    <row r="200" spans="1:12">
      <c r="B200" s="420" t="s">
        <v>1</v>
      </c>
      <c r="C200" s="420"/>
      <c r="D200" s="421" t="s">
        <v>2</v>
      </c>
      <c r="E200" s="420"/>
      <c r="F200" s="420"/>
      <c r="G200" s="420"/>
      <c r="H200" s="420"/>
      <c r="I200" s="420"/>
      <c r="J200" s="420"/>
      <c r="K200" s="422" t="str">
        <f>K4</f>
        <v>For the 12 months ended 12/31/2026</v>
      </c>
      <c r="L200" s="420"/>
    </row>
    <row r="201" spans="1:12">
      <c r="B201" s="420"/>
      <c r="C201" s="425" t="s">
        <v>3</v>
      </c>
      <c r="D201" s="425" t="s">
        <v>4</v>
      </c>
      <c r="E201" s="425"/>
      <c r="F201" s="425"/>
      <c r="G201" s="425"/>
      <c r="H201" s="420"/>
      <c r="I201" s="420"/>
      <c r="J201" s="420"/>
      <c r="K201" s="420"/>
      <c r="L201" s="420"/>
    </row>
    <row r="202" spans="1:12" ht="9.75" customHeight="1">
      <c r="A202" s="426"/>
      <c r="J202" s="425"/>
      <c r="K202" s="425"/>
      <c r="L202" s="425"/>
    </row>
    <row r="203" spans="1:12">
      <c r="A203" s="426"/>
      <c r="D203" s="419" t="str">
        <f>D7</f>
        <v>Keystone Appalachian Transmission Company</v>
      </c>
      <c r="J203" s="425"/>
      <c r="K203" s="425"/>
      <c r="L203" s="425"/>
    </row>
    <row r="204" spans="1:12">
      <c r="A204" s="426"/>
      <c r="C204" s="466" t="s">
        <v>69</v>
      </c>
      <c r="E204" s="420"/>
      <c r="F204" s="420"/>
      <c r="G204" s="420"/>
      <c r="H204" s="420"/>
      <c r="I204" s="420"/>
      <c r="J204" s="425"/>
      <c r="K204" s="425"/>
      <c r="L204" s="425"/>
    </row>
    <row r="205" spans="1:12">
      <c r="A205" s="426" t="s">
        <v>5</v>
      </c>
      <c r="B205" s="426" t="s">
        <v>19</v>
      </c>
      <c r="C205" s="426" t="s">
        <v>20</v>
      </c>
      <c r="D205" s="426" t="s">
        <v>21</v>
      </c>
      <c r="E205" s="429" t="s">
        <v>22</v>
      </c>
      <c r="F205" s="425"/>
      <c r="G205" s="429" t="s">
        <v>23</v>
      </c>
      <c r="H205" s="425"/>
      <c r="I205" s="429" t="s">
        <v>24</v>
      </c>
      <c r="J205" s="425"/>
      <c r="L205" s="425"/>
    </row>
    <row r="206" spans="1:12" ht="16.5" thickBot="1">
      <c r="A206" s="430" t="s">
        <v>7</v>
      </c>
      <c r="B206" s="420" t="s">
        <v>70</v>
      </c>
      <c r="C206" s="420"/>
      <c r="D206" s="420"/>
      <c r="E206" s="420"/>
      <c r="F206" s="420"/>
      <c r="G206" s="420"/>
      <c r="J206" s="425"/>
      <c r="K206" s="425"/>
      <c r="L206" s="425"/>
    </row>
    <row r="207" spans="1:12">
      <c r="A207" s="426">
        <v>1</v>
      </c>
      <c r="B207" s="420" t="s">
        <v>844</v>
      </c>
      <c r="C207" s="420"/>
      <c r="D207" s="425"/>
      <c r="E207" s="425"/>
      <c r="F207" s="425"/>
      <c r="G207" s="425"/>
      <c r="H207" s="425"/>
      <c r="I207" s="439">
        <f>D57</f>
        <v>908168494.65951431</v>
      </c>
      <c r="J207" s="425"/>
      <c r="K207" s="425"/>
      <c r="L207" s="425"/>
    </row>
    <row r="208" spans="1:12">
      <c r="A208" s="426">
        <v>2</v>
      </c>
      <c r="B208" s="420" t="s">
        <v>270</v>
      </c>
      <c r="I208" s="440"/>
      <c r="J208" s="425"/>
      <c r="K208" s="425"/>
      <c r="L208" s="425"/>
    </row>
    <row r="209" spans="1:12" ht="16.5" thickBot="1">
      <c r="A209" s="426">
        <v>3</v>
      </c>
      <c r="B209" s="489" t="s">
        <v>271</v>
      </c>
      <c r="C209" s="489"/>
      <c r="D209" s="425"/>
      <c r="E209" s="425"/>
      <c r="F209" s="425"/>
      <c r="G209" s="478"/>
      <c r="H209" s="425"/>
      <c r="I209" s="490"/>
      <c r="J209" s="425"/>
      <c r="K209" s="425"/>
      <c r="L209" s="425"/>
    </row>
    <row r="210" spans="1:12">
      <c r="A210" s="426">
        <v>4</v>
      </c>
      <c r="B210" s="420" t="s">
        <v>845</v>
      </c>
      <c r="C210" s="420"/>
      <c r="D210" s="425"/>
      <c r="E210" s="425"/>
      <c r="F210" s="425"/>
      <c r="G210" s="478"/>
      <c r="H210" s="425"/>
      <c r="I210" s="439">
        <f>I207-I208-I209</f>
        <v>908168494.65951431</v>
      </c>
      <c r="J210" s="425"/>
      <c r="K210" s="425"/>
      <c r="L210" s="425"/>
    </row>
    <row r="211" spans="1:12">
      <c r="A211" s="426">
        <v>5</v>
      </c>
      <c r="B211" s="420" t="s">
        <v>846</v>
      </c>
      <c r="C211" s="427"/>
      <c r="D211" s="427"/>
      <c r="E211" s="427"/>
      <c r="F211" s="427"/>
      <c r="G211" s="429"/>
      <c r="H211" s="425" t="s">
        <v>71</v>
      </c>
      <c r="I211" s="491">
        <f>IF(I207&gt;0,I210/I207,0)</f>
        <v>1</v>
      </c>
      <c r="J211" s="425"/>
      <c r="K211" s="425"/>
      <c r="L211" s="425"/>
    </row>
    <row r="212" spans="1:12" ht="9.75" customHeight="1">
      <c r="A212" s="426"/>
      <c r="B212" s="420"/>
      <c r="C212" s="427"/>
      <c r="D212" s="427"/>
      <c r="E212" s="427"/>
      <c r="F212" s="427"/>
      <c r="G212" s="429"/>
      <c r="H212" s="425"/>
      <c r="I212" s="491"/>
      <c r="J212" s="425"/>
      <c r="K212" s="425"/>
      <c r="L212" s="425"/>
    </row>
    <row r="213" spans="1:12">
      <c r="A213" s="426"/>
      <c r="B213" s="420" t="s">
        <v>72</v>
      </c>
      <c r="J213" s="425"/>
      <c r="K213" s="425"/>
      <c r="L213" s="425"/>
    </row>
    <row r="214" spans="1:12" ht="9.75" customHeight="1">
      <c r="A214" s="426"/>
      <c r="J214" s="425"/>
      <c r="K214" s="425"/>
      <c r="L214" s="425"/>
    </row>
    <row r="215" spans="1:12" ht="15.6" customHeight="1">
      <c r="A215" s="426">
        <v>6</v>
      </c>
      <c r="B215" s="419" t="s">
        <v>847</v>
      </c>
      <c r="D215" s="420"/>
      <c r="E215" s="420"/>
      <c r="F215" s="420"/>
      <c r="G215" s="426"/>
      <c r="H215" s="420"/>
      <c r="I215" s="439">
        <f>D129</f>
        <v>24932206.02</v>
      </c>
      <c r="J215" s="565"/>
      <c r="K215" s="425"/>
      <c r="L215" s="425"/>
    </row>
    <row r="216" spans="1:12" ht="16.5" thickBot="1">
      <c r="A216" s="426">
        <v>7</v>
      </c>
      <c r="B216" s="762" t="s">
        <v>1138</v>
      </c>
      <c r="C216" s="489"/>
      <c r="D216" s="425"/>
      <c r="E216" s="425"/>
      <c r="F216" s="425"/>
      <c r="G216" s="425"/>
      <c r="H216" s="425"/>
      <c r="I216" s="469">
        <f>'Attachment 20 - O&amp;M and A&amp;G'!H12+'Attachment 20 - O&amp;M and A&amp;G'!H13+'Attachment 20 - O&amp;M and A&amp;G'!H14</f>
        <v>1306670.21</v>
      </c>
      <c r="J216" s="425"/>
      <c r="K216" s="425"/>
      <c r="L216" s="425"/>
    </row>
    <row r="217" spans="1:12">
      <c r="A217" s="426">
        <v>8</v>
      </c>
      <c r="B217" s="420" t="s">
        <v>848</v>
      </c>
      <c r="C217" s="427"/>
      <c r="D217" s="427"/>
      <c r="E217" s="427"/>
      <c r="F217" s="427"/>
      <c r="G217" s="429"/>
      <c r="H217" s="427"/>
      <c r="I217" s="439">
        <f>SUM(I215-I216)</f>
        <v>23625535.809999999</v>
      </c>
      <c r="L217" s="425"/>
    </row>
    <row r="218" spans="1:12" ht="15.6" customHeight="1">
      <c r="A218" s="426">
        <v>9</v>
      </c>
      <c r="B218" s="420" t="s">
        <v>849</v>
      </c>
      <c r="C218" s="420"/>
      <c r="D218" s="590"/>
      <c r="E218" s="425"/>
      <c r="F218" s="425"/>
      <c r="G218" s="425"/>
      <c r="H218" s="425"/>
      <c r="I218" s="467">
        <f>IF(I215&gt;0,I217/I215,0)</f>
        <v>0.94759107120517849</v>
      </c>
      <c r="L218" s="425"/>
    </row>
    <row r="219" spans="1:12" ht="15" customHeight="1">
      <c r="A219" s="426">
        <v>10</v>
      </c>
      <c r="B219" s="420" t="s">
        <v>850</v>
      </c>
      <c r="C219" s="420"/>
      <c r="D219" s="591"/>
      <c r="E219" s="425"/>
      <c r="F219" s="425"/>
      <c r="G219" s="425"/>
      <c r="H219" s="420" t="s">
        <v>13</v>
      </c>
      <c r="I219" s="467">
        <f>I211</f>
        <v>1</v>
      </c>
      <c r="L219" s="425"/>
    </row>
    <row r="220" spans="1:12">
      <c r="A220" s="426">
        <v>11</v>
      </c>
      <c r="B220" s="420" t="s">
        <v>851</v>
      </c>
      <c r="C220" s="420"/>
      <c r="D220" s="591"/>
      <c r="E220" s="420"/>
      <c r="F220" s="420"/>
      <c r="G220" s="420"/>
      <c r="H220" s="420" t="s">
        <v>73</v>
      </c>
      <c r="I220" s="437">
        <f>+I219*I218</f>
        <v>0.94759107120517849</v>
      </c>
      <c r="L220" s="425"/>
    </row>
    <row r="221" spans="1:12" ht="9.75" customHeight="1">
      <c r="A221" s="426"/>
      <c r="C221" s="420"/>
      <c r="D221" s="591"/>
      <c r="E221" s="425"/>
      <c r="F221" s="425"/>
      <c r="G221" s="478"/>
      <c r="H221" s="425"/>
      <c r="L221" s="425"/>
    </row>
    <row r="222" spans="1:12">
      <c r="A222" s="426" t="s">
        <v>3</v>
      </c>
      <c r="B222" s="420" t="s">
        <v>74</v>
      </c>
      <c r="C222" s="425"/>
      <c r="D222" s="425"/>
      <c r="E222" s="425"/>
      <c r="F222" s="425"/>
      <c r="G222" s="425"/>
      <c r="H222" s="425"/>
      <c r="I222" s="425"/>
      <c r="J222" s="425"/>
      <c r="K222" s="425"/>
      <c r="L222" s="425"/>
    </row>
    <row r="223" spans="1:12" ht="16.5" thickBot="1">
      <c r="A223" s="426" t="s">
        <v>3</v>
      </c>
      <c r="B223" s="420"/>
      <c r="C223" s="492" t="s">
        <v>75</v>
      </c>
      <c r="D223" s="450" t="s">
        <v>76</v>
      </c>
      <c r="E223" s="450" t="s">
        <v>13</v>
      </c>
      <c r="F223" s="425"/>
      <c r="G223" s="450" t="s">
        <v>77</v>
      </c>
      <c r="H223" s="425"/>
      <c r="I223" s="425"/>
      <c r="J223" s="425"/>
      <c r="K223" s="425"/>
      <c r="L223" s="425"/>
    </row>
    <row r="224" spans="1:12">
      <c r="A224" s="426">
        <v>12</v>
      </c>
      <c r="B224" s="420" t="s">
        <v>31</v>
      </c>
      <c r="C224" s="425" t="s">
        <v>135</v>
      </c>
      <c r="D224" s="440"/>
      <c r="E224" s="493">
        <v>0</v>
      </c>
      <c r="F224" s="493"/>
      <c r="G224" s="468">
        <f>D224*E224</f>
        <v>0</v>
      </c>
      <c r="H224" s="425"/>
      <c r="I224" s="425"/>
      <c r="J224" s="425"/>
      <c r="K224" s="425"/>
      <c r="L224" s="425"/>
    </row>
    <row r="225" spans="1:17">
      <c r="A225" s="426">
        <v>13</v>
      </c>
      <c r="B225" s="420" t="s">
        <v>33</v>
      </c>
      <c r="C225" s="425" t="s">
        <v>136</v>
      </c>
      <c r="D225" s="440"/>
      <c r="E225" s="493">
        <f>+I211</f>
        <v>1</v>
      </c>
      <c r="F225" s="493"/>
      <c r="G225" s="468">
        <f>D225*E225</f>
        <v>0</v>
      </c>
      <c r="H225" s="425"/>
      <c r="I225" s="425"/>
      <c r="J225" s="425"/>
      <c r="K225" s="425"/>
      <c r="L225" s="425"/>
    </row>
    <row r="226" spans="1:17">
      <c r="A226" s="426">
        <v>14</v>
      </c>
      <c r="B226" s="420" t="s">
        <v>34</v>
      </c>
      <c r="C226" s="425" t="s">
        <v>137</v>
      </c>
      <c r="D226" s="440"/>
      <c r="E226" s="493">
        <v>0</v>
      </c>
      <c r="F226" s="493"/>
      <c r="G226" s="468">
        <f>D226*E226</f>
        <v>0</v>
      </c>
      <c r="H226" s="425"/>
      <c r="I226" s="478" t="s">
        <v>78</v>
      </c>
      <c r="J226" s="425"/>
      <c r="K226" s="425"/>
      <c r="L226" s="425"/>
    </row>
    <row r="227" spans="1:17" ht="16.5" thickBot="1">
      <c r="A227" s="426">
        <v>15</v>
      </c>
      <c r="B227" s="420" t="s">
        <v>79</v>
      </c>
      <c r="C227" s="565" t="s">
        <v>618</v>
      </c>
      <c r="D227" s="490"/>
      <c r="E227" s="493">
        <v>0</v>
      </c>
      <c r="F227" s="493"/>
      <c r="G227" s="470">
        <f>D227*E227</f>
        <v>0</v>
      </c>
      <c r="H227" s="425"/>
      <c r="I227" s="430" t="s">
        <v>80</v>
      </c>
      <c r="J227" s="425"/>
      <c r="K227" s="425"/>
      <c r="L227" s="425"/>
    </row>
    <row r="228" spans="1:17">
      <c r="A228" s="426">
        <v>16</v>
      </c>
      <c r="B228" s="420" t="s">
        <v>852</v>
      </c>
      <c r="C228" s="425"/>
      <c r="D228" s="439">
        <f>SUM(D224:D227)</f>
        <v>0</v>
      </c>
      <c r="E228" s="425"/>
      <c r="F228" s="425"/>
      <c r="G228" s="468">
        <f>SUM(G224:G227)</f>
        <v>0</v>
      </c>
      <c r="H228" s="426" t="s">
        <v>81</v>
      </c>
      <c r="I228" s="467">
        <f>IF(G228&gt;0,G228/D228,1)</f>
        <v>1</v>
      </c>
      <c r="J228" s="494" t="s">
        <v>149</v>
      </c>
      <c r="K228" s="425"/>
      <c r="L228" s="425"/>
    </row>
    <row r="229" spans="1:17" ht="24" customHeight="1">
      <c r="A229" s="426"/>
      <c r="B229" s="420"/>
      <c r="C229" s="425"/>
      <c r="D229" s="425"/>
      <c r="E229" s="425"/>
      <c r="F229" s="425"/>
      <c r="G229" s="425"/>
      <c r="H229" s="425"/>
      <c r="I229" s="425"/>
      <c r="J229" s="425"/>
      <c r="K229" s="425"/>
      <c r="L229" s="425"/>
    </row>
    <row r="230" spans="1:17">
      <c r="A230" s="426"/>
      <c r="B230" s="420" t="s">
        <v>148</v>
      </c>
      <c r="C230" s="425"/>
      <c r="D230" s="425"/>
      <c r="E230" s="425"/>
      <c r="F230" s="425"/>
      <c r="G230" s="425"/>
      <c r="H230" s="425"/>
      <c r="I230" s="425"/>
      <c r="J230" s="425"/>
      <c r="K230" s="425"/>
      <c r="L230" s="425"/>
    </row>
    <row r="231" spans="1:17">
      <c r="A231" s="426"/>
      <c r="B231" s="420"/>
      <c r="C231" s="425"/>
      <c r="D231" s="495" t="s">
        <v>76</v>
      </c>
      <c r="E231" s="425"/>
      <c r="F231" s="425"/>
      <c r="G231" s="478" t="s">
        <v>82</v>
      </c>
      <c r="H231" s="484" t="s">
        <v>3</v>
      </c>
      <c r="I231" s="471" t="str">
        <f>+I226</f>
        <v>W&amp;S Allocator</v>
      </c>
      <c r="L231" s="425"/>
    </row>
    <row r="232" spans="1:17">
      <c r="A232" s="426">
        <v>17</v>
      </c>
      <c r="B232" s="420" t="s">
        <v>83</v>
      </c>
      <c r="C232" s="425" t="s">
        <v>84</v>
      </c>
      <c r="D232" s="496"/>
      <c r="E232" s="425"/>
      <c r="G232" s="426" t="s">
        <v>853</v>
      </c>
      <c r="H232" s="484"/>
      <c r="I232" s="426" t="s">
        <v>854</v>
      </c>
      <c r="J232" s="425"/>
      <c r="K232" s="426" t="s">
        <v>38</v>
      </c>
      <c r="L232" s="425"/>
    </row>
    <row r="233" spans="1:17">
      <c r="A233" s="426">
        <v>18</v>
      </c>
      <c r="B233" s="420" t="s">
        <v>85</v>
      </c>
      <c r="C233" s="425" t="s">
        <v>86</v>
      </c>
      <c r="D233" s="496"/>
      <c r="E233" s="425"/>
      <c r="G233" s="437">
        <f>IF(D235&gt;0,D232/D235,1)</f>
        <v>1</v>
      </c>
      <c r="H233" s="478" t="s">
        <v>87</v>
      </c>
      <c r="I233" s="437">
        <f>I228</f>
        <v>1</v>
      </c>
      <c r="J233" s="484" t="s">
        <v>81</v>
      </c>
      <c r="K233" s="437">
        <f>G233*I233</f>
        <v>1</v>
      </c>
      <c r="L233" s="497"/>
      <c r="M233" s="497"/>
      <c r="N233" s="498"/>
      <c r="O233" s="499"/>
      <c r="P233" s="499"/>
      <c r="Q233" s="499"/>
    </row>
    <row r="234" spans="1:17" ht="16.5" thickBot="1">
      <c r="A234" s="426">
        <v>19</v>
      </c>
      <c r="B234" s="489" t="s">
        <v>88</v>
      </c>
      <c r="C234" s="492" t="s">
        <v>89</v>
      </c>
      <c r="D234" s="500"/>
      <c r="E234" s="425"/>
      <c r="F234" s="425"/>
      <c r="G234" s="425" t="s">
        <v>3</v>
      </c>
      <c r="H234" s="425"/>
      <c r="I234" s="425"/>
      <c r="J234" s="425"/>
      <c r="K234" s="425"/>
      <c r="L234" s="501"/>
      <c r="M234" s="501"/>
      <c r="N234" s="499"/>
      <c r="O234" s="499"/>
      <c r="P234" s="499"/>
      <c r="Q234" s="499"/>
    </row>
    <row r="235" spans="1:17">
      <c r="A235" s="426">
        <v>20</v>
      </c>
      <c r="B235" s="420" t="s">
        <v>855</v>
      </c>
      <c r="C235" s="425"/>
      <c r="D235" s="457">
        <f>SUM(D232:D234)</f>
        <v>0</v>
      </c>
      <c r="E235" s="425"/>
      <c r="F235" s="425"/>
      <c r="G235" s="425"/>
      <c r="H235" s="425"/>
      <c r="I235" s="425"/>
      <c r="J235" s="425"/>
      <c r="K235" s="425"/>
      <c r="M235" s="502"/>
      <c r="N235" s="503"/>
      <c r="O235" s="504"/>
      <c r="P235" s="502"/>
      <c r="Q235" s="502"/>
    </row>
    <row r="236" spans="1:17">
      <c r="A236" s="426"/>
      <c r="B236" s="420"/>
      <c r="C236" s="425"/>
      <c r="D236" s="457"/>
      <c r="E236" s="425"/>
      <c r="F236" s="425"/>
      <c r="G236" s="425"/>
      <c r="H236" s="425"/>
      <c r="I236" s="425"/>
      <c r="J236" s="425"/>
      <c r="K236" s="425"/>
      <c r="M236" s="502"/>
      <c r="N236" s="503"/>
      <c r="O236" s="504"/>
      <c r="P236" s="502"/>
      <c r="Q236" s="502"/>
    </row>
    <row r="237" spans="1:17">
      <c r="A237" s="426"/>
      <c r="B237" s="2" t="s">
        <v>765</v>
      </c>
      <c r="C237" s="425"/>
      <c r="E237" s="425"/>
      <c r="F237" s="425"/>
      <c r="G237" s="425"/>
      <c r="H237" s="425"/>
      <c r="I237" s="425"/>
      <c r="J237" s="425"/>
      <c r="K237" s="425"/>
      <c r="L237" s="1013"/>
      <c r="M237" s="1013"/>
      <c r="N237" s="1013"/>
      <c r="O237" s="1013"/>
      <c r="P237" s="1013"/>
      <c r="Q237" s="1013"/>
    </row>
    <row r="238" spans="1:17">
      <c r="A238" s="426"/>
      <c r="B238" s="2"/>
      <c r="C238" s="425"/>
      <c r="E238" s="425"/>
      <c r="F238" s="425"/>
      <c r="G238" s="425"/>
      <c r="H238" s="425"/>
      <c r="I238" s="425"/>
      <c r="J238" s="425"/>
      <c r="K238" s="425"/>
      <c r="L238" s="716"/>
      <c r="M238" s="716"/>
      <c r="N238" s="716"/>
      <c r="O238" s="716"/>
      <c r="P238" s="716"/>
      <c r="Q238" s="716"/>
    </row>
    <row r="239" spans="1:17">
      <c r="A239" s="426">
        <v>21</v>
      </c>
      <c r="B239" s="2" t="s">
        <v>788</v>
      </c>
      <c r="C239" s="425"/>
      <c r="E239" s="425"/>
      <c r="F239" s="425"/>
      <c r="G239" s="425"/>
      <c r="H239" s="425"/>
      <c r="I239" s="425"/>
      <c r="J239" s="425"/>
      <c r="K239" s="425"/>
      <c r="L239" s="716"/>
      <c r="M239" s="716"/>
      <c r="N239" s="716"/>
      <c r="O239" s="716"/>
      <c r="P239" s="716"/>
      <c r="Q239" s="716"/>
    </row>
    <row r="240" spans="1:17">
      <c r="A240" s="426">
        <v>22</v>
      </c>
      <c r="B240" s="2" t="s">
        <v>170</v>
      </c>
      <c r="C240" s="2" t="s">
        <v>937</v>
      </c>
      <c r="E240" s="425"/>
      <c r="F240" s="425"/>
      <c r="G240" s="425"/>
      <c r="H240" s="425"/>
      <c r="I240" s="425">
        <f>IF(I171=0, 0, I171/I73)</f>
        <v>1.7337376370383795E-2</v>
      </c>
      <c r="J240" s="425"/>
      <c r="K240" s="425"/>
      <c r="L240" s="716"/>
      <c r="M240" s="716"/>
      <c r="N240" s="716"/>
      <c r="O240" s="716"/>
      <c r="P240" s="716"/>
      <c r="Q240" s="716"/>
    </row>
    <row r="241" spans="1:17">
      <c r="A241" s="426">
        <v>23</v>
      </c>
      <c r="B241" s="2" t="s">
        <v>174</v>
      </c>
      <c r="C241" s="2" t="s">
        <v>938</v>
      </c>
      <c r="E241" s="425"/>
      <c r="F241" s="425"/>
      <c r="G241" s="425"/>
      <c r="H241" s="425"/>
      <c r="I241" s="425">
        <f>IF(I173=0, 0, I173/I73)</f>
        <v>6.6801649812608471E-2</v>
      </c>
      <c r="J241" s="425"/>
      <c r="K241" s="425"/>
      <c r="L241" s="716"/>
      <c r="M241" s="716"/>
      <c r="N241" s="716"/>
      <c r="O241" s="716"/>
      <c r="P241" s="716"/>
      <c r="Q241" s="716"/>
    </row>
    <row r="242" spans="1:17">
      <c r="A242" s="426">
        <v>24</v>
      </c>
      <c r="B242" s="2" t="s">
        <v>829</v>
      </c>
      <c r="C242" s="2" t="s">
        <v>867</v>
      </c>
      <c r="E242" s="425"/>
      <c r="F242" s="425"/>
      <c r="G242" s="425"/>
      <c r="H242" s="425"/>
      <c r="I242" s="425">
        <f>SUM(I240:I241)</f>
        <v>8.4139026182992266E-2</v>
      </c>
      <c r="J242" s="425"/>
      <c r="K242" s="425"/>
      <c r="L242" s="716"/>
      <c r="M242" s="716"/>
      <c r="N242" s="716"/>
      <c r="O242" s="716"/>
      <c r="P242" s="716"/>
      <c r="Q242" s="716"/>
    </row>
    <row r="243" spans="1:17">
      <c r="A243" s="426"/>
      <c r="B243" s="2"/>
      <c r="C243" s="420"/>
      <c r="E243" s="425"/>
      <c r="F243" s="425"/>
      <c r="G243" s="425"/>
      <c r="H243" s="425"/>
      <c r="I243" s="425"/>
      <c r="J243" s="425"/>
      <c r="K243" s="425"/>
      <c r="L243" s="716"/>
      <c r="M243" s="716"/>
      <c r="N243" s="716"/>
      <c r="O243" s="716"/>
      <c r="P243" s="716"/>
      <c r="Q243" s="716"/>
    </row>
    <row r="244" spans="1:17">
      <c r="A244" s="426">
        <v>25</v>
      </c>
      <c r="B244" s="2" t="s">
        <v>860</v>
      </c>
      <c r="C244" s="420"/>
      <c r="E244" s="425"/>
      <c r="F244" s="425"/>
      <c r="G244" s="425"/>
      <c r="H244" s="425"/>
      <c r="I244" s="425"/>
      <c r="J244" s="425"/>
      <c r="K244" s="425"/>
      <c r="L244" s="716"/>
      <c r="M244" s="716"/>
      <c r="N244" s="716"/>
      <c r="O244" s="716"/>
      <c r="P244" s="716"/>
      <c r="Q244" s="716"/>
    </row>
    <row r="245" spans="1:17">
      <c r="A245" s="426">
        <v>26</v>
      </c>
      <c r="B245" s="2" t="s">
        <v>170</v>
      </c>
      <c r="C245" s="2" t="s">
        <v>754</v>
      </c>
      <c r="E245" s="425"/>
      <c r="F245" s="425"/>
      <c r="G245" s="425"/>
      <c r="H245" s="425"/>
      <c r="I245" s="425">
        <f>'Attach 2a - Scaled ROE Adder'!I57/I73</f>
        <v>1.8890333552847704E-2</v>
      </c>
      <c r="J245" s="425"/>
      <c r="K245" s="425"/>
      <c r="L245" s="716"/>
      <c r="M245" s="716"/>
      <c r="N245" s="716"/>
      <c r="O245" s="716"/>
      <c r="P245" s="716"/>
      <c r="Q245" s="716"/>
    </row>
    <row r="246" spans="1:17">
      <c r="A246" s="426">
        <v>27</v>
      </c>
      <c r="B246" s="2" t="s">
        <v>174</v>
      </c>
      <c r="C246" s="2" t="s">
        <v>755</v>
      </c>
      <c r="E246" s="425"/>
      <c r="F246" s="425"/>
      <c r="G246" s="420"/>
      <c r="H246" s="425"/>
      <c r="I246" s="420">
        <f>'Attach 2a - Scaled ROE Adder'!I40/I73</f>
        <v>7.1018100116329599E-2</v>
      </c>
      <c r="J246" s="425"/>
      <c r="K246" s="425"/>
      <c r="L246" s="716"/>
      <c r="M246" s="716"/>
      <c r="N246" s="716"/>
      <c r="O246" s="716"/>
      <c r="P246" s="716"/>
      <c r="Q246" s="716"/>
    </row>
    <row r="247" spans="1:17">
      <c r="A247" s="426">
        <v>28</v>
      </c>
      <c r="B247" s="2" t="s">
        <v>861</v>
      </c>
      <c r="C247" s="2" t="s">
        <v>868</v>
      </c>
      <c r="E247" s="425"/>
      <c r="F247" s="425"/>
      <c r="G247" s="425"/>
      <c r="H247" s="425"/>
      <c r="I247" s="425">
        <f>SUM(I245:I246)</f>
        <v>8.9908433669177307E-2</v>
      </c>
      <c r="J247" s="425"/>
      <c r="K247" s="425"/>
      <c r="L247" s="716"/>
      <c r="M247" s="716"/>
      <c r="N247" s="716"/>
      <c r="O247" s="716"/>
      <c r="P247" s="716"/>
      <c r="Q247" s="716"/>
    </row>
    <row r="248" spans="1:17">
      <c r="A248" s="426"/>
      <c r="B248" s="2"/>
      <c r="C248" s="420"/>
      <c r="E248" s="425"/>
      <c r="F248" s="425"/>
      <c r="G248" s="425"/>
      <c r="H248" s="425"/>
      <c r="I248" s="425"/>
      <c r="J248" s="425"/>
      <c r="K248" s="425"/>
      <c r="L248" s="716"/>
      <c r="M248" s="716"/>
      <c r="N248" s="716"/>
      <c r="O248" s="716"/>
      <c r="P248" s="716"/>
      <c r="Q248" s="716"/>
    </row>
    <row r="249" spans="1:17">
      <c r="A249" s="426">
        <v>29</v>
      </c>
      <c r="B249" s="2" t="s">
        <v>748</v>
      </c>
      <c r="C249" s="2" t="s">
        <v>869</v>
      </c>
      <c r="E249" s="425"/>
      <c r="F249" s="425"/>
      <c r="G249" s="425"/>
      <c r="H249" s="425"/>
      <c r="I249" s="425">
        <f>I247-I242</f>
        <v>5.7694074861850408E-3</v>
      </c>
      <c r="J249" s="425"/>
      <c r="K249" s="425"/>
      <c r="L249" s="716"/>
      <c r="M249" s="716"/>
      <c r="N249" s="716"/>
      <c r="O249" s="716"/>
      <c r="P249" s="716"/>
      <c r="Q249" s="716"/>
    </row>
    <row r="250" spans="1:17">
      <c r="A250" s="426"/>
      <c r="B250" s="2"/>
      <c r="C250" s="425"/>
      <c r="E250" s="425"/>
      <c r="F250" s="425"/>
      <c r="G250" s="425"/>
      <c r="H250" s="425"/>
      <c r="I250" s="425"/>
      <c r="J250" s="425"/>
      <c r="K250" s="425"/>
      <c r="L250" s="716"/>
      <c r="M250" s="716"/>
      <c r="N250" s="716"/>
      <c r="O250" s="716"/>
      <c r="P250" s="716"/>
      <c r="Q250" s="716"/>
    </row>
    <row r="251" spans="1:17">
      <c r="A251" s="426"/>
      <c r="B251" s="2"/>
      <c r="C251" s="425"/>
      <c r="E251" s="425"/>
      <c r="F251" s="425"/>
      <c r="G251" s="425"/>
      <c r="H251" s="425"/>
      <c r="I251" s="425"/>
      <c r="J251" s="425"/>
      <c r="K251" s="425"/>
      <c r="L251" s="716"/>
      <c r="M251" s="716"/>
      <c r="N251" s="716"/>
      <c r="O251" s="716"/>
      <c r="P251" s="716"/>
      <c r="Q251" s="716"/>
    </row>
    <row r="252" spans="1:17">
      <c r="A252" s="568" t="s">
        <v>3</v>
      </c>
      <c r="B252" s="420"/>
      <c r="C252" s="425"/>
      <c r="E252" s="425"/>
      <c r="F252" s="425"/>
      <c r="G252" s="425"/>
      <c r="H252" s="425"/>
      <c r="I252" s="425"/>
      <c r="J252" s="425"/>
      <c r="K252" s="425"/>
      <c r="L252" s="716"/>
      <c r="M252" s="716"/>
      <c r="N252" s="716"/>
      <c r="O252" s="716"/>
      <c r="P252" s="716"/>
      <c r="Q252" s="716"/>
    </row>
    <row r="253" spans="1:17" ht="16.5" thickBot="1">
      <c r="A253" s="426"/>
      <c r="B253" s="420" t="s">
        <v>90</v>
      </c>
      <c r="C253" s="425"/>
      <c r="D253" s="425"/>
      <c r="E253" s="425"/>
      <c r="F253" s="425"/>
      <c r="G253" s="425"/>
      <c r="H253" s="425"/>
      <c r="I253" s="450" t="s">
        <v>76</v>
      </c>
      <c r="J253" s="425"/>
      <c r="K253" s="425"/>
      <c r="L253" s="502"/>
      <c r="M253" s="502"/>
      <c r="N253" s="503"/>
      <c r="O253" s="504"/>
      <c r="P253" s="502"/>
      <c r="Q253" s="502"/>
    </row>
    <row r="254" spans="1:17">
      <c r="A254" s="426"/>
      <c r="B254" s="420"/>
      <c r="C254" s="425"/>
      <c r="D254" s="425"/>
      <c r="E254" s="425"/>
      <c r="F254" s="425"/>
      <c r="G254" s="425"/>
      <c r="H254" s="425"/>
      <c r="I254" s="439"/>
      <c r="J254" s="425"/>
      <c r="K254" s="425"/>
      <c r="L254" s="503"/>
      <c r="M254" s="503"/>
      <c r="N254" s="503"/>
      <c r="O254" s="504"/>
      <c r="P254" s="502"/>
      <c r="Q254" s="502"/>
    </row>
    <row r="255" spans="1:17">
      <c r="A255" s="426">
        <v>30</v>
      </c>
      <c r="B255" s="425" t="s">
        <v>150</v>
      </c>
      <c r="D255" s="425"/>
      <c r="E255" s="425"/>
      <c r="F255" s="425"/>
      <c r="G255" s="425"/>
      <c r="H255" s="425"/>
      <c r="I255" s="439">
        <v>0</v>
      </c>
      <c r="J255" s="425"/>
      <c r="K255" s="425"/>
      <c r="L255" s="503"/>
      <c r="M255" s="502"/>
      <c r="N255" s="505"/>
      <c r="O255" s="505"/>
      <c r="P255" s="502"/>
      <c r="Q255" s="502"/>
    </row>
    <row r="256" spans="1:17">
      <c r="A256" s="426"/>
      <c r="B256" s="420"/>
      <c r="C256" s="425"/>
      <c r="D256" s="425"/>
      <c r="E256" s="425"/>
      <c r="F256" s="425"/>
      <c r="G256" s="425"/>
      <c r="H256" s="425"/>
      <c r="I256" s="468"/>
      <c r="J256" s="425"/>
      <c r="K256" s="425"/>
      <c r="L256" s="503"/>
      <c r="M256" s="502"/>
      <c r="N256" s="502"/>
      <c r="O256" s="502"/>
      <c r="P256" s="502"/>
      <c r="Q256" s="502"/>
    </row>
    <row r="257" spans="1:17">
      <c r="A257" s="426"/>
      <c r="B257" s="420"/>
      <c r="C257" s="425"/>
      <c r="D257" s="565"/>
      <c r="E257" s="757"/>
      <c r="F257" s="574"/>
      <c r="G257" s="574"/>
      <c r="H257" s="574"/>
      <c r="I257" s="563"/>
      <c r="J257" s="425"/>
      <c r="K257" s="425"/>
      <c r="L257" s="503"/>
      <c r="M257" s="502"/>
      <c r="N257" s="503"/>
      <c r="O257" s="504"/>
      <c r="P257" s="502"/>
      <c r="Q257" s="502"/>
    </row>
    <row r="258" spans="1:17">
      <c r="A258" s="426"/>
      <c r="B258" s="420"/>
      <c r="C258" s="425"/>
      <c r="D258" s="425"/>
      <c r="E258" s="610" t="s">
        <v>1087</v>
      </c>
      <c r="F258" s="425"/>
      <c r="G258" s="478" t="s">
        <v>92</v>
      </c>
      <c r="H258" s="425"/>
      <c r="I258" s="425"/>
      <c r="J258" s="425"/>
      <c r="K258" s="425"/>
      <c r="L258" s="503"/>
      <c r="M258" s="502"/>
      <c r="N258" s="503"/>
      <c r="O258" s="504"/>
      <c r="P258" s="502"/>
      <c r="Q258" s="502"/>
    </row>
    <row r="259" spans="1:17" ht="16.5" thickBot="1">
      <c r="A259" s="426"/>
      <c r="B259" s="420"/>
      <c r="C259" s="425"/>
      <c r="D259" s="430" t="s">
        <v>76</v>
      </c>
      <c r="E259" s="430" t="s">
        <v>93</v>
      </c>
      <c r="F259" s="425"/>
      <c r="G259" s="821" t="s">
        <v>1180</v>
      </c>
      <c r="H259" s="425"/>
      <c r="I259" s="430" t="s">
        <v>94</v>
      </c>
      <c r="J259" s="425"/>
      <c r="K259" s="425"/>
      <c r="L259" s="425"/>
      <c r="M259" s="504"/>
    </row>
    <row r="260" spans="1:17">
      <c r="A260" s="426">
        <v>31</v>
      </c>
      <c r="B260" s="2" t="s">
        <v>1134</v>
      </c>
      <c r="D260" s="439">
        <f>'Attachment 8 - Cap Structure'!K23</f>
        <v>200000000</v>
      </c>
      <c r="E260" s="989">
        <v>0.50719928355074395</v>
      </c>
      <c r="F260" s="507"/>
      <c r="G260" s="941">
        <f>'Attachment 10 - Debt Cost'!W25</f>
        <v>5.2400000000000002E-2</v>
      </c>
      <c r="I260" s="507">
        <f>G260*E260</f>
        <v>2.6577242458058984E-2</v>
      </c>
      <c r="J260" s="494" t="s">
        <v>95</v>
      </c>
      <c r="L260" s="425"/>
    </row>
    <row r="261" spans="1:17">
      <c r="A261" s="426">
        <v>32</v>
      </c>
      <c r="B261" s="420" t="s">
        <v>546</v>
      </c>
      <c r="D261" s="439">
        <f>'Attachment 8 - Cap Structure'!F23</f>
        <v>0</v>
      </c>
      <c r="E261" s="506">
        <f>IF($D$263&gt;0,D261/$D$263,0)</f>
        <v>0</v>
      </c>
      <c r="F261" s="507"/>
      <c r="G261" s="507">
        <f>IF(D261&gt;0,I255/D261,0)</f>
        <v>0</v>
      </c>
      <c r="I261" s="507">
        <f>G261*E261</f>
        <v>0</v>
      </c>
      <c r="J261" s="425"/>
      <c r="L261" s="425"/>
    </row>
    <row r="262" spans="1:17" ht="16.5" thickBot="1">
      <c r="A262" s="426">
        <v>33</v>
      </c>
      <c r="B262" s="420" t="s">
        <v>547</v>
      </c>
      <c r="D262" s="470">
        <f>'Attachment 8 - Cap Structure'!J23</f>
        <v>509031863.11021435</v>
      </c>
      <c r="E262" s="989">
        <v>0.49280071644925594</v>
      </c>
      <c r="F262" s="507"/>
      <c r="G262" s="508">
        <v>0.1045</v>
      </c>
      <c r="I262" s="509">
        <f>G262*E262</f>
        <v>5.1497674868947241E-2</v>
      </c>
      <c r="J262" s="425"/>
      <c r="L262" s="425"/>
    </row>
    <row r="263" spans="1:17">
      <c r="A263" s="426">
        <v>34</v>
      </c>
      <c r="B263" s="2" t="s">
        <v>870</v>
      </c>
      <c r="D263" s="439">
        <f>SUM(D260:D262)</f>
        <v>709031863.11021435</v>
      </c>
      <c r="E263" s="425" t="s">
        <v>3</v>
      </c>
      <c r="F263" s="425"/>
      <c r="G263" s="510"/>
      <c r="H263" s="425"/>
      <c r="I263" s="507">
        <f>SUM(I260:I262)</f>
        <v>7.8074917327006221E-2</v>
      </c>
      <c r="J263" s="494" t="s">
        <v>96</v>
      </c>
      <c r="L263" s="425"/>
    </row>
    <row r="264" spans="1:17" ht="9.75" customHeight="1">
      <c r="A264" s="426"/>
      <c r="K264" s="425"/>
      <c r="L264" s="425"/>
    </row>
    <row r="265" spans="1:17" ht="11.25" customHeight="1">
      <c r="A265" s="426"/>
      <c r="K265" s="425"/>
      <c r="L265" s="425"/>
    </row>
    <row r="266" spans="1:17">
      <c r="A266" s="426"/>
      <c r="B266" s="420" t="s">
        <v>97</v>
      </c>
      <c r="C266" s="420"/>
      <c r="D266" s="420"/>
      <c r="E266" s="420"/>
      <c r="F266" s="420"/>
      <c r="G266" s="420"/>
      <c r="H266" s="420"/>
      <c r="I266" s="420"/>
      <c r="J266" s="420"/>
      <c r="K266" s="420"/>
      <c r="L266" s="425"/>
    </row>
    <row r="267" spans="1:17">
      <c r="A267" s="426"/>
      <c r="B267" s="420" t="s">
        <v>98</v>
      </c>
      <c r="C267" s="420"/>
      <c r="D267" s="951" t="s">
        <v>1114</v>
      </c>
      <c r="E267" s="420" t="s">
        <v>99</v>
      </c>
      <c r="F267" s="420"/>
      <c r="G267" s="420" t="s">
        <v>3</v>
      </c>
      <c r="I267" s="511"/>
      <c r="J267" s="511"/>
      <c r="L267" s="425"/>
    </row>
    <row r="268" spans="1:17">
      <c r="A268" s="426">
        <v>35</v>
      </c>
      <c r="B268" s="419" t="s">
        <v>272</v>
      </c>
      <c r="C268" s="420"/>
      <c r="D268" s="420"/>
      <c r="F268" s="420"/>
      <c r="I268" s="512"/>
      <c r="J268" s="513"/>
      <c r="L268" s="425"/>
    </row>
    <row r="269" spans="1:17" ht="16.5" thickBot="1">
      <c r="A269" s="426">
        <v>36</v>
      </c>
      <c r="B269" s="799" t="s">
        <v>875</v>
      </c>
      <c r="C269" s="489"/>
      <c r="E269" s="420"/>
      <c r="F269" s="420"/>
      <c r="G269" s="420"/>
      <c r="H269" s="420"/>
      <c r="I269" s="514"/>
      <c r="J269" s="515"/>
      <c r="L269" s="425"/>
    </row>
    <row r="270" spans="1:17">
      <c r="A270" s="426">
        <v>37</v>
      </c>
      <c r="B270" s="419" t="s">
        <v>100</v>
      </c>
      <c r="C270" s="420"/>
      <c r="E270" s="420"/>
      <c r="F270" s="420"/>
      <c r="G270" s="420"/>
      <c r="H270" s="420"/>
      <c r="I270" s="516">
        <f>+I268-I269</f>
        <v>0</v>
      </c>
      <c r="J270" s="513"/>
      <c r="L270" s="425"/>
    </row>
    <row r="271" spans="1:17">
      <c r="A271" s="426"/>
      <c r="B271" s="419" t="s">
        <v>3</v>
      </c>
      <c r="C271" s="420"/>
      <c r="E271" s="420"/>
      <c r="F271" s="420"/>
      <c r="G271" s="453"/>
      <c r="H271" s="420"/>
      <c r="I271" s="516"/>
      <c r="J271" s="511"/>
      <c r="K271" s="517"/>
      <c r="L271" s="425"/>
    </row>
    <row r="272" spans="1:17" ht="15.6" customHeight="1">
      <c r="A272" s="426">
        <v>38</v>
      </c>
      <c r="B272" s="419" t="s">
        <v>289</v>
      </c>
      <c r="C272" s="420"/>
      <c r="D272" s="637" t="s">
        <v>1115</v>
      </c>
      <c r="F272" s="420"/>
      <c r="G272" s="453"/>
      <c r="H272" s="420"/>
      <c r="I272" s="518"/>
      <c r="J272" s="592"/>
      <c r="K272" s="592"/>
      <c r="L272" s="425"/>
    </row>
    <row r="273" spans="1:12">
      <c r="A273" s="426"/>
      <c r="C273" s="420"/>
      <c r="F273" s="420"/>
      <c r="G273" s="453"/>
      <c r="H273" s="420"/>
      <c r="I273" s="516"/>
      <c r="J273" s="592"/>
      <c r="K273" s="592"/>
      <c r="L273" s="425"/>
    </row>
    <row r="274" spans="1:12">
      <c r="A274" s="426">
        <v>39</v>
      </c>
      <c r="B274" s="420" t="s">
        <v>273</v>
      </c>
      <c r="C274" s="420"/>
      <c r="D274" s="637" t="s">
        <v>1116</v>
      </c>
      <c r="F274" s="420"/>
      <c r="G274" s="452"/>
      <c r="H274" s="420"/>
      <c r="I274" s="518"/>
      <c r="J274" s="592"/>
      <c r="K274" s="592"/>
      <c r="L274" s="425"/>
    </row>
    <row r="275" spans="1:12" ht="15.75" customHeight="1">
      <c r="A275" s="426"/>
      <c r="C275" s="420"/>
      <c r="D275" s="420"/>
      <c r="F275" s="420"/>
      <c r="G275" s="420"/>
      <c r="H275" s="420"/>
      <c r="I275" s="516"/>
      <c r="J275" s="592"/>
      <c r="K275" s="592"/>
      <c r="L275" s="425"/>
    </row>
    <row r="276" spans="1:12">
      <c r="A276" s="426">
        <v>40</v>
      </c>
      <c r="B276" s="420" t="s">
        <v>448</v>
      </c>
      <c r="C276" s="420"/>
      <c r="D276" s="951" t="s">
        <v>1117</v>
      </c>
      <c r="F276" s="420"/>
      <c r="G276" s="420"/>
      <c r="H276" s="420"/>
      <c r="I276" s="852">
        <f>I277+I278</f>
        <v>927600</v>
      </c>
      <c r="J276" s="592"/>
      <c r="K276" s="592"/>
      <c r="L276" s="420"/>
    </row>
    <row r="277" spans="1:12">
      <c r="A277" s="568" t="s">
        <v>1020</v>
      </c>
      <c r="B277" s="2" t="s">
        <v>1021</v>
      </c>
      <c r="C277" s="2"/>
      <c r="D277" s="2"/>
      <c r="E277" s="1"/>
      <c r="F277" s="2"/>
      <c r="G277" s="2"/>
      <c r="H277" s="2"/>
      <c r="I277" s="850">
        <v>927600</v>
      </c>
      <c r="J277" s="592"/>
      <c r="K277" s="592"/>
      <c r="L277" s="420"/>
    </row>
    <row r="278" spans="1:12">
      <c r="A278" s="568" t="s">
        <v>1022</v>
      </c>
      <c r="B278" s="2" t="s">
        <v>1023</v>
      </c>
      <c r="C278" s="2"/>
      <c r="D278" s="2"/>
      <c r="E278" s="1"/>
      <c r="F278" s="2"/>
      <c r="G278" s="2"/>
      <c r="H278" s="2"/>
      <c r="I278" s="850"/>
      <c r="J278" s="592"/>
      <c r="K278" s="592"/>
      <c r="L278" s="420"/>
    </row>
    <row r="279" spans="1:12">
      <c r="A279" s="1"/>
      <c r="B279" s="2"/>
      <c r="C279" s="2"/>
      <c r="D279" s="565"/>
      <c r="E279" s="565"/>
      <c r="F279" s="565"/>
      <c r="G279" s="565"/>
      <c r="H279" s="565"/>
      <c r="I279" s="1"/>
      <c r="J279" s="592"/>
      <c r="K279" s="592"/>
      <c r="L279" s="420"/>
    </row>
    <row r="280" spans="1:12">
      <c r="A280" s="568">
        <v>41</v>
      </c>
      <c r="B280" s="2" t="s">
        <v>1024</v>
      </c>
      <c r="C280" s="2"/>
      <c r="D280" s="2"/>
      <c r="E280" s="2"/>
      <c r="F280" s="2"/>
      <c r="G280" s="2"/>
      <c r="H280" s="2"/>
      <c r="I280" s="851"/>
      <c r="J280" s="592"/>
      <c r="K280" s="592"/>
      <c r="L280" s="420"/>
    </row>
    <row r="281" spans="1:12">
      <c r="A281" s="568"/>
      <c r="B281" s="1"/>
      <c r="C281" s="568"/>
      <c r="D281" s="565"/>
      <c r="E281" s="565"/>
      <c r="F281" s="565"/>
      <c r="G281" s="565"/>
      <c r="H281" s="2"/>
      <c r="I281" s="935"/>
      <c r="J281" s="519"/>
      <c r="K281" s="520"/>
      <c r="L281" s="420"/>
    </row>
    <row r="282" spans="1:12">
      <c r="A282" s="568">
        <v>42</v>
      </c>
      <c r="B282" s="2" t="s">
        <v>1025</v>
      </c>
      <c r="C282" s="568"/>
      <c r="D282" s="565"/>
      <c r="E282" s="565"/>
      <c r="F282" s="565"/>
      <c r="G282" s="565"/>
      <c r="H282" s="2"/>
      <c r="I282" s="946">
        <f>SUM(I283:I286)</f>
        <v>0</v>
      </c>
      <c r="J282" s="519"/>
      <c r="K282" s="520"/>
      <c r="L282" s="420"/>
    </row>
    <row r="283" spans="1:12">
      <c r="A283" s="942" t="s">
        <v>1094</v>
      </c>
      <c r="B283" s="943" t="s">
        <v>1095</v>
      </c>
      <c r="C283" s="568"/>
      <c r="D283" s="944"/>
      <c r="E283" s="565"/>
      <c r="F283" s="565" t="s">
        <v>1096</v>
      </c>
      <c r="G283" s="937">
        <f>I228</f>
        <v>1</v>
      </c>
      <c r="H283" s="2"/>
      <c r="I283" s="573">
        <f>D283*G283</f>
        <v>0</v>
      </c>
      <c r="J283" s="519"/>
      <c r="K283" s="520"/>
      <c r="L283" s="420"/>
    </row>
    <row r="284" spans="1:12">
      <c r="A284" s="942" t="s">
        <v>1097</v>
      </c>
      <c r="B284" s="943" t="s">
        <v>1098</v>
      </c>
      <c r="C284" s="568"/>
      <c r="D284" s="944"/>
      <c r="E284" s="565"/>
      <c r="F284" s="565" t="s">
        <v>53</v>
      </c>
      <c r="G284" s="945">
        <f>+G62</f>
        <v>0</v>
      </c>
      <c r="H284" s="2"/>
      <c r="I284" s="577">
        <f>D284*G284</f>
        <v>0</v>
      </c>
      <c r="J284" s="425"/>
      <c r="K284" s="465"/>
    </row>
    <row r="285" spans="1:12">
      <c r="A285" s="942" t="s">
        <v>1099</v>
      </c>
      <c r="B285" s="943" t="s">
        <v>1100</v>
      </c>
      <c r="C285" s="568"/>
      <c r="D285" s="944"/>
      <c r="E285" s="565"/>
      <c r="F285" s="565" t="s">
        <v>13</v>
      </c>
      <c r="G285" s="770">
        <f>I211</f>
        <v>1</v>
      </c>
      <c r="H285" s="2"/>
      <c r="I285" s="573">
        <f>D285*G285</f>
        <v>0</v>
      </c>
      <c r="J285" s="425"/>
      <c r="K285" s="465"/>
    </row>
    <row r="286" spans="1:12">
      <c r="A286" s="942" t="s">
        <v>1101</v>
      </c>
      <c r="B286" s="943" t="s">
        <v>1102</v>
      </c>
      <c r="C286" s="565"/>
      <c r="D286" s="944"/>
      <c r="E286" s="565"/>
      <c r="F286" s="565" t="s">
        <v>329</v>
      </c>
      <c r="G286" s="770">
        <v>1</v>
      </c>
      <c r="H286" s="565"/>
      <c r="I286" s="573">
        <f>D286*G286</f>
        <v>0</v>
      </c>
      <c r="J286" s="426"/>
      <c r="K286" s="422"/>
      <c r="L286" s="420"/>
    </row>
    <row r="287" spans="1:12">
      <c r="A287" s="942"/>
      <c r="B287" s="943"/>
      <c r="C287" s="565"/>
      <c r="D287" s="565"/>
      <c r="E287" s="565"/>
      <c r="F287" s="565"/>
      <c r="G287" s="770"/>
      <c r="H287" s="565"/>
      <c r="I287" s="573"/>
      <c r="J287" s="426"/>
      <c r="K287" s="422"/>
      <c r="L287" s="420"/>
    </row>
    <row r="288" spans="1:12">
      <c r="B288" s="420"/>
      <c r="C288" s="420"/>
      <c r="D288" s="421"/>
      <c r="E288" s="420"/>
      <c r="F288" s="420"/>
      <c r="G288" s="420"/>
      <c r="H288" s="420"/>
      <c r="I288" s="422"/>
      <c r="J288" s="422"/>
      <c r="K288" s="422"/>
      <c r="L288" s="420"/>
    </row>
    <row r="289" spans="1:12" ht="16.5" customHeight="1">
      <c r="B289" s="420"/>
      <c r="C289" s="420"/>
      <c r="D289" s="421"/>
      <c r="E289" s="420"/>
      <c r="F289" s="420"/>
      <c r="G289" s="420"/>
      <c r="H289" s="420"/>
      <c r="I289" s="420"/>
      <c r="K289" s="422" t="str">
        <f>K197</f>
        <v>Attachment H-34A</v>
      </c>
      <c r="L289" s="420"/>
    </row>
    <row r="290" spans="1:12" ht="16.5" customHeight="1">
      <c r="B290" s="420"/>
      <c r="C290" s="420"/>
      <c r="D290" s="421"/>
      <c r="E290" s="420"/>
      <c r="F290" s="420"/>
      <c r="G290" s="420"/>
      <c r="H290" s="420"/>
      <c r="I290" s="420"/>
      <c r="J290" s="420"/>
      <c r="K290" s="422" t="s">
        <v>101</v>
      </c>
      <c r="L290" s="420"/>
    </row>
    <row r="291" spans="1:12" ht="16.5" customHeight="1">
      <c r="B291" s="420"/>
      <c r="C291" s="420"/>
      <c r="D291" s="421"/>
      <c r="E291" s="420"/>
      <c r="F291" s="420"/>
      <c r="G291" s="420"/>
      <c r="H291" s="420"/>
      <c r="I291" s="420"/>
      <c r="J291" s="420"/>
      <c r="K291" s="422"/>
      <c r="L291" s="420"/>
    </row>
    <row r="292" spans="1:12">
      <c r="B292" s="420" t="s">
        <v>1</v>
      </c>
      <c r="C292" s="420"/>
      <c r="D292" s="421" t="s">
        <v>2</v>
      </c>
      <c r="E292" s="420"/>
      <c r="F292" s="420"/>
      <c r="G292" s="420"/>
      <c r="H292" s="420"/>
      <c r="J292" s="420"/>
      <c r="K292" s="422" t="str">
        <f>K4</f>
        <v>For the 12 months ended 12/31/2026</v>
      </c>
      <c r="L292" s="420"/>
    </row>
    <row r="293" spans="1:12">
      <c r="B293" s="420"/>
      <c r="C293" s="565" t="s">
        <v>3</v>
      </c>
      <c r="D293" s="425" t="s">
        <v>4</v>
      </c>
      <c r="E293" s="425"/>
      <c r="F293" s="425"/>
      <c r="G293" s="425"/>
      <c r="H293" s="420"/>
      <c r="I293" s="420"/>
      <c r="J293" s="420"/>
      <c r="K293" s="420"/>
      <c r="L293" s="420"/>
    </row>
    <row r="294" spans="1:12">
      <c r="A294" s="426"/>
      <c r="C294" s="426"/>
      <c r="D294" s="425"/>
      <c r="E294" s="425"/>
      <c r="F294" s="425"/>
      <c r="G294" s="425"/>
      <c r="H294" s="420"/>
      <c r="I294" s="521"/>
      <c r="J294" s="511"/>
      <c r="K294" s="519"/>
      <c r="L294" s="420"/>
    </row>
    <row r="295" spans="1:12">
      <c r="A295" s="426"/>
      <c r="C295" s="426"/>
      <c r="D295" s="425" t="str">
        <f>D7</f>
        <v>Keystone Appalachian Transmission Company</v>
      </c>
      <c r="E295" s="425"/>
      <c r="F295" s="425"/>
      <c r="G295" s="425"/>
      <c r="H295" s="420"/>
      <c r="I295" s="521"/>
      <c r="J295" s="511"/>
      <c r="K295" s="519"/>
      <c r="L295" s="420"/>
    </row>
    <row r="296" spans="1:12">
      <c r="A296" s="426"/>
      <c r="C296" s="426"/>
      <c r="D296" s="425"/>
      <c r="E296" s="425"/>
      <c r="F296" s="425"/>
      <c r="G296" s="425"/>
      <c r="H296" s="420"/>
      <c r="I296" s="521"/>
      <c r="J296" s="511"/>
      <c r="K296" s="519"/>
      <c r="L296" s="420"/>
    </row>
    <row r="297" spans="1:12">
      <c r="A297" s="426"/>
      <c r="B297" s="420" t="s">
        <v>856</v>
      </c>
      <c r="C297" s="426"/>
      <c r="D297" s="425"/>
      <c r="E297" s="425"/>
      <c r="F297" s="425"/>
      <c r="G297" s="425"/>
      <c r="H297" s="420"/>
      <c r="I297" s="425"/>
      <c r="J297" s="420"/>
      <c r="K297" s="425"/>
      <c r="L297" s="420"/>
    </row>
    <row r="298" spans="1:12">
      <c r="A298" s="426"/>
      <c r="B298" s="522" t="s">
        <v>857</v>
      </c>
      <c r="C298" s="426"/>
      <c r="D298" s="425"/>
      <c r="E298" s="425"/>
      <c r="F298" s="425"/>
      <c r="G298" s="425"/>
      <c r="H298" s="420"/>
      <c r="I298" s="425"/>
      <c r="J298" s="420"/>
      <c r="K298" s="425"/>
      <c r="L298" s="420"/>
    </row>
    <row r="299" spans="1:12">
      <c r="A299" s="426" t="s">
        <v>102</v>
      </c>
      <c r="B299" s="420"/>
      <c r="C299" s="420"/>
      <c r="D299" s="425"/>
      <c r="E299" s="425"/>
      <c r="F299" s="425"/>
      <c r="G299" s="425"/>
      <c r="H299" s="420"/>
      <c r="I299" s="425"/>
      <c r="J299" s="420"/>
      <c r="K299" s="425"/>
      <c r="L299" s="420"/>
    </row>
    <row r="300" spans="1:12" ht="16.5" thickBot="1">
      <c r="A300" s="430" t="s">
        <v>103</v>
      </c>
      <c r="B300" s="420"/>
      <c r="C300" s="420"/>
      <c r="D300" s="425"/>
      <c r="E300" s="425"/>
      <c r="F300" s="425"/>
      <c r="G300" s="425"/>
      <c r="H300" s="420"/>
      <c r="I300" s="425"/>
      <c r="J300" s="420"/>
      <c r="K300" s="425"/>
      <c r="L300" s="420"/>
    </row>
    <row r="301" spans="1:12" ht="35.450000000000003" customHeight="1">
      <c r="A301" s="405" t="s">
        <v>104</v>
      </c>
      <c r="B301" s="1006" t="s">
        <v>1014</v>
      </c>
      <c r="C301" s="1009"/>
      <c r="D301" s="1009"/>
      <c r="E301" s="1009"/>
      <c r="F301" s="1009"/>
      <c r="G301" s="1009"/>
      <c r="H301" s="1009"/>
      <c r="I301" s="1009"/>
      <c r="J301" s="1009"/>
      <c r="K301" s="1009"/>
    </row>
    <row r="302" spans="1:12" ht="16.5" customHeight="1">
      <c r="A302" s="523" t="s">
        <v>105</v>
      </c>
      <c r="B302" s="1014" t="s">
        <v>526</v>
      </c>
      <c r="C302" s="1014"/>
      <c r="D302" s="1014"/>
      <c r="E302" s="1014"/>
      <c r="F302" s="1014"/>
      <c r="G302" s="1014"/>
      <c r="H302" s="1014"/>
      <c r="I302" s="1014"/>
      <c r="J302" s="1014"/>
      <c r="K302" s="1014"/>
      <c r="L302" s="420"/>
    </row>
    <row r="303" spans="1:12" ht="19.5" customHeight="1">
      <c r="A303" s="523" t="s">
        <v>106</v>
      </c>
      <c r="B303" s="1004" t="s">
        <v>516</v>
      </c>
      <c r="C303" s="1004"/>
      <c r="D303" s="1004"/>
      <c r="E303" s="1004"/>
      <c r="F303" s="1004"/>
      <c r="G303" s="1004"/>
      <c r="H303" s="1004"/>
      <c r="I303" s="1004"/>
      <c r="J303" s="1004"/>
      <c r="K303" s="1004"/>
      <c r="L303" s="420"/>
    </row>
    <row r="304" spans="1:12" ht="45.75" customHeight="1">
      <c r="A304" s="523" t="s">
        <v>107</v>
      </c>
      <c r="B304" s="1012" t="s">
        <v>1079</v>
      </c>
      <c r="C304" s="1015"/>
      <c r="D304" s="1015"/>
      <c r="E304" s="1015"/>
      <c r="F304" s="1015"/>
      <c r="G304" s="1015"/>
      <c r="H304" s="1015"/>
      <c r="I304" s="1015"/>
      <c r="J304" s="1015"/>
      <c r="K304" s="1015"/>
      <c r="L304" s="420"/>
    </row>
    <row r="305" spans="1:12" ht="48" customHeight="1">
      <c r="A305" s="523" t="s">
        <v>108</v>
      </c>
      <c r="B305" s="1012" t="s">
        <v>1088</v>
      </c>
      <c r="C305" s="1015"/>
      <c r="D305" s="1015"/>
      <c r="E305" s="1015"/>
      <c r="F305" s="1015"/>
      <c r="G305" s="1015"/>
      <c r="H305" s="1015"/>
      <c r="I305" s="1015"/>
      <c r="J305" s="1015"/>
      <c r="K305" s="1015"/>
      <c r="L305" s="420"/>
    </row>
    <row r="306" spans="1:12" ht="53.1" customHeight="1">
      <c r="A306" s="523" t="s">
        <v>109</v>
      </c>
      <c r="B306" s="1005" t="s">
        <v>939</v>
      </c>
      <c r="C306" s="1004"/>
      <c r="D306" s="1004"/>
      <c r="E306" s="1004"/>
      <c r="F306" s="1004"/>
      <c r="G306" s="1004"/>
      <c r="H306" s="1004"/>
      <c r="I306" s="1004"/>
      <c r="J306" s="1004"/>
      <c r="K306" s="1004"/>
      <c r="L306" s="420"/>
    </row>
    <row r="307" spans="1:12">
      <c r="A307" s="523" t="s">
        <v>110</v>
      </c>
      <c r="B307" s="1004" t="s">
        <v>111</v>
      </c>
      <c r="C307" s="1004"/>
      <c r="D307" s="1004"/>
      <c r="E307" s="1004"/>
      <c r="F307" s="1004"/>
      <c r="G307" s="1004"/>
      <c r="H307" s="1004"/>
      <c r="I307" s="1004"/>
      <c r="J307" s="1004"/>
      <c r="K307" s="1004"/>
      <c r="L307" s="420"/>
    </row>
    <row r="308" spans="1:12" ht="48" customHeight="1">
      <c r="A308" s="523" t="s">
        <v>112</v>
      </c>
      <c r="B308" s="1005" t="s">
        <v>1118</v>
      </c>
      <c r="C308" s="1005"/>
      <c r="D308" s="1005"/>
      <c r="E308" s="1005"/>
      <c r="F308" s="1005"/>
      <c r="G308" s="1005"/>
      <c r="H308" s="1005"/>
      <c r="I308" s="1005"/>
      <c r="J308" s="1005"/>
      <c r="K308" s="1005"/>
      <c r="L308" s="420"/>
    </row>
    <row r="309" spans="1:12" ht="32.25" customHeight="1">
      <c r="A309" s="523" t="s">
        <v>113</v>
      </c>
      <c r="B309" s="1005" t="s">
        <v>940</v>
      </c>
      <c r="C309" s="1005"/>
      <c r="D309" s="1005"/>
      <c r="E309" s="1005"/>
      <c r="F309" s="1005"/>
      <c r="G309" s="1005"/>
      <c r="H309" s="1005"/>
      <c r="I309" s="1005"/>
      <c r="J309" s="1005"/>
      <c r="K309" s="1005"/>
      <c r="L309" s="420"/>
    </row>
    <row r="310" spans="1:12" ht="32.25" customHeight="1">
      <c r="A310" s="523" t="s">
        <v>114</v>
      </c>
      <c r="B310" s="1005" t="s">
        <v>152</v>
      </c>
      <c r="C310" s="1005"/>
      <c r="D310" s="1005"/>
      <c r="E310" s="1005"/>
      <c r="F310" s="1005"/>
      <c r="G310" s="1005"/>
      <c r="H310" s="1005"/>
      <c r="I310" s="1005"/>
      <c r="J310" s="1005"/>
      <c r="K310" s="1005"/>
      <c r="L310" s="420"/>
    </row>
    <row r="311" spans="1:12" ht="78" customHeight="1">
      <c r="A311" s="523" t="s">
        <v>115</v>
      </c>
      <c r="B311" s="1005" t="s">
        <v>941</v>
      </c>
      <c r="C311" s="1005"/>
      <c r="D311" s="1005"/>
      <c r="E311" s="1005"/>
      <c r="F311" s="1005"/>
      <c r="G311" s="1005"/>
      <c r="H311" s="1005"/>
      <c r="I311" s="1005"/>
      <c r="J311" s="1005"/>
      <c r="K311" s="1005"/>
      <c r="L311" s="420"/>
    </row>
    <row r="312" spans="1:12">
      <c r="A312" s="523" t="s">
        <v>3</v>
      </c>
      <c r="B312" s="524" t="s">
        <v>151</v>
      </c>
      <c r="C312" s="525" t="s">
        <v>116</v>
      </c>
      <c r="D312" s="526">
        <f>'Attachment 18 - Tax Rates'!D6</f>
        <v>0.21</v>
      </c>
      <c r="E312" s="1004"/>
      <c r="F312" s="1004"/>
      <c r="G312" s="1004"/>
      <c r="H312" s="1004"/>
      <c r="I312" s="1004"/>
      <c r="J312" s="1004"/>
      <c r="K312" s="1004"/>
      <c r="L312" s="420"/>
    </row>
    <row r="313" spans="1:12">
      <c r="A313" s="523"/>
      <c r="B313" s="525"/>
      <c r="C313" s="525" t="s">
        <v>117</v>
      </c>
      <c r="D313" s="526">
        <f>'Attachment 18 - Tax Rates'!H16</f>
        <v>7.4899999999999994E-2</v>
      </c>
      <c r="E313" s="1004" t="s">
        <v>274</v>
      </c>
      <c r="F313" s="1004"/>
      <c r="G313" s="1004"/>
      <c r="H313" s="1004"/>
      <c r="I313" s="1004"/>
      <c r="J313" s="1004"/>
      <c r="K313" s="1004"/>
      <c r="L313" s="420"/>
    </row>
    <row r="314" spans="1:12">
      <c r="A314" s="523"/>
      <c r="B314" s="525"/>
      <c r="C314" s="525" t="s">
        <v>118</v>
      </c>
      <c r="D314" s="527"/>
      <c r="E314" s="1004" t="s">
        <v>275</v>
      </c>
      <c r="F314" s="1004"/>
      <c r="G314" s="1004"/>
      <c r="H314" s="1004"/>
      <c r="I314" s="1004"/>
      <c r="J314" s="1004"/>
      <c r="K314" s="1004"/>
      <c r="L314" s="420"/>
    </row>
    <row r="315" spans="1:12" ht="36.75" customHeight="1">
      <c r="A315" s="523" t="s">
        <v>119</v>
      </c>
      <c r="B315" s="1004" t="s">
        <v>569</v>
      </c>
      <c r="C315" s="1004"/>
      <c r="D315" s="1004"/>
      <c r="E315" s="1004"/>
      <c r="F315" s="1004"/>
      <c r="G315" s="1004"/>
      <c r="H315" s="1004"/>
      <c r="I315" s="1004"/>
      <c r="J315" s="1004"/>
      <c r="K315" s="1004"/>
      <c r="L315" s="420"/>
    </row>
    <row r="316" spans="1:12" ht="32.25" customHeight="1">
      <c r="A316" s="523" t="s">
        <v>120</v>
      </c>
      <c r="B316" s="1004" t="s">
        <v>567</v>
      </c>
      <c r="C316" s="1004"/>
      <c r="D316" s="1004"/>
      <c r="E316" s="1004"/>
      <c r="F316" s="1004"/>
      <c r="G316" s="1004"/>
      <c r="H316" s="1004"/>
      <c r="I316" s="1004"/>
      <c r="J316" s="1004"/>
      <c r="K316" s="1004"/>
      <c r="L316" s="420"/>
    </row>
    <row r="317" spans="1:12" ht="48" customHeight="1">
      <c r="A317" s="523" t="s">
        <v>121</v>
      </c>
      <c r="B317" s="1004" t="s">
        <v>281</v>
      </c>
      <c r="C317" s="1004"/>
      <c r="D317" s="1004"/>
      <c r="E317" s="1004"/>
      <c r="F317" s="1004"/>
      <c r="G317" s="1004"/>
      <c r="H317" s="1004"/>
      <c r="I317" s="1004"/>
      <c r="J317" s="1004"/>
      <c r="K317" s="1004"/>
      <c r="L317" s="420"/>
    </row>
    <row r="318" spans="1:12">
      <c r="A318" s="523" t="s">
        <v>122</v>
      </c>
      <c r="B318" s="1004" t="s">
        <v>123</v>
      </c>
      <c r="C318" s="1004"/>
      <c r="D318" s="1004"/>
      <c r="E318" s="1004"/>
      <c r="F318" s="1004"/>
      <c r="G318" s="1004"/>
      <c r="H318" s="1004"/>
      <c r="I318" s="1004"/>
      <c r="J318" s="1004"/>
      <c r="K318" s="1004"/>
      <c r="L318" s="420"/>
    </row>
    <row r="319" spans="1:12" ht="48.75" customHeight="1">
      <c r="A319" s="831" t="s">
        <v>124</v>
      </c>
      <c r="B319" s="1006" t="s">
        <v>1182</v>
      </c>
      <c r="C319" s="1006"/>
      <c r="D319" s="1006"/>
      <c r="E319" s="1006"/>
      <c r="F319" s="1006"/>
      <c r="G319" s="1006"/>
      <c r="H319" s="1006"/>
      <c r="I319" s="1006"/>
      <c r="J319" s="1006"/>
      <c r="K319" s="1006"/>
      <c r="L319" s="420"/>
    </row>
    <row r="320" spans="1:12" ht="23.25" customHeight="1">
      <c r="A320" s="523" t="s">
        <v>125</v>
      </c>
      <c r="B320" s="1005" t="s">
        <v>1080</v>
      </c>
      <c r="C320" s="1004"/>
      <c r="D320" s="1004"/>
      <c r="E320" s="1004"/>
      <c r="F320" s="1004"/>
      <c r="G320" s="1004"/>
      <c r="H320" s="1004"/>
      <c r="I320" s="1004"/>
      <c r="J320" s="1004"/>
      <c r="K320" s="1004"/>
      <c r="L320" s="420"/>
    </row>
    <row r="321" spans="1:12">
      <c r="A321" s="523" t="s">
        <v>126</v>
      </c>
      <c r="B321" s="1004" t="s">
        <v>127</v>
      </c>
      <c r="C321" s="1004"/>
      <c r="D321" s="1004"/>
      <c r="E321" s="1004"/>
      <c r="F321" s="1004"/>
      <c r="G321" s="1004"/>
      <c r="H321" s="1004"/>
      <c r="I321" s="1004"/>
      <c r="J321" s="1004"/>
      <c r="K321" s="1004"/>
      <c r="L321" s="420"/>
    </row>
    <row r="322" spans="1:12" ht="20.25" customHeight="1">
      <c r="A322" s="523" t="s">
        <v>128</v>
      </c>
      <c r="B322" s="1004" t="s">
        <v>290</v>
      </c>
      <c r="C322" s="1004"/>
      <c r="D322" s="1004"/>
      <c r="E322" s="1004"/>
      <c r="F322" s="1004"/>
      <c r="G322" s="1004"/>
      <c r="H322" s="1004"/>
      <c r="I322" s="1004"/>
      <c r="J322" s="1004"/>
      <c r="K322" s="1004"/>
      <c r="L322" s="420"/>
    </row>
    <row r="323" spans="1:12" ht="34.5" customHeight="1">
      <c r="A323" s="528" t="s">
        <v>129</v>
      </c>
      <c r="B323" s="1005" t="s">
        <v>1081</v>
      </c>
      <c r="C323" s="1005"/>
      <c r="D323" s="1005"/>
      <c r="E323" s="1005"/>
      <c r="F323" s="1005"/>
      <c r="G323" s="1005"/>
      <c r="H323" s="1005"/>
      <c r="I323" s="1005"/>
      <c r="J323" s="1005"/>
      <c r="K323" s="1005"/>
      <c r="L323" s="420"/>
    </row>
    <row r="324" spans="1:12" ht="15.75" customHeight="1">
      <c r="A324" s="528" t="s">
        <v>130</v>
      </c>
      <c r="B324" s="1005" t="s">
        <v>1119</v>
      </c>
      <c r="C324" s="1004"/>
      <c r="D324" s="1004"/>
      <c r="E324" s="1004"/>
      <c r="F324" s="1004"/>
      <c r="G324" s="1004"/>
      <c r="H324" s="1004"/>
      <c r="I324" s="1004"/>
      <c r="J324" s="1004"/>
      <c r="K324" s="1004"/>
      <c r="L324" s="420"/>
    </row>
    <row r="325" spans="1:12" ht="33" customHeight="1">
      <c r="A325" s="528" t="s">
        <v>131</v>
      </c>
      <c r="B325" s="1005" t="s">
        <v>1085</v>
      </c>
      <c r="C325" s="1004"/>
      <c r="D325" s="1004"/>
      <c r="E325" s="1004"/>
      <c r="F325" s="1004"/>
      <c r="G325" s="1004"/>
      <c r="H325" s="1004"/>
      <c r="I325" s="1004"/>
      <c r="J325" s="1004"/>
      <c r="K325" s="1004"/>
    </row>
    <row r="326" spans="1:12" ht="15.75" customHeight="1">
      <c r="A326" s="528" t="s">
        <v>132</v>
      </c>
      <c r="B326" s="1011" t="s">
        <v>142</v>
      </c>
      <c r="C326" s="1011"/>
      <c r="D326" s="1011"/>
      <c r="E326" s="1011"/>
      <c r="F326" s="1011"/>
      <c r="G326" s="1011"/>
      <c r="H326" s="1011"/>
      <c r="I326" s="1011"/>
      <c r="J326" s="1011"/>
      <c r="K326" s="1011"/>
    </row>
    <row r="327" spans="1:12" s="1" customFormat="1" ht="15.75" customHeight="1">
      <c r="A327" s="936" t="s">
        <v>138</v>
      </c>
      <c r="B327" s="1005" t="s">
        <v>276</v>
      </c>
      <c r="C327" s="1005"/>
      <c r="D327" s="1005"/>
      <c r="E327" s="1005"/>
      <c r="F327" s="1005"/>
      <c r="G327" s="1005"/>
      <c r="H327" s="1005"/>
      <c r="I327" s="1005"/>
      <c r="J327" s="1005"/>
      <c r="K327" s="1005"/>
    </row>
    <row r="328" spans="1:12" s="715" customFormat="1" ht="40.5" customHeight="1">
      <c r="A328" s="936" t="s">
        <v>139</v>
      </c>
      <c r="B328" s="1005" t="s">
        <v>1181</v>
      </c>
      <c r="C328" s="1010"/>
      <c r="D328" s="1010"/>
      <c r="E328" s="1010"/>
      <c r="F328" s="1010"/>
      <c r="G328" s="1010"/>
      <c r="H328" s="1010"/>
      <c r="I328" s="1010"/>
      <c r="J328" s="1010"/>
      <c r="K328" s="1010"/>
    </row>
    <row r="329" spans="1:12" ht="19.5" customHeight="1">
      <c r="A329" s="528" t="s">
        <v>476</v>
      </c>
      <c r="B329" s="1008" t="s">
        <v>477</v>
      </c>
      <c r="C329" s="1008"/>
      <c r="D329" s="1008"/>
      <c r="E329" s="1008"/>
      <c r="F329" s="1008"/>
      <c r="G329" s="1008"/>
      <c r="H329" s="1008"/>
      <c r="I329" s="1008"/>
      <c r="J329" s="1008"/>
      <c r="K329" s="1008"/>
    </row>
    <row r="330" spans="1:12">
      <c r="A330" s="529" t="s">
        <v>478</v>
      </c>
      <c r="B330" s="1009" t="s">
        <v>858</v>
      </c>
      <c r="C330" s="1009"/>
      <c r="D330" s="1009"/>
      <c r="E330" s="1009"/>
      <c r="F330" s="1009"/>
      <c r="G330" s="1009"/>
      <c r="H330" s="1009"/>
      <c r="I330" s="1009"/>
      <c r="J330" s="1009"/>
      <c r="K330" s="1009"/>
    </row>
    <row r="331" spans="1:12">
      <c r="A331" s="831" t="s">
        <v>479</v>
      </c>
      <c r="B331" s="1005" t="s">
        <v>1003</v>
      </c>
      <c r="C331" s="1005"/>
      <c r="D331" s="1005"/>
      <c r="E331" s="1005"/>
      <c r="F331" s="1005"/>
      <c r="G331" s="1005"/>
      <c r="H331" s="1005"/>
      <c r="I331" s="1005"/>
      <c r="J331" s="1005"/>
      <c r="K331" s="1005"/>
    </row>
    <row r="332" spans="1:12">
      <c r="A332" s="405" t="s">
        <v>784</v>
      </c>
      <c r="B332" s="1012" t="s">
        <v>1004</v>
      </c>
      <c r="C332" s="1012"/>
      <c r="D332" s="1012"/>
      <c r="E332" s="1012"/>
      <c r="F332" s="1012"/>
      <c r="G332" s="1012"/>
      <c r="H332" s="1012"/>
      <c r="I332" s="1012"/>
      <c r="J332" s="1012"/>
      <c r="K332" s="1012"/>
    </row>
    <row r="333" spans="1:12" ht="64.5" customHeight="1">
      <c r="A333" s="405" t="s">
        <v>1086</v>
      </c>
      <c r="B333" s="1006" t="s">
        <v>1092</v>
      </c>
      <c r="C333" s="1006"/>
      <c r="D333" s="1006"/>
      <c r="E333" s="1006"/>
      <c r="F333" s="1006"/>
      <c r="G333" s="1006"/>
      <c r="H333" s="1006"/>
      <c r="I333" s="1006"/>
      <c r="J333" s="1006"/>
      <c r="K333" s="1006"/>
    </row>
    <row r="334" spans="1:12">
      <c r="A334" s="426"/>
      <c r="C334" s="530"/>
      <c r="E334" s="420"/>
      <c r="F334" s="420"/>
      <c r="G334" s="420"/>
      <c r="H334" s="420"/>
      <c r="I334" s="420"/>
    </row>
    <row r="335" spans="1:12">
      <c r="A335" s="426"/>
      <c r="C335" s="420"/>
      <c r="D335" s="427"/>
      <c r="E335" s="420"/>
      <c r="F335" s="420"/>
      <c r="G335" s="420"/>
      <c r="H335" s="420"/>
      <c r="I335" s="420"/>
    </row>
    <row r="336" spans="1:12">
      <c r="A336" s="426"/>
      <c r="B336" s="1007"/>
      <c r="C336" s="1007"/>
      <c r="D336" s="1007"/>
      <c r="E336" s="1007"/>
      <c r="F336" s="1007"/>
      <c r="G336" s="1007"/>
      <c r="H336" s="1007"/>
      <c r="I336" s="1007"/>
      <c r="J336" s="1007"/>
      <c r="K336" s="1007"/>
    </row>
    <row r="337" spans="1:11">
      <c r="A337" s="426"/>
      <c r="B337" s="1007"/>
      <c r="C337" s="1007"/>
      <c r="D337" s="1007"/>
      <c r="E337" s="1007"/>
      <c r="F337" s="1007"/>
      <c r="G337" s="1007"/>
      <c r="H337" s="1007"/>
      <c r="I337" s="1007"/>
      <c r="J337" s="1007"/>
      <c r="K337" s="1007"/>
    </row>
    <row r="338" spans="1:11">
      <c r="A338" s="426"/>
      <c r="B338" s="1007"/>
      <c r="C338" s="1007"/>
      <c r="D338" s="1007"/>
      <c r="E338" s="1007"/>
      <c r="F338" s="1007"/>
      <c r="G338" s="1007"/>
      <c r="H338" s="1007"/>
      <c r="I338" s="1007"/>
      <c r="J338" s="1007"/>
      <c r="K338" s="1007"/>
    </row>
    <row r="339" spans="1:11">
      <c r="A339" s="426"/>
      <c r="B339" s="1007"/>
      <c r="C339" s="1007"/>
      <c r="D339" s="1007"/>
      <c r="E339" s="1007"/>
      <c r="F339" s="1007"/>
      <c r="G339" s="1007"/>
      <c r="H339" s="1007"/>
      <c r="I339" s="1007"/>
      <c r="J339" s="1007"/>
      <c r="K339" s="1007"/>
    </row>
    <row r="340" spans="1:11">
      <c r="A340" s="426"/>
      <c r="C340" s="420"/>
      <c r="D340" s="427"/>
      <c r="E340" s="420"/>
      <c r="F340" s="420"/>
      <c r="G340" s="420"/>
      <c r="H340" s="420"/>
      <c r="I340" s="420"/>
    </row>
    <row r="341" spans="1:11">
      <c r="A341" s="426"/>
      <c r="B341" s="1007"/>
      <c r="C341" s="1007"/>
      <c r="D341" s="1007"/>
      <c r="E341" s="1007"/>
      <c r="F341" s="1007"/>
      <c r="G341" s="1007"/>
      <c r="H341" s="1007"/>
      <c r="I341" s="1007"/>
      <c r="J341" s="1007"/>
      <c r="K341" s="1007"/>
    </row>
    <row r="342" spans="1:11">
      <c r="A342" s="426"/>
      <c r="B342" s="1007"/>
      <c r="C342" s="1007"/>
      <c r="D342" s="1007"/>
      <c r="E342" s="1007"/>
      <c r="F342" s="1007"/>
      <c r="G342" s="1007"/>
      <c r="H342" s="1007"/>
      <c r="I342" s="1007"/>
      <c r="J342" s="1007"/>
      <c r="K342" s="1007"/>
    </row>
    <row r="343" spans="1:11">
      <c r="A343" s="426"/>
      <c r="B343" s="1007"/>
      <c r="C343" s="1007"/>
      <c r="D343" s="1007"/>
      <c r="E343" s="1007"/>
      <c r="F343" s="1007"/>
      <c r="G343" s="1007"/>
      <c r="H343" s="1007"/>
      <c r="I343" s="1007"/>
      <c r="J343" s="1007"/>
      <c r="K343" s="1007"/>
    </row>
    <row r="344" spans="1:11">
      <c r="A344" s="426"/>
      <c r="C344" s="420"/>
      <c r="D344" s="427"/>
      <c r="E344" s="420"/>
      <c r="F344" s="420"/>
      <c r="G344" s="420"/>
      <c r="H344" s="420"/>
      <c r="I344" s="420"/>
    </row>
    <row r="345" spans="1:11">
      <c r="A345" s="426"/>
      <c r="C345" s="420"/>
      <c r="D345" s="427"/>
      <c r="E345" s="420"/>
      <c r="F345" s="420"/>
      <c r="G345" s="420"/>
      <c r="H345" s="420"/>
      <c r="I345" s="420"/>
    </row>
    <row r="346" spans="1:11">
      <c r="A346" s="426"/>
      <c r="C346" s="420"/>
      <c r="D346" s="427"/>
      <c r="E346" s="420"/>
      <c r="F346" s="420"/>
      <c r="G346" s="420"/>
      <c r="H346" s="420"/>
      <c r="I346" s="426"/>
    </row>
    <row r="347" spans="1:11">
      <c r="A347" s="426"/>
      <c r="C347" s="420"/>
      <c r="D347" s="420"/>
      <c r="E347" s="420"/>
      <c r="F347" s="420"/>
      <c r="G347" s="426"/>
      <c r="H347" s="420"/>
      <c r="I347" s="426"/>
    </row>
    <row r="348" spans="1:11">
      <c r="A348" s="426"/>
      <c r="C348" s="420"/>
      <c r="D348" s="425"/>
      <c r="E348" s="420"/>
      <c r="F348" s="420"/>
      <c r="G348" s="420"/>
      <c r="H348" s="420"/>
      <c r="I348" s="431"/>
    </row>
    <row r="349" spans="1:11">
      <c r="C349" s="426"/>
      <c r="D349" s="426"/>
      <c r="E349" s="425"/>
      <c r="F349" s="425"/>
      <c r="G349" s="428"/>
      <c r="H349" s="425"/>
      <c r="I349" s="429"/>
    </row>
    <row r="350" spans="1:11">
      <c r="C350" s="495"/>
      <c r="D350" s="425"/>
      <c r="E350" s="425"/>
      <c r="F350" s="425"/>
      <c r="G350" s="426"/>
      <c r="H350" s="425"/>
      <c r="I350" s="462"/>
    </row>
    <row r="351" spans="1:11">
      <c r="A351" s="426"/>
      <c r="B351" s="420"/>
      <c r="C351" s="461"/>
      <c r="D351" s="462"/>
      <c r="E351" s="464"/>
      <c r="F351" s="462"/>
      <c r="H351" s="464"/>
      <c r="I351" s="426"/>
    </row>
    <row r="352" spans="1:11">
      <c r="A352" s="426"/>
      <c r="B352" s="466"/>
      <c r="C352" s="425"/>
      <c r="D352" s="425"/>
      <c r="E352" s="425"/>
      <c r="F352" s="425"/>
      <c r="G352" s="425"/>
      <c r="H352" s="425"/>
      <c r="I352" s="425"/>
    </row>
    <row r="353" spans="1:9">
      <c r="A353" s="426"/>
      <c r="B353" s="420"/>
      <c r="C353" s="425"/>
      <c r="D353" s="425"/>
      <c r="E353" s="425"/>
      <c r="F353" s="425"/>
      <c r="G353" s="425"/>
      <c r="H353" s="425"/>
      <c r="I353" s="425"/>
    </row>
    <row r="354" spans="1:9">
      <c r="A354" s="426"/>
      <c r="B354" s="420"/>
      <c r="C354" s="425"/>
      <c r="D354" s="425"/>
      <c r="E354" s="425"/>
      <c r="F354" s="425"/>
      <c r="G354" s="425"/>
      <c r="H354" s="425"/>
      <c r="I354" s="425"/>
    </row>
    <row r="355" spans="1:9">
      <c r="A355" s="426"/>
      <c r="B355" s="475"/>
      <c r="D355" s="425"/>
      <c r="E355" s="425"/>
      <c r="F355" s="425"/>
      <c r="G355" s="484"/>
      <c r="H355" s="425"/>
      <c r="I355" s="425"/>
    </row>
    <row r="356" spans="1:9">
      <c r="A356" s="426"/>
      <c r="B356" s="420"/>
      <c r="D356" s="425"/>
      <c r="E356" s="425"/>
      <c r="F356" s="425"/>
      <c r="G356" s="484"/>
      <c r="H356" s="425"/>
      <c r="I356" s="425"/>
    </row>
    <row r="357" spans="1:9">
      <c r="A357" s="426"/>
      <c r="B357" s="420"/>
      <c r="C357" s="425"/>
      <c r="D357" s="425"/>
      <c r="E357" s="425"/>
      <c r="F357" s="425"/>
      <c r="G357" s="425"/>
      <c r="H357" s="425"/>
      <c r="I357" s="425"/>
    </row>
    <row r="358" spans="1:9">
      <c r="A358" s="426"/>
      <c r="B358" s="420"/>
      <c r="C358" s="425"/>
      <c r="D358" s="425"/>
      <c r="E358" s="425"/>
      <c r="F358" s="425"/>
      <c r="G358" s="425"/>
      <c r="H358" s="425"/>
      <c r="I358" s="425"/>
    </row>
    <row r="359" spans="1:9">
      <c r="A359" s="426"/>
      <c r="B359" s="420"/>
      <c r="C359" s="420"/>
      <c r="D359" s="425"/>
      <c r="E359" s="425"/>
      <c r="F359" s="425"/>
      <c r="G359" s="425"/>
      <c r="H359" s="420"/>
      <c r="I359" s="425"/>
    </row>
    <row r="360" spans="1:9">
      <c r="A360" s="426"/>
      <c r="B360" s="420"/>
      <c r="C360" s="420"/>
      <c r="D360" s="425"/>
      <c r="E360" s="425"/>
      <c r="F360" s="425"/>
      <c r="G360" s="425"/>
      <c r="H360" s="420"/>
      <c r="I360" s="425"/>
    </row>
    <row r="361" spans="1:9">
      <c r="A361" s="426"/>
      <c r="B361" s="420"/>
      <c r="C361" s="420"/>
      <c r="D361" s="420"/>
      <c r="E361" s="420"/>
      <c r="F361" s="420"/>
      <c r="G361" s="420"/>
      <c r="H361" s="420"/>
      <c r="I361" s="420"/>
    </row>
    <row r="362" spans="1:9">
      <c r="A362" s="426"/>
      <c r="B362" s="420"/>
      <c r="C362" s="420"/>
      <c r="D362" s="420"/>
      <c r="E362" s="420"/>
      <c r="F362" s="420"/>
      <c r="G362" s="420"/>
      <c r="H362" s="420"/>
      <c r="I362" s="420"/>
    </row>
    <row r="363" spans="1:9">
      <c r="A363" s="426"/>
      <c r="B363" s="420"/>
      <c r="C363" s="420"/>
      <c r="D363" s="420"/>
      <c r="E363" s="420"/>
      <c r="F363" s="420"/>
      <c r="G363" s="420"/>
      <c r="H363" s="420"/>
      <c r="I363" s="420"/>
    </row>
    <row r="364" spans="1:9">
      <c r="A364" s="426"/>
      <c r="B364" s="531"/>
      <c r="C364" s="420"/>
      <c r="D364" s="420"/>
      <c r="E364" s="420"/>
      <c r="F364" s="420"/>
      <c r="G364" s="420"/>
      <c r="H364" s="420"/>
      <c r="I364" s="420"/>
    </row>
    <row r="365" spans="1:9">
      <c r="A365" s="426"/>
      <c r="B365" s="531"/>
      <c r="C365" s="420"/>
      <c r="D365" s="420"/>
      <c r="E365" s="420"/>
      <c r="F365" s="420"/>
      <c r="G365" s="420"/>
      <c r="H365" s="420"/>
      <c r="I365" s="420"/>
    </row>
    <row r="366" spans="1:9">
      <c r="A366" s="426"/>
      <c r="B366" s="531"/>
      <c r="C366" s="420"/>
      <c r="D366" s="420"/>
      <c r="E366" s="420"/>
      <c r="F366" s="420"/>
      <c r="G366" s="420"/>
      <c r="H366" s="420"/>
      <c r="I366" s="420"/>
    </row>
    <row r="367" spans="1:9">
      <c r="A367" s="426"/>
      <c r="B367" s="531"/>
      <c r="C367" s="420"/>
      <c r="D367" s="420"/>
      <c r="E367" s="420"/>
      <c r="F367" s="420"/>
      <c r="G367" s="420"/>
      <c r="H367" s="420"/>
      <c r="I367" s="420"/>
    </row>
    <row r="368" spans="1:9">
      <c r="A368" s="426"/>
      <c r="B368" s="531"/>
      <c r="C368" s="420"/>
      <c r="D368" s="420"/>
      <c r="E368" s="420"/>
      <c r="F368" s="420"/>
      <c r="G368" s="420"/>
      <c r="H368" s="420"/>
      <c r="I368" s="420"/>
    </row>
    <row r="369" spans="1:11">
      <c r="A369" s="426"/>
      <c r="B369" s="531"/>
      <c r="C369" s="420"/>
      <c r="D369" s="420"/>
      <c r="E369" s="420"/>
      <c r="F369" s="420"/>
      <c r="G369" s="420"/>
      <c r="H369" s="420"/>
      <c r="I369" s="420"/>
    </row>
    <row r="370" spans="1:11">
      <c r="A370" s="426"/>
      <c r="B370" s="531"/>
      <c r="C370" s="420"/>
      <c r="D370" s="420"/>
      <c r="E370" s="420"/>
      <c r="F370" s="420"/>
      <c r="G370" s="420"/>
      <c r="H370" s="420"/>
      <c r="I370" s="420"/>
    </row>
    <row r="371" spans="1:11">
      <c r="A371" s="426"/>
      <c r="B371" s="420"/>
      <c r="C371" s="420"/>
      <c r="D371" s="420"/>
      <c r="E371" s="420"/>
      <c r="F371" s="420"/>
      <c r="G371" s="420"/>
      <c r="H371" s="420"/>
      <c r="I371" s="420"/>
    </row>
    <row r="372" spans="1:11">
      <c r="A372" s="426"/>
      <c r="B372" s="420"/>
      <c r="C372" s="420"/>
      <c r="D372" s="420"/>
      <c r="E372" s="420"/>
      <c r="F372" s="420"/>
      <c r="G372" s="420"/>
      <c r="H372" s="420"/>
      <c r="I372" s="420"/>
    </row>
    <row r="373" spans="1:11">
      <c r="A373" s="529"/>
      <c r="B373" s="421"/>
    </row>
    <row r="374" spans="1:11">
      <c r="B374" s="421"/>
    </row>
    <row r="375" spans="1:11">
      <c r="B375" s="421"/>
    </row>
    <row r="376" spans="1:11">
      <c r="B376" s="421"/>
    </row>
    <row r="377" spans="1:11">
      <c r="B377" s="421"/>
    </row>
    <row r="378" spans="1:11">
      <c r="B378" s="421"/>
    </row>
    <row r="379" spans="1:11">
      <c r="B379" s="421"/>
    </row>
    <row r="380" spans="1:11">
      <c r="B380" s="421"/>
    </row>
    <row r="382" spans="1:11">
      <c r="A382" s="420"/>
      <c r="B382" s="425"/>
      <c r="C382" s="425"/>
      <c r="D382" s="425"/>
      <c r="E382" s="425"/>
      <c r="F382" s="471"/>
      <c r="G382" s="425"/>
      <c r="H382" s="425"/>
      <c r="I382" s="425"/>
      <c r="K382" s="465"/>
    </row>
    <row r="383" spans="1:11">
      <c r="A383" s="420"/>
      <c r="B383" s="425"/>
      <c r="C383" s="425"/>
      <c r="D383" s="425"/>
      <c r="E383" s="425"/>
      <c r="F383" s="471"/>
      <c r="G383" s="425"/>
      <c r="H383" s="425"/>
      <c r="I383" s="425"/>
      <c r="K383" s="465"/>
    </row>
    <row r="384" spans="1:11">
      <c r="A384" s="420"/>
      <c r="B384" s="425"/>
      <c r="C384" s="425"/>
      <c r="D384" s="425"/>
      <c r="E384" s="425"/>
      <c r="F384" s="471"/>
      <c r="G384" s="425"/>
      <c r="H384" s="425"/>
      <c r="I384" s="425"/>
      <c r="J384" s="471"/>
      <c r="K384" s="471"/>
    </row>
  </sheetData>
  <customSheetViews>
    <customSheetView guid="{E1861F40-EBD5-44AE-868B-FDE0ED504D72}" scale="75" showPageBreaks="1" printArea="1" view="pageBreakPreview" topLeftCell="A307">
      <selection activeCell="D146" sqref="D146"/>
      <rowBreaks count="4" manualBreakCount="4">
        <brk id="55" max="10" man="1"/>
        <brk id="129" max="16383" man="1"/>
        <brk id="206" max="16383" man="1"/>
        <brk id="285" max="16383" man="1"/>
      </rowBreaks>
      <pageMargins left="0.75" right="0.75" top="1" bottom="1" header="0.5" footer="0.5"/>
      <pageSetup scale="44" fitToHeight="5" orientation="portrait" r:id="rId1"/>
      <headerFooter alignWithMargins="0"/>
    </customSheetView>
  </customSheetViews>
  <mergeCells count="41">
    <mergeCell ref="L237:Q237"/>
    <mergeCell ref="E313:K313"/>
    <mergeCell ref="B303:K303"/>
    <mergeCell ref="B302:K302"/>
    <mergeCell ref="B306:K306"/>
    <mergeCell ref="B301:K301"/>
    <mergeCell ref="E312:K312"/>
    <mergeCell ref="B308:K308"/>
    <mergeCell ref="B310:K310"/>
    <mergeCell ref="B309:K309"/>
    <mergeCell ref="B311:K311"/>
    <mergeCell ref="B304:K304"/>
    <mergeCell ref="B307:K307"/>
    <mergeCell ref="B305:K305"/>
    <mergeCell ref="B325:K325"/>
    <mergeCell ref="B343:K343"/>
    <mergeCell ref="B342:K342"/>
    <mergeCell ref="B341:K341"/>
    <mergeCell ref="B339:K339"/>
    <mergeCell ref="B338:K338"/>
    <mergeCell ref="B329:K329"/>
    <mergeCell ref="B330:K330"/>
    <mergeCell ref="B328:K328"/>
    <mergeCell ref="B327:K327"/>
    <mergeCell ref="B326:K326"/>
    <mergeCell ref="B331:K331"/>
    <mergeCell ref="B332:K332"/>
    <mergeCell ref="B337:K337"/>
    <mergeCell ref="B336:K336"/>
    <mergeCell ref="B333:K333"/>
    <mergeCell ref="E314:K314"/>
    <mergeCell ref="B324:K324"/>
    <mergeCell ref="B323:K323"/>
    <mergeCell ref="B322:K322"/>
    <mergeCell ref="B321:K321"/>
    <mergeCell ref="B320:K320"/>
    <mergeCell ref="B316:K316"/>
    <mergeCell ref="B318:K318"/>
    <mergeCell ref="B317:K317"/>
    <mergeCell ref="B315:K315"/>
    <mergeCell ref="B319:K319"/>
  </mergeCells>
  <phoneticPr fontId="0" type="noConversion"/>
  <printOptions horizontalCentered="1"/>
  <pageMargins left="0.7" right="0.7" top="0.75" bottom="0.75" header="0.3" footer="0.3"/>
  <pageSetup scale="31" fitToWidth="0" fitToHeight="0" orientation="portrait" r:id="rId2"/>
  <headerFooter alignWithMargins="0"/>
  <rowBreaks count="4" manualBreakCount="4">
    <brk id="43" max="10" man="1"/>
    <brk id="117" max="10" man="1"/>
    <brk id="196" max="10" man="1"/>
    <brk id="288" max="10" man="1"/>
  </rowBreaks>
  <ignoredErrors>
    <ignoredError sqref="I276 I282" unlockedFormula="1"/>
    <ignoredError sqref="D36 D19"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N55"/>
  <sheetViews>
    <sheetView view="pageBreakPreview" zoomScale="90" zoomScaleNormal="90" zoomScaleSheetLayoutView="90" workbookViewId="0"/>
  </sheetViews>
  <sheetFormatPr defaultColWidth="8.88671875" defaultRowHeight="15"/>
  <cols>
    <col min="1" max="1" width="8.88671875" style="213"/>
    <col min="2" max="2" width="9" style="213" customWidth="1"/>
    <col min="3" max="3" width="27.21875" style="213" customWidth="1"/>
    <col min="4" max="4" width="3.109375" style="213" customWidth="1"/>
    <col min="5" max="5" width="14.88671875" style="213" customWidth="1"/>
    <col min="6" max="6" width="15.33203125" style="213" customWidth="1"/>
    <col min="7" max="8" width="13.77734375" style="213" customWidth="1"/>
    <col min="9" max="9" width="13.5546875" style="213" customWidth="1"/>
    <col min="10" max="10" width="16.5546875" style="213" customWidth="1"/>
    <col min="11" max="11" width="15.33203125" style="213" customWidth="1"/>
    <col min="12" max="12" width="12.88671875" style="213" customWidth="1"/>
    <col min="13" max="13" width="15.33203125" style="213" customWidth="1"/>
    <col min="14" max="14" width="13.77734375" style="213" customWidth="1"/>
    <col min="15" max="16384" width="8.88671875" style="213"/>
  </cols>
  <sheetData>
    <row r="1" spans="1:14" ht="15.75">
      <c r="M1" s="3" t="str">
        <f>'Attachment H-34A '!K1&amp;""&amp;", Attachment 5b"</f>
        <v>Attachment H-34A, Attachment 5b</v>
      </c>
    </row>
    <row r="2" spans="1:14" ht="15.75">
      <c r="M2" s="3" t="s">
        <v>186</v>
      </c>
    </row>
    <row r="3" spans="1:14" ht="15.75">
      <c r="M3" s="3" t="str">
        <f>'Attachment 1 - Sched 1A'!$J$3</f>
        <v>For the 12 months ended 12/31/2026</v>
      </c>
    </row>
    <row r="4" spans="1:14" ht="15.75">
      <c r="C4" s="42"/>
    </row>
    <row r="5" spans="1:14" ht="15.75" thickBot="1">
      <c r="C5" s="536" t="s">
        <v>104</v>
      </c>
      <c r="D5" s="218"/>
      <c r="E5" s="536" t="s">
        <v>105</v>
      </c>
      <c r="F5" s="536" t="s">
        <v>106</v>
      </c>
      <c r="G5" s="536" t="s">
        <v>107</v>
      </c>
      <c r="H5" s="536" t="s">
        <v>108</v>
      </c>
      <c r="I5" s="536" t="s">
        <v>109</v>
      </c>
      <c r="J5" s="536" t="s">
        <v>110</v>
      </c>
      <c r="K5" s="536" t="s">
        <v>112</v>
      </c>
      <c r="L5" s="536" t="s">
        <v>113</v>
      </c>
    </row>
    <row r="6" spans="1:14" ht="15.75" thickBot="1">
      <c r="A6" s="537" t="s">
        <v>5</v>
      </c>
      <c r="B6" s="537"/>
      <c r="C6" s="538"/>
      <c r="D6" s="539"/>
      <c r="E6" s="1034" t="str">
        <f>MID(M3:M3,31,10)&amp;" "&amp;"Quarterly Activity and Balances"</f>
        <v>2026 Quarterly Activity and Balances</v>
      </c>
      <c r="F6" s="1034"/>
      <c r="G6" s="1034"/>
      <c r="H6" s="1034"/>
      <c r="I6" s="1034"/>
      <c r="J6" s="1034"/>
      <c r="K6" s="1034"/>
      <c r="L6" s="1035"/>
    </row>
    <row r="7" spans="1:14">
      <c r="C7" s="215"/>
      <c r="E7" s="216"/>
      <c r="F7" s="216"/>
      <c r="G7" s="216"/>
      <c r="H7" s="216"/>
      <c r="I7" s="216"/>
      <c r="J7" s="216"/>
      <c r="K7" s="216"/>
      <c r="L7" s="217"/>
    </row>
    <row r="8" spans="1:14" ht="30">
      <c r="C8" s="540" t="s">
        <v>611</v>
      </c>
      <c r="D8" s="541"/>
      <c r="E8" s="542" t="s">
        <v>553</v>
      </c>
      <c r="F8" s="543" t="s">
        <v>554</v>
      </c>
      <c r="G8" s="542" t="s">
        <v>555</v>
      </c>
      <c r="H8" s="543" t="s">
        <v>556</v>
      </c>
      <c r="I8" s="542" t="s">
        <v>557</v>
      </c>
      <c r="J8" s="543" t="s">
        <v>558</v>
      </c>
      <c r="K8" s="542" t="s">
        <v>559</v>
      </c>
      <c r="L8" s="544" t="s">
        <v>560</v>
      </c>
    </row>
    <row r="9" spans="1:14">
      <c r="A9" s="545">
        <v>1</v>
      </c>
      <c r="B9" s="536" t="s">
        <v>581</v>
      </c>
      <c r="C9" s="546">
        <v>-1427782.3079533614</v>
      </c>
      <c r="D9" s="218"/>
      <c r="E9" s="547">
        <v>-434600.85313543159</v>
      </c>
      <c r="F9" s="218">
        <f>SUM(C9:E9)</f>
        <v>-1862383.1610887931</v>
      </c>
      <c r="G9" s="547">
        <v>1244563.2469888206</v>
      </c>
      <c r="H9" s="218">
        <f>SUM(F9:G9)</f>
        <v>-617819.91409997246</v>
      </c>
      <c r="I9" s="547">
        <v>-770048.65359009558</v>
      </c>
      <c r="J9" s="218">
        <f>SUM(H9:I9)</f>
        <v>-1387868.5676900679</v>
      </c>
      <c r="K9" s="547">
        <v>2665396.8180018188</v>
      </c>
      <c r="L9" s="221">
        <f>SUM(J9:K9)</f>
        <v>1277528.2503117509</v>
      </c>
    </row>
    <row r="10" spans="1:14">
      <c r="C10" s="222"/>
      <c r="D10" s="218"/>
      <c r="E10" s="218"/>
      <c r="F10" s="218"/>
      <c r="G10" s="218"/>
      <c r="H10" s="218"/>
      <c r="I10" s="218"/>
      <c r="J10" s="218"/>
      <c r="K10" s="218"/>
      <c r="L10" s="221"/>
    </row>
    <row r="11" spans="1:14" ht="30">
      <c r="C11" s="548" t="str">
        <f>C8</f>
        <v>Beginning 190 (including adjustments)</v>
      </c>
      <c r="D11" s="218"/>
      <c r="E11" s="219" t="s">
        <v>419</v>
      </c>
      <c r="F11" s="218"/>
      <c r="G11" s="219" t="s">
        <v>420</v>
      </c>
      <c r="H11" s="218"/>
      <c r="I11" s="219" t="s">
        <v>421</v>
      </c>
      <c r="J11" s="218"/>
      <c r="K11" s="219" t="s">
        <v>422</v>
      </c>
      <c r="L11" s="221"/>
    </row>
    <row r="12" spans="1:14">
      <c r="A12" s="545">
        <v>2</v>
      </c>
      <c r="B12" s="536" t="s">
        <v>581</v>
      </c>
      <c r="C12" s="220">
        <f>C9</f>
        <v>-1427782.3079533614</v>
      </c>
      <c r="D12" s="218"/>
      <c r="E12" s="219">
        <f>(276/365)*E9</f>
        <v>-328629.68620651815</v>
      </c>
      <c r="F12" s="218"/>
      <c r="G12" s="219">
        <f>(185/365)*G9</f>
        <v>630806.02929570363</v>
      </c>
      <c r="H12" s="218"/>
      <c r="I12" s="219">
        <f>(93/365)*I9</f>
        <v>-196204.17749007916</v>
      </c>
      <c r="J12" s="218"/>
      <c r="K12" s="219">
        <f>(1/365)*K9</f>
        <v>7302.4570356214217</v>
      </c>
      <c r="L12" s="221"/>
      <c r="M12" s="1001"/>
    </row>
    <row r="13" spans="1:14">
      <c r="C13" s="220"/>
      <c r="D13" s="218"/>
      <c r="E13" s="219"/>
      <c r="F13" s="218"/>
      <c r="G13" s="219"/>
      <c r="H13" s="218"/>
      <c r="I13" s="219"/>
      <c r="J13" s="218"/>
      <c r="K13" s="219"/>
      <c r="L13" s="221"/>
      <c r="M13" s="1001"/>
      <c r="N13" s="1002"/>
    </row>
    <row r="14" spans="1:14" ht="30">
      <c r="C14" s="548" t="s">
        <v>612</v>
      </c>
      <c r="D14" s="218"/>
      <c r="E14" s="542" t="s">
        <v>553</v>
      </c>
      <c r="F14" s="543" t="s">
        <v>554</v>
      </c>
      <c r="G14" s="542" t="s">
        <v>555</v>
      </c>
      <c r="H14" s="543" t="s">
        <v>556</v>
      </c>
      <c r="I14" s="542" t="s">
        <v>557</v>
      </c>
      <c r="J14" s="543" t="s">
        <v>558</v>
      </c>
      <c r="K14" s="542" t="s">
        <v>559</v>
      </c>
      <c r="L14" s="544" t="s">
        <v>560</v>
      </c>
      <c r="M14" s="1001"/>
    </row>
    <row r="15" spans="1:14">
      <c r="A15" s="545">
        <v>3</v>
      </c>
      <c r="B15" s="536" t="s">
        <v>581</v>
      </c>
      <c r="C15" s="546">
        <v>96346066.309999987</v>
      </c>
      <c r="D15" s="218"/>
      <c r="E15" s="547">
        <v>3106921.624980587</v>
      </c>
      <c r="F15" s="218">
        <f>SUM(C15:E15)</f>
        <v>99452987.934980571</v>
      </c>
      <c r="G15" s="547">
        <v>3621587.0946845645</v>
      </c>
      <c r="H15" s="218">
        <f>SUM(F15:G15)</f>
        <v>103074575.02966514</v>
      </c>
      <c r="I15" s="547">
        <v>2607789.7330071456</v>
      </c>
      <c r="J15" s="218">
        <f>SUM(H15:I15)</f>
        <v>105682364.76267229</v>
      </c>
      <c r="K15" s="547">
        <v>4594714.4873276707</v>
      </c>
      <c r="L15" s="221">
        <f>SUM(J15:K15)</f>
        <v>110277079.24999996</v>
      </c>
      <c r="M15" s="1001"/>
    </row>
    <row r="16" spans="1:14">
      <c r="C16" s="222"/>
      <c r="D16" s="218"/>
      <c r="E16" s="218"/>
      <c r="F16" s="218"/>
      <c r="G16" s="218"/>
      <c r="H16" s="218"/>
      <c r="I16" s="218"/>
      <c r="J16" s="218"/>
      <c r="K16" s="218"/>
      <c r="L16" s="221"/>
      <c r="M16" s="1001"/>
    </row>
    <row r="17" spans="1:14" ht="30">
      <c r="C17" s="548" t="str">
        <f>C14</f>
        <v xml:space="preserve">Beginning 282 (including adjustments) </v>
      </c>
      <c r="D17" s="218"/>
      <c r="E17" s="219" t="s">
        <v>419</v>
      </c>
      <c r="F17" s="218"/>
      <c r="G17" s="219" t="s">
        <v>420</v>
      </c>
      <c r="H17" s="218"/>
      <c r="I17" s="219" t="s">
        <v>421</v>
      </c>
      <c r="J17" s="218"/>
      <c r="K17" s="219" t="s">
        <v>422</v>
      </c>
      <c r="L17" s="221"/>
      <c r="M17" s="1001"/>
    </row>
    <row r="18" spans="1:14">
      <c r="A18" s="545">
        <v>4</v>
      </c>
      <c r="B18" s="536" t="s">
        <v>581</v>
      </c>
      <c r="C18" s="220">
        <f>C15</f>
        <v>96346066.309999987</v>
      </c>
      <c r="D18" s="218"/>
      <c r="E18" s="219">
        <f>(276/365)*E15</f>
        <v>2349343.4753277865</v>
      </c>
      <c r="F18" s="218"/>
      <c r="G18" s="219">
        <f>(185/365)*G15</f>
        <v>1835598.9384017657</v>
      </c>
      <c r="H18" s="218"/>
      <c r="I18" s="219">
        <f>(93/365)*I15</f>
        <v>664450.53471140971</v>
      </c>
      <c r="J18" s="218"/>
      <c r="K18" s="219">
        <f>(1/365)*K15</f>
        <v>12588.258869390878</v>
      </c>
      <c r="L18" s="221"/>
      <c r="M18" s="1001"/>
    </row>
    <row r="19" spans="1:14">
      <c r="C19" s="220"/>
      <c r="D19" s="218"/>
      <c r="E19" s="219"/>
      <c r="F19" s="218"/>
      <c r="G19" s="219"/>
      <c r="H19" s="218"/>
      <c r="I19" s="219"/>
      <c r="J19" s="218"/>
      <c r="K19" s="219"/>
      <c r="L19" s="221"/>
      <c r="M19" s="1001"/>
      <c r="N19" s="1002"/>
    </row>
    <row r="20" spans="1:14">
      <c r="C20" s="548" t="s">
        <v>613</v>
      </c>
      <c r="D20" s="218"/>
      <c r="E20" s="542" t="s">
        <v>553</v>
      </c>
      <c r="F20" s="543" t="s">
        <v>554</v>
      </c>
      <c r="G20" s="542" t="s">
        <v>555</v>
      </c>
      <c r="H20" s="543" t="s">
        <v>556</v>
      </c>
      <c r="I20" s="542" t="s">
        <v>557</v>
      </c>
      <c r="J20" s="543" t="s">
        <v>558</v>
      </c>
      <c r="K20" s="542" t="s">
        <v>559</v>
      </c>
      <c r="L20" s="544" t="s">
        <v>560</v>
      </c>
      <c r="M20" s="1001"/>
    </row>
    <row r="21" spans="1:14">
      <c r="A21" s="545">
        <v>5</v>
      </c>
      <c r="B21" s="536" t="s">
        <v>581</v>
      </c>
      <c r="C21" s="546">
        <v>2215376.5135601354</v>
      </c>
      <c r="D21" s="218"/>
      <c r="E21" s="547">
        <v>85892.032720112373</v>
      </c>
      <c r="F21" s="218">
        <f>SUM(C21:E21)</f>
        <v>2301268.5462802476</v>
      </c>
      <c r="G21" s="547">
        <v>-312257.94807830377</v>
      </c>
      <c r="H21" s="218">
        <f>SUM(F21:G21)</f>
        <v>1989010.5982019438</v>
      </c>
      <c r="I21" s="547">
        <v>-115045.97970779691</v>
      </c>
      <c r="J21" s="218">
        <f>SUM(H21:I21)</f>
        <v>1873964.618494147</v>
      </c>
      <c r="K21" s="547">
        <v>-362401.87190723995</v>
      </c>
      <c r="L21" s="221">
        <f>SUM(J21:K21)</f>
        <v>1511562.746586907</v>
      </c>
      <c r="M21" s="1001"/>
    </row>
    <row r="22" spans="1:14">
      <c r="C22" s="222"/>
      <c r="D22" s="218"/>
      <c r="E22" s="218"/>
      <c r="F22" s="218"/>
      <c r="G22" s="218"/>
      <c r="H22" s="218"/>
      <c r="I22" s="218"/>
      <c r="J22" s="218"/>
      <c r="K22" s="218"/>
      <c r="L22" s="221"/>
      <c r="M22" s="1001"/>
    </row>
    <row r="23" spans="1:14">
      <c r="B23" s="549"/>
      <c r="C23" s="548" t="s">
        <v>552</v>
      </c>
      <c r="D23" s="218"/>
      <c r="E23" s="219" t="s">
        <v>419</v>
      </c>
      <c r="F23" s="218"/>
      <c r="G23" s="219" t="s">
        <v>420</v>
      </c>
      <c r="H23" s="218"/>
      <c r="I23" s="219" t="s">
        <v>421</v>
      </c>
      <c r="J23" s="218"/>
      <c r="K23" s="219" t="s">
        <v>422</v>
      </c>
      <c r="L23" s="221"/>
      <c r="M23" s="1001"/>
    </row>
    <row r="24" spans="1:14" ht="15.75" thickBot="1">
      <c r="A24" s="545">
        <v>6</v>
      </c>
      <c r="B24" s="536" t="s">
        <v>581</v>
      </c>
      <c r="C24" s="324">
        <f>C21</f>
        <v>2215376.5135601354</v>
      </c>
      <c r="D24" s="303"/>
      <c r="E24" s="402">
        <f>(276/365)*E21</f>
        <v>64948.495974660313</v>
      </c>
      <c r="F24" s="303"/>
      <c r="G24" s="402">
        <f>(185/365)*G21</f>
        <v>-158267.72710818137</v>
      </c>
      <c r="H24" s="303"/>
      <c r="I24" s="402">
        <f>(93/365)*I21</f>
        <v>-29313.085240616747</v>
      </c>
      <c r="J24" s="303"/>
      <c r="K24" s="402">
        <f>(1/365)*K21</f>
        <v>-992.88184084175327</v>
      </c>
      <c r="L24" s="325"/>
      <c r="M24" s="1001"/>
    </row>
    <row r="25" spans="1:14">
      <c r="M25" s="1001"/>
      <c r="N25" s="1002"/>
    </row>
    <row r="31" spans="1:14" ht="15.75">
      <c r="M31" s="3"/>
    </row>
    <row r="32" spans="1:14" ht="15.75">
      <c r="M32" s="3"/>
    </row>
    <row r="33" spans="1:13" ht="15.75">
      <c r="G33" s="1036" t="str">
        <f>MID(M3:M3,31,10)&amp;" "&amp;"PTRR"</f>
        <v>2026 PTRR</v>
      </c>
      <c r="H33" s="1037"/>
      <c r="M33" s="3"/>
    </row>
    <row r="35" spans="1:13">
      <c r="E35" s="566" t="s">
        <v>114</v>
      </c>
      <c r="F35" s="566" t="s">
        <v>115</v>
      </c>
      <c r="G35" s="566" t="s">
        <v>119</v>
      </c>
      <c r="H35" s="566" t="s">
        <v>120</v>
      </c>
      <c r="I35" s="566" t="s">
        <v>121</v>
      </c>
      <c r="J35" s="566" t="s">
        <v>122</v>
      </c>
      <c r="K35" s="566" t="s">
        <v>124</v>
      </c>
      <c r="L35" s="536"/>
      <c r="M35" s="536"/>
    </row>
    <row r="36" spans="1:13" ht="42.95" customHeight="1">
      <c r="E36" s="947" t="s">
        <v>1120</v>
      </c>
      <c r="F36" s="542" t="s">
        <v>582</v>
      </c>
      <c r="G36" s="567" t="s">
        <v>607</v>
      </c>
      <c r="H36" s="566" t="s">
        <v>608</v>
      </c>
      <c r="I36" s="947" t="s">
        <v>1121</v>
      </c>
      <c r="J36" s="566" t="s">
        <v>609</v>
      </c>
      <c r="K36" s="567" t="s">
        <v>610</v>
      </c>
      <c r="L36" s="536"/>
      <c r="M36" s="536"/>
    </row>
    <row r="37" spans="1:13" ht="61.5" customHeight="1">
      <c r="A37" s="537" t="s">
        <v>5</v>
      </c>
      <c r="B37" s="537"/>
      <c r="C37" s="550" t="s">
        <v>586</v>
      </c>
      <c r="E37" s="628" t="s">
        <v>685</v>
      </c>
      <c r="F37" s="551" t="s">
        <v>587</v>
      </c>
      <c r="G37" s="552" t="s">
        <v>588</v>
      </c>
      <c r="H37" s="552" t="s">
        <v>589</v>
      </c>
      <c r="I37" s="552" t="s">
        <v>590</v>
      </c>
      <c r="J37" s="552" t="s">
        <v>687</v>
      </c>
      <c r="K37" s="552" t="s">
        <v>686</v>
      </c>
    </row>
    <row r="39" spans="1:13">
      <c r="A39" s="545">
        <v>7</v>
      </c>
      <c r="B39" s="545" t="s">
        <v>581</v>
      </c>
      <c r="C39" s="553" t="s">
        <v>591</v>
      </c>
      <c r="E39" s="559">
        <f>'Attachment 5 - ADIT Summary'!H16</f>
        <v>12018141.345411751</v>
      </c>
      <c r="F39" s="218">
        <f>E9+G9+I9+K9</f>
        <v>2705310.5582651123</v>
      </c>
      <c r="G39" s="218">
        <f>C12+E12+G12+I12+K12</f>
        <v>-1314507.6853186337</v>
      </c>
      <c r="H39" s="307">
        <f>E39-G39</f>
        <v>13332649.030730385</v>
      </c>
      <c r="I39" s="559">
        <f>SUM('Attachment 5 - ADIT Summary'!F33:J33)</f>
        <v>10740613.095099999</v>
      </c>
      <c r="J39" s="555">
        <f>H39-I39</f>
        <v>2592035.9356303867</v>
      </c>
      <c r="K39" s="555">
        <f>E39-I39-J39</f>
        <v>-1314507.6853186339</v>
      </c>
    </row>
    <row r="40" spans="1:13">
      <c r="H40" s="307"/>
      <c r="I40" s="559"/>
      <c r="J40" s="307"/>
      <c r="K40" s="307"/>
    </row>
    <row r="41" spans="1:13">
      <c r="A41" s="545">
        <v>8</v>
      </c>
      <c r="B41" s="545" t="s">
        <v>581</v>
      </c>
      <c r="C41" s="553" t="s">
        <v>592</v>
      </c>
      <c r="E41" s="559">
        <f>'Attachment 5 - ADIT Summary'!F16</f>
        <v>100606028.87819998</v>
      </c>
      <c r="F41" s="218">
        <f>E15+G15+I15+K15</f>
        <v>13931012.939999968</v>
      </c>
      <c r="G41" s="218">
        <f>C18+E18+G18+I18+K18</f>
        <v>101208047.51731034</v>
      </c>
      <c r="H41" s="307">
        <f>E41-G41</f>
        <v>-602018.63911035657</v>
      </c>
      <c r="I41" s="559">
        <f>SUM('Attachment 5 - ADIT Summary'!F25:J25)</f>
        <v>-9671050.7817999981</v>
      </c>
      <c r="J41" s="555">
        <f>H41-I41</f>
        <v>9069032.1426896416</v>
      </c>
      <c r="K41" s="555">
        <f>-E41+I41+J41</f>
        <v>-101208047.51731034</v>
      </c>
    </row>
    <row r="42" spans="1:13">
      <c r="A42" s="545"/>
      <c r="B42" s="545"/>
      <c r="H42" s="307"/>
      <c r="I42" s="559"/>
      <c r="J42" s="307"/>
      <c r="K42" s="307"/>
    </row>
    <row r="43" spans="1:13">
      <c r="A43" s="545">
        <v>9</v>
      </c>
      <c r="B43" s="545" t="s">
        <v>581</v>
      </c>
      <c r="C43" s="553" t="s">
        <v>593</v>
      </c>
      <c r="E43" s="559">
        <f>'Attachment 5 - ADIT Summary'!G16</f>
        <v>-2583918.7499892768</v>
      </c>
      <c r="F43" s="218">
        <f>E21+G21+I21+K21</f>
        <v>-703813.76697322819</v>
      </c>
      <c r="G43" s="218">
        <f>C24+E24+G24+I24+K24</f>
        <v>2091751.3153451558</v>
      </c>
      <c r="H43" s="307">
        <f>E43-G43</f>
        <v>-4675670.0653344328</v>
      </c>
      <c r="I43" s="559">
        <f>SUM('Attachment 5 - ADIT Summary'!F29:J29)</f>
        <v>-4095481.4965761844</v>
      </c>
      <c r="J43" s="555">
        <f>H43-I43</f>
        <v>-580188.56875824835</v>
      </c>
      <c r="K43" s="555">
        <f>-E43+I43+J43</f>
        <v>-2091751.315345156</v>
      </c>
    </row>
    <row r="44" spans="1:13">
      <c r="A44" s="545"/>
      <c r="B44" s="545"/>
      <c r="H44" s="307"/>
      <c r="I44" s="556"/>
      <c r="J44" s="307"/>
      <c r="K44" s="307"/>
    </row>
    <row r="45" spans="1:13">
      <c r="A45" s="545">
        <v>10</v>
      </c>
      <c r="B45" s="545" t="s">
        <v>581</v>
      </c>
      <c r="C45" s="553" t="s">
        <v>594</v>
      </c>
      <c r="E45" s="307">
        <f>E39-E41-E43</f>
        <v>-86003968.782798961</v>
      </c>
      <c r="F45" s="307">
        <f>F39-F41-F43</f>
        <v>-10521888.614761628</v>
      </c>
      <c r="G45" s="307">
        <f>G39-G41-G43</f>
        <v>-104614306.51797412</v>
      </c>
      <c r="H45" s="307">
        <f>H39-H41-H43</f>
        <v>18610337.735175174</v>
      </c>
      <c r="I45" s="307">
        <f>I39+I41+I43</f>
        <v>-3025919.1832761839</v>
      </c>
      <c r="J45" s="307">
        <f>J39+J41+J43</f>
        <v>11080879.509561781</v>
      </c>
      <c r="K45" s="307">
        <f>K39+K41+K43</f>
        <v>-104614306.51797412</v>
      </c>
    </row>
    <row r="46" spans="1:13">
      <c r="A46" s="545"/>
      <c r="B46" s="545"/>
    </row>
    <row r="47" spans="1:13">
      <c r="A47" s="545"/>
      <c r="B47" s="545"/>
    </row>
    <row r="48" spans="1:13">
      <c r="A48" s="545"/>
      <c r="B48" s="545"/>
    </row>
    <row r="49" spans="1:13">
      <c r="A49" s="545"/>
      <c r="B49" s="545"/>
      <c r="K49" s="307"/>
      <c r="M49" s="307"/>
    </row>
    <row r="50" spans="1:13">
      <c r="A50" s="545"/>
      <c r="B50" s="214" t="s">
        <v>595</v>
      </c>
    </row>
    <row r="51" spans="1:13">
      <c r="A51" s="545"/>
      <c r="B51" s="1039" t="s">
        <v>617</v>
      </c>
      <c r="C51" s="1039"/>
      <c r="D51" s="1039"/>
      <c r="E51" s="1039"/>
      <c r="F51" s="1039"/>
      <c r="G51" s="1039"/>
    </row>
    <row r="52" spans="1:13">
      <c r="A52" s="545"/>
      <c r="B52" s="1038"/>
      <c r="C52" s="1038"/>
      <c r="D52" s="1038"/>
      <c r="E52" s="1038"/>
      <c r="F52" s="1038"/>
      <c r="G52" s="1038"/>
    </row>
    <row r="53" spans="1:13">
      <c r="A53" s="545"/>
    </row>
    <row r="54" spans="1:13">
      <c r="A54" s="545"/>
    </row>
    <row r="55" spans="1:13">
      <c r="A55" s="545"/>
    </row>
  </sheetData>
  <mergeCells count="4">
    <mergeCell ref="E6:L6"/>
    <mergeCell ref="G33:H33"/>
    <mergeCell ref="B52:G52"/>
    <mergeCell ref="B51:G51"/>
  </mergeCells>
  <pageMargins left="0.7" right="0.7" top="0.75" bottom="0.75" header="0.3" footer="0.3"/>
  <pageSetup scale="5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13A6-6361-4A33-AE08-D396E3741D29}">
  <dimension ref="A1:M77"/>
  <sheetViews>
    <sheetView view="pageBreakPreview" zoomScale="60" zoomScaleNormal="90" workbookViewId="0"/>
  </sheetViews>
  <sheetFormatPr defaultColWidth="8.88671875" defaultRowHeight="15"/>
  <cols>
    <col min="1" max="1" width="8.88671875" style="213"/>
    <col min="2" max="2" width="9" style="213" customWidth="1"/>
    <col min="3" max="3" width="27.21875" style="213" customWidth="1"/>
    <col min="4" max="4" width="3.109375" style="213" customWidth="1"/>
    <col min="5" max="5" width="14.88671875" style="213" customWidth="1"/>
    <col min="6" max="6" width="15.33203125" style="213" customWidth="1"/>
    <col min="7" max="8" width="13.77734375" style="213" customWidth="1"/>
    <col min="9" max="9" width="13.5546875" style="213" customWidth="1"/>
    <col min="10" max="10" width="16.5546875" style="213" customWidth="1"/>
    <col min="11" max="11" width="15.33203125" style="213" customWidth="1"/>
    <col min="12" max="12" width="12.88671875" style="213" customWidth="1"/>
    <col min="13" max="13" width="17.109375" style="213" customWidth="1"/>
    <col min="14" max="16384" width="8.88671875" style="213"/>
  </cols>
  <sheetData>
    <row r="1" spans="1:13" ht="15.75">
      <c r="M1" s="3" t="str">
        <f>'Attachment H-34A '!K1&amp;""&amp;", Attachment 5c"</f>
        <v>Attachment H-34A, Attachment 5c</v>
      </c>
    </row>
    <row r="2" spans="1:13" ht="15.75">
      <c r="M2" s="3" t="s">
        <v>189</v>
      </c>
    </row>
    <row r="3" spans="1:13" ht="15.75">
      <c r="M3" s="3" t="str">
        <f>'Attachment H-34A '!K4</f>
        <v>For the 12 months ended 12/31/2026</v>
      </c>
    </row>
    <row r="4" spans="1:13" ht="15.75">
      <c r="C4" s="42"/>
    </row>
    <row r="5" spans="1:13" ht="15.75" thickBot="1">
      <c r="C5" s="536" t="s">
        <v>104</v>
      </c>
      <c r="D5" s="218"/>
      <c r="E5" s="536" t="s">
        <v>105</v>
      </c>
      <c r="F5" s="536" t="s">
        <v>106</v>
      </c>
      <c r="G5" s="536" t="s">
        <v>107</v>
      </c>
      <c r="H5" s="536" t="s">
        <v>108</v>
      </c>
      <c r="I5" s="536" t="s">
        <v>109</v>
      </c>
      <c r="J5" s="536" t="s">
        <v>110</v>
      </c>
      <c r="K5" s="536" t="s">
        <v>112</v>
      </c>
      <c r="L5" s="536" t="s">
        <v>113</v>
      </c>
    </row>
    <row r="6" spans="1:13" ht="15.75" thickBot="1">
      <c r="A6" s="537" t="s">
        <v>5</v>
      </c>
      <c r="B6" s="537"/>
      <c r="C6" s="538"/>
      <c r="D6" s="539"/>
      <c r="E6" s="1034" t="str">
        <f>MID(M3:M3,31,10)&amp;" "&amp;"Quarterly Activity and Balances"</f>
        <v>2026 Quarterly Activity and Balances</v>
      </c>
      <c r="F6" s="1034"/>
      <c r="G6" s="1034"/>
      <c r="H6" s="1034"/>
      <c r="I6" s="1034"/>
      <c r="J6" s="1034"/>
      <c r="K6" s="1034"/>
      <c r="L6" s="1035"/>
    </row>
    <row r="7" spans="1:13">
      <c r="C7" s="215"/>
      <c r="E7" s="216"/>
      <c r="F7" s="216"/>
      <c r="G7" s="216"/>
      <c r="H7" s="216"/>
      <c r="I7" s="216"/>
      <c r="J7" s="216"/>
      <c r="K7" s="216"/>
      <c r="L7" s="217"/>
    </row>
    <row r="8" spans="1:13" ht="30">
      <c r="C8" s="540" t="s">
        <v>614</v>
      </c>
      <c r="D8" s="541"/>
      <c r="E8" s="542" t="s">
        <v>553</v>
      </c>
      <c r="F8" s="543" t="s">
        <v>554</v>
      </c>
      <c r="G8" s="542" t="s">
        <v>555</v>
      </c>
      <c r="H8" s="543" t="s">
        <v>556</v>
      </c>
      <c r="I8" s="542" t="s">
        <v>557</v>
      </c>
      <c r="J8" s="543" t="s">
        <v>558</v>
      </c>
      <c r="K8" s="542" t="s">
        <v>559</v>
      </c>
      <c r="L8" s="544" t="s">
        <v>560</v>
      </c>
    </row>
    <row r="9" spans="1:13">
      <c r="A9" s="545">
        <v>1</v>
      </c>
      <c r="B9" s="536" t="s">
        <v>581</v>
      </c>
      <c r="C9" s="546"/>
      <c r="D9" s="218"/>
      <c r="E9" s="547"/>
      <c r="F9" s="218">
        <f>SUM(C9:E9)</f>
        <v>0</v>
      </c>
      <c r="G9" s="547"/>
      <c r="H9" s="218">
        <f>SUM(F9:G9)</f>
        <v>0</v>
      </c>
      <c r="I9" s="547"/>
      <c r="J9" s="218">
        <f>SUM(H9:I9)</f>
        <v>0</v>
      </c>
      <c r="K9" s="547"/>
      <c r="L9" s="221">
        <f>SUM(J9:K9)</f>
        <v>0</v>
      </c>
    </row>
    <row r="10" spans="1:13">
      <c r="A10" s="545">
        <v>2</v>
      </c>
      <c r="B10" s="536" t="s">
        <v>596</v>
      </c>
      <c r="C10" s="546"/>
      <c r="D10" s="218"/>
      <c r="E10" s="547"/>
      <c r="F10" s="218">
        <f>SUM(C10:E10)</f>
        <v>0</v>
      </c>
      <c r="G10" s="547"/>
      <c r="H10" s="218">
        <f>SUM(F10:G10)</f>
        <v>0</v>
      </c>
      <c r="I10" s="547"/>
      <c r="J10" s="218">
        <f>SUM(H10:I10)</f>
        <v>0</v>
      </c>
      <c r="K10" s="547"/>
      <c r="L10" s="221">
        <f>SUM(J10:K10)</f>
        <v>0</v>
      </c>
      <c r="M10" s="588"/>
    </row>
    <row r="11" spans="1:13">
      <c r="C11" s="222"/>
      <c r="D11" s="218"/>
      <c r="E11" s="218"/>
      <c r="F11" s="218"/>
      <c r="G11" s="218"/>
      <c r="H11" s="218"/>
      <c r="I11" s="218"/>
      <c r="J11" s="218"/>
      <c r="K11" s="218"/>
      <c r="L11" s="221"/>
    </row>
    <row r="12" spans="1:13" ht="30">
      <c r="C12" s="548" t="str">
        <f>C8</f>
        <v xml:space="preserve">Beginning 190 (including adjustments) </v>
      </c>
      <c r="D12" s="218"/>
      <c r="E12" s="219" t="s">
        <v>419</v>
      </c>
      <c r="F12" s="218"/>
      <c r="G12" s="219" t="s">
        <v>420</v>
      </c>
      <c r="H12" s="218"/>
      <c r="I12" s="219" t="s">
        <v>421</v>
      </c>
      <c r="J12" s="218"/>
      <c r="K12" s="219" t="s">
        <v>422</v>
      </c>
      <c r="L12" s="221"/>
    </row>
    <row r="13" spans="1:13">
      <c r="A13" s="545">
        <v>3</v>
      </c>
      <c r="B13" s="536" t="s">
        <v>581</v>
      </c>
      <c r="C13" s="220">
        <f>C9</f>
        <v>0</v>
      </c>
      <c r="D13" s="218"/>
      <c r="E13" s="219">
        <f>(276/365)*E9</f>
        <v>0</v>
      </c>
      <c r="F13" s="218"/>
      <c r="G13" s="219">
        <f>(185/365)*G9</f>
        <v>0</v>
      </c>
      <c r="H13" s="218"/>
      <c r="I13" s="219">
        <f>(93/365)*I9</f>
        <v>0</v>
      </c>
      <c r="J13" s="218"/>
      <c r="K13" s="219">
        <f>(1/365)*K9</f>
        <v>0</v>
      </c>
      <c r="L13" s="221"/>
      <c r="M13" s="589"/>
    </row>
    <row r="14" spans="1:13">
      <c r="A14" s="545">
        <v>4</v>
      </c>
      <c r="B14" s="536" t="s">
        <v>596</v>
      </c>
      <c r="C14" s="220">
        <f>C10</f>
        <v>0</v>
      </c>
      <c r="D14" s="218"/>
      <c r="E14" s="219">
        <f>(276/365)*E10</f>
        <v>0</v>
      </c>
      <c r="F14" s="218"/>
      <c r="G14" s="219">
        <f>(185/365)*G10</f>
        <v>0</v>
      </c>
      <c r="H14" s="218"/>
      <c r="I14" s="219">
        <f>(93/365)*I10</f>
        <v>0</v>
      </c>
      <c r="J14" s="218"/>
      <c r="K14" s="219">
        <f>(1/365)*K10</f>
        <v>0</v>
      </c>
      <c r="L14" s="221"/>
      <c r="M14" s="589"/>
    </row>
    <row r="15" spans="1:13">
      <c r="C15" s="220"/>
      <c r="D15" s="218"/>
      <c r="E15" s="219"/>
      <c r="F15" s="218"/>
      <c r="G15" s="219"/>
      <c r="H15" s="218"/>
      <c r="I15" s="219"/>
      <c r="J15" s="218"/>
      <c r="K15" s="219"/>
      <c r="L15" s="221"/>
      <c r="M15" s="589"/>
    </row>
    <row r="16" spans="1:13" ht="30">
      <c r="C16" s="548" t="s">
        <v>612</v>
      </c>
      <c r="D16" s="218"/>
      <c r="E16" s="542" t="s">
        <v>553</v>
      </c>
      <c r="F16" s="543" t="s">
        <v>554</v>
      </c>
      <c r="G16" s="542" t="s">
        <v>555</v>
      </c>
      <c r="H16" s="543" t="s">
        <v>556</v>
      </c>
      <c r="I16" s="542" t="s">
        <v>557</v>
      </c>
      <c r="J16" s="543" t="s">
        <v>558</v>
      </c>
      <c r="K16" s="542" t="s">
        <v>559</v>
      </c>
      <c r="L16" s="544" t="s">
        <v>560</v>
      </c>
      <c r="M16" s="589"/>
    </row>
    <row r="17" spans="1:13">
      <c r="A17" s="545">
        <v>5</v>
      </c>
      <c r="B17" s="536" t="s">
        <v>581</v>
      </c>
      <c r="C17" s="546"/>
      <c r="D17" s="218"/>
      <c r="E17" s="547"/>
      <c r="F17" s="218">
        <f>SUM(C17:E17)</f>
        <v>0</v>
      </c>
      <c r="G17" s="547"/>
      <c r="H17" s="218">
        <f>SUM(F17:G17)</f>
        <v>0</v>
      </c>
      <c r="I17" s="547"/>
      <c r="J17" s="218">
        <f>SUM(H17:I17)</f>
        <v>0</v>
      </c>
      <c r="K17" s="547"/>
      <c r="L17" s="221">
        <f>SUM(J17:K17)</f>
        <v>0</v>
      </c>
      <c r="M17" s="589"/>
    </row>
    <row r="18" spans="1:13">
      <c r="A18" s="545">
        <v>6</v>
      </c>
      <c r="B18" s="536" t="s">
        <v>596</v>
      </c>
      <c r="C18" s="546"/>
      <c r="D18" s="218"/>
      <c r="E18" s="547"/>
      <c r="F18" s="218">
        <f>SUM(C18:E18)</f>
        <v>0</v>
      </c>
      <c r="G18" s="547"/>
      <c r="H18" s="218">
        <f>SUM(F18:G18)</f>
        <v>0</v>
      </c>
      <c r="I18" s="547"/>
      <c r="J18" s="218">
        <f>SUM(H18:I18)</f>
        <v>0</v>
      </c>
      <c r="K18" s="547"/>
      <c r="L18" s="221">
        <f>SUM(J18:K18)</f>
        <v>0</v>
      </c>
      <c r="M18" s="588"/>
    </row>
    <row r="19" spans="1:13">
      <c r="C19" s="222"/>
      <c r="D19" s="218"/>
      <c r="E19" s="218"/>
      <c r="F19" s="218"/>
      <c r="G19" s="218"/>
      <c r="H19" s="218"/>
      <c r="I19" s="218"/>
      <c r="J19" s="218"/>
      <c r="K19" s="218"/>
      <c r="L19" s="221"/>
      <c r="M19" s="589"/>
    </row>
    <row r="20" spans="1:13" ht="30">
      <c r="C20" s="548" t="str">
        <f>C16</f>
        <v xml:space="preserve">Beginning 282 (including adjustments) </v>
      </c>
      <c r="D20" s="218"/>
      <c r="E20" s="219" t="s">
        <v>419</v>
      </c>
      <c r="F20" s="218"/>
      <c r="G20" s="219" t="s">
        <v>420</v>
      </c>
      <c r="H20" s="218"/>
      <c r="I20" s="219" t="s">
        <v>421</v>
      </c>
      <c r="J20" s="218"/>
      <c r="K20" s="219" t="s">
        <v>422</v>
      </c>
      <c r="L20" s="221"/>
      <c r="M20" s="589"/>
    </row>
    <row r="21" spans="1:13">
      <c r="A21" s="545">
        <v>7</v>
      </c>
      <c r="B21" s="536" t="s">
        <v>581</v>
      </c>
      <c r="C21" s="220">
        <f>C17</f>
        <v>0</v>
      </c>
      <c r="D21" s="218"/>
      <c r="E21" s="219">
        <f>(276/365)*E17</f>
        <v>0</v>
      </c>
      <c r="F21" s="218"/>
      <c r="G21" s="219">
        <f>(185/365)*G17</f>
        <v>0</v>
      </c>
      <c r="H21" s="218"/>
      <c r="I21" s="219">
        <f>(93/365)*I17</f>
        <v>0</v>
      </c>
      <c r="J21" s="218"/>
      <c r="K21" s="219">
        <f>(1/365)*K17</f>
        <v>0</v>
      </c>
      <c r="L21" s="221"/>
      <c r="M21" s="589"/>
    </row>
    <row r="22" spans="1:13">
      <c r="A22" s="545">
        <v>8</v>
      </c>
      <c r="B22" s="536" t="s">
        <v>596</v>
      </c>
      <c r="C22" s="220">
        <f>C18</f>
        <v>0</v>
      </c>
      <c r="D22" s="218"/>
      <c r="E22" s="219">
        <f>(276/365)*E18</f>
        <v>0</v>
      </c>
      <c r="F22" s="218"/>
      <c r="G22" s="219">
        <f>(185/365)*G18</f>
        <v>0</v>
      </c>
      <c r="H22" s="218"/>
      <c r="I22" s="219">
        <f>(93/365)*I18</f>
        <v>0</v>
      </c>
      <c r="J22" s="218"/>
      <c r="K22" s="219">
        <f>(1/365)*K18</f>
        <v>0</v>
      </c>
      <c r="L22" s="221"/>
      <c r="M22" s="589"/>
    </row>
    <row r="23" spans="1:13">
      <c r="C23" s="220"/>
      <c r="D23" s="218"/>
      <c r="E23" s="219"/>
      <c r="F23" s="218"/>
      <c r="G23" s="219"/>
      <c r="H23" s="218"/>
      <c r="I23" s="219"/>
      <c r="J23" s="218"/>
      <c r="K23" s="219"/>
      <c r="L23" s="221"/>
      <c r="M23" s="589"/>
    </row>
    <row r="24" spans="1:13">
      <c r="C24" s="548" t="s">
        <v>613</v>
      </c>
      <c r="D24" s="218"/>
      <c r="E24" s="542" t="s">
        <v>553</v>
      </c>
      <c r="F24" s="543" t="s">
        <v>554</v>
      </c>
      <c r="G24" s="542" t="s">
        <v>555</v>
      </c>
      <c r="H24" s="543" t="s">
        <v>556</v>
      </c>
      <c r="I24" s="542" t="s">
        <v>557</v>
      </c>
      <c r="J24" s="543" t="s">
        <v>558</v>
      </c>
      <c r="K24" s="542" t="s">
        <v>559</v>
      </c>
      <c r="L24" s="544" t="s">
        <v>560</v>
      </c>
      <c r="M24" s="589"/>
    </row>
    <row r="25" spans="1:13">
      <c r="A25" s="545">
        <v>9</v>
      </c>
      <c r="B25" s="536" t="s">
        <v>581</v>
      </c>
      <c r="C25" s="546"/>
      <c r="D25" s="218"/>
      <c r="E25" s="547"/>
      <c r="F25" s="218">
        <f>SUM(C25:E25)</f>
        <v>0</v>
      </c>
      <c r="G25" s="547"/>
      <c r="H25" s="218">
        <f>SUM(F25:G25)</f>
        <v>0</v>
      </c>
      <c r="I25" s="547"/>
      <c r="J25" s="218">
        <f>SUM(H25:I25)</f>
        <v>0</v>
      </c>
      <c r="K25" s="547"/>
      <c r="L25" s="221">
        <f>SUM(J25:K25)</f>
        <v>0</v>
      </c>
      <c r="M25" s="589"/>
    </row>
    <row r="26" spans="1:13">
      <c r="A26" s="545">
        <v>10</v>
      </c>
      <c r="B26" s="536" t="s">
        <v>596</v>
      </c>
      <c r="C26" s="546"/>
      <c r="D26" s="218"/>
      <c r="E26" s="547"/>
      <c r="F26" s="218">
        <f>SUM(C26:E26)</f>
        <v>0</v>
      </c>
      <c r="G26" s="557"/>
      <c r="H26" s="218">
        <f>SUM(F26:G26)</f>
        <v>0</v>
      </c>
      <c r="I26" s="547"/>
      <c r="J26" s="218">
        <f>SUM(H26:I26)</f>
        <v>0</v>
      </c>
      <c r="K26" s="547"/>
      <c r="L26" s="221">
        <f>SUM(J26:K26)</f>
        <v>0</v>
      </c>
      <c r="M26" s="588"/>
    </row>
    <row r="27" spans="1:13">
      <c r="C27" s="222"/>
      <c r="D27" s="218"/>
      <c r="E27" s="218"/>
      <c r="F27" s="218"/>
      <c r="G27" s="218"/>
      <c r="H27" s="218"/>
      <c r="I27" s="218"/>
      <c r="J27" s="218"/>
      <c r="K27" s="218"/>
      <c r="L27" s="221"/>
      <c r="M27" s="589"/>
    </row>
    <row r="28" spans="1:13">
      <c r="B28" s="549"/>
      <c r="C28" s="548" t="s">
        <v>552</v>
      </c>
      <c r="D28" s="218"/>
      <c r="E28" s="219" t="s">
        <v>419</v>
      </c>
      <c r="F28" s="218"/>
      <c r="G28" s="219" t="s">
        <v>420</v>
      </c>
      <c r="H28" s="218"/>
      <c r="I28" s="219" t="s">
        <v>421</v>
      </c>
      <c r="J28" s="218"/>
      <c r="K28" s="219" t="s">
        <v>422</v>
      </c>
      <c r="L28" s="221"/>
      <c r="M28" s="589"/>
    </row>
    <row r="29" spans="1:13">
      <c r="A29" s="545">
        <v>11</v>
      </c>
      <c r="B29" s="536" t="s">
        <v>581</v>
      </c>
      <c r="C29" s="220">
        <f>C25</f>
        <v>0</v>
      </c>
      <c r="D29" s="218"/>
      <c r="E29" s="219">
        <f>(276/365)*E25</f>
        <v>0</v>
      </c>
      <c r="F29" s="218"/>
      <c r="G29" s="219">
        <f>(185/365)*G25</f>
        <v>0</v>
      </c>
      <c r="H29" s="218"/>
      <c r="I29" s="219">
        <f>(93/365)*I25</f>
        <v>0</v>
      </c>
      <c r="J29" s="218"/>
      <c r="K29" s="219">
        <f>(1/365)*K25</f>
        <v>0</v>
      </c>
      <c r="L29" s="221"/>
      <c r="M29" s="589"/>
    </row>
    <row r="30" spans="1:13" ht="15.75" thickBot="1">
      <c r="A30" s="545">
        <v>12</v>
      </c>
      <c r="B30" s="536" t="s">
        <v>596</v>
      </c>
      <c r="C30" s="324">
        <f>C26</f>
        <v>0</v>
      </c>
      <c r="D30" s="303"/>
      <c r="E30" s="402">
        <f>(276/365)*E26</f>
        <v>0</v>
      </c>
      <c r="F30" s="303"/>
      <c r="G30" s="402">
        <f>(185/365)*G26</f>
        <v>0</v>
      </c>
      <c r="H30" s="303"/>
      <c r="I30" s="402">
        <f>(93/365)*I26</f>
        <v>0</v>
      </c>
      <c r="J30" s="303"/>
      <c r="K30" s="402">
        <f>(1/365)*K26</f>
        <v>0</v>
      </c>
      <c r="L30" s="558"/>
    </row>
    <row r="35" spans="1:13" ht="15.75">
      <c r="M35" s="3" t="str">
        <f>'Attachment H-34A '!K1&amp;""&amp;", Attachment 5c"</f>
        <v>Attachment H-34A, Attachment 5c</v>
      </c>
    </row>
    <row r="36" spans="1:13" ht="15.75">
      <c r="M36" s="3" t="s">
        <v>192</v>
      </c>
    </row>
    <row r="37" spans="1:13" ht="15.75">
      <c r="M37" s="3" t="str">
        <f>'Attachment H-34A '!K4</f>
        <v>For the 12 months ended 12/31/2026</v>
      </c>
    </row>
    <row r="40" spans="1:13" ht="15.75">
      <c r="M40" s="3"/>
    </row>
    <row r="41" spans="1:13" ht="15.75">
      <c r="M41" s="3"/>
    </row>
    <row r="42" spans="1:13" ht="15.75">
      <c r="G42" s="1040" t="str">
        <f>'Attachment 5b - ADIT Norm PTRR'!G33:H33</f>
        <v>2026 PTRR</v>
      </c>
      <c r="H42" s="1037"/>
      <c r="M42" s="3"/>
    </row>
    <row r="44" spans="1:13">
      <c r="E44" s="536" t="s">
        <v>104</v>
      </c>
      <c r="F44" s="536" t="s">
        <v>105</v>
      </c>
      <c r="G44" s="536" t="s">
        <v>106</v>
      </c>
      <c r="H44" s="536" t="s">
        <v>107</v>
      </c>
      <c r="I44" s="536" t="s">
        <v>108</v>
      </c>
      <c r="J44" s="536" t="s">
        <v>109</v>
      </c>
      <c r="K44" s="536" t="s">
        <v>110</v>
      </c>
      <c r="L44" s="536"/>
      <c r="M44" s="536"/>
    </row>
    <row r="45" spans="1:13" ht="42.95" customHeight="1">
      <c r="E45" s="536"/>
      <c r="F45" s="542" t="s">
        <v>582</v>
      </c>
      <c r="G45" s="542" t="s">
        <v>583</v>
      </c>
      <c r="H45" s="536" t="s">
        <v>584</v>
      </c>
      <c r="I45" s="536"/>
      <c r="J45" s="536" t="s">
        <v>585</v>
      </c>
      <c r="K45" s="596" t="s">
        <v>626</v>
      </c>
      <c r="L45" s="536"/>
      <c r="M45" s="536"/>
    </row>
    <row r="46" spans="1:13" ht="61.5" customHeight="1">
      <c r="A46" s="537" t="s">
        <v>5</v>
      </c>
      <c r="B46" s="537"/>
      <c r="C46" s="550" t="s">
        <v>586</v>
      </c>
      <c r="E46" s="628" t="s">
        <v>685</v>
      </c>
      <c r="F46" s="551" t="s">
        <v>587</v>
      </c>
      <c r="G46" s="552" t="s">
        <v>588</v>
      </c>
      <c r="H46" s="552" t="s">
        <v>589</v>
      </c>
      <c r="I46" s="552" t="s">
        <v>590</v>
      </c>
      <c r="J46" s="552" t="s">
        <v>687</v>
      </c>
      <c r="K46" s="552" t="s">
        <v>686</v>
      </c>
    </row>
    <row r="48" spans="1:13">
      <c r="A48" s="545">
        <v>1</v>
      </c>
      <c r="B48" s="545" t="s">
        <v>581</v>
      </c>
      <c r="C48" s="553" t="s">
        <v>591</v>
      </c>
      <c r="E48" s="554"/>
      <c r="F48" s="218">
        <f>E9+G9+I9+K9</f>
        <v>0</v>
      </c>
      <c r="G48" s="218">
        <f>C13+E13+G13+I13+K13</f>
        <v>0</v>
      </c>
      <c r="H48" s="307">
        <f>E48-G48</f>
        <v>0</v>
      </c>
      <c r="I48" s="554"/>
      <c r="J48" s="555">
        <f>H48-I48</f>
        <v>0</v>
      </c>
      <c r="K48" s="555">
        <f>E48-I48-J48</f>
        <v>0</v>
      </c>
    </row>
    <row r="49" spans="1:13">
      <c r="H49" s="307"/>
      <c r="I49" s="556"/>
      <c r="J49" s="307"/>
      <c r="K49" s="307"/>
    </row>
    <row r="50" spans="1:13">
      <c r="A50" s="545">
        <v>2</v>
      </c>
      <c r="B50" s="545" t="s">
        <v>581</v>
      </c>
      <c r="C50" s="553" t="s">
        <v>592</v>
      </c>
      <c r="E50" s="554"/>
      <c r="F50" s="218">
        <f>E17+G17+I17+K17</f>
        <v>0</v>
      </c>
      <c r="G50" s="218">
        <f>C21+E21+G21+I21+K21</f>
        <v>0</v>
      </c>
      <c r="H50" s="307">
        <f>E50-G50</f>
        <v>0</v>
      </c>
      <c r="I50" s="554"/>
      <c r="J50" s="555">
        <f>H50-I50</f>
        <v>0</v>
      </c>
      <c r="K50" s="555">
        <f>-E50+I50+J50</f>
        <v>0</v>
      </c>
    </row>
    <row r="51" spans="1:13">
      <c r="A51" s="545"/>
      <c r="B51" s="545"/>
      <c r="H51" s="307"/>
      <c r="I51" s="556"/>
      <c r="J51" s="307"/>
      <c r="K51" s="307"/>
    </row>
    <row r="52" spans="1:13">
      <c r="A52" s="545">
        <v>3</v>
      </c>
      <c r="B52" s="545" t="s">
        <v>581</v>
      </c>
      <c r="C52" s="553" t="s">
        <v>593</v>
      </c>
      <c r="E52" s="554"/>
      <c r="F52" s="218">
        <f>E25+G25+I25+K25</f>
        <v>0</v>
      </c>
      <c r="G52" s="218">
        <f>C29+E29+G29+I29+K29</f>
        <v>0</v>
      </c>
      <c r="H52" s="307">
        <f>E52-G52</f>
        <v>0</v>
      </c>
      <c r="I52" s="554"/>
      <c r="J52" s="555">
        <f>H52-I52</f>
        <v>0</v>
      </c>
      <c r="K52" s="555">
        <f>-E52+I52+J52</f>
        <v>0</v>
      </c>
    </row>
    <row r="53" spans="1:13">
      <c r="A53" s="545"/>
      <c r="B53" s="545"/>
      <c r="H53" s="307"/>
      <c r="I53" s="556"/>
      <c r="J53" s="307"/>
      <c r="K53" s="307"/>
    </row>
    <row r="54" spans="1:13">
      <c r="A54" s="545">
        <v>4</v>
      </c>
      <c r="B54" s="545" t="s">
        <v>581</v>
      </c>
      <c r="C54" s="553" t="s">
        <v>594</v>
      </c>
      <c r="E54" s="307">
        <f>E48-E50-E52</f>
        <v>0</v>
      </c>
      <c r="F54" s="307">
        <f>F48-F50-F52</f>
        <v>0</v>
      </c>
      <c r="G54" s="307">
        <f>G48-G50-G52</f>
        <v>0</v>
      </c>
      <c r="H54" s="307">
        <f>H48-H50-H52</f>
        <v>0</v>
      </c>
      <c r="I54" s="307">
        <f>I48+I50+I52</f>
        <v>0</v>
      </c>
      <c r="J54" s="307">
        <f>J48+J50+J52</f>
        <v>0</v>
      </c>
      <c r="K54" s="307">
        <f>K48+K50+K52</f>
        <v>0</v>
      </c>
    </row>
    <row r="55" spans="1:13">
      <c r="A55" s="545"/>
      <c r="B55" s="545"/>
    </row>
    <row r="56" spans="1:13">
      <c r="A56" s="545"/>
      <c r="B56" s="545"/>
    </row>
    <row r="57" spans="1:13">
      <c r="A57" s="545"/>
      <c r="B57" s="545"/>
    </row>
    <row r="58" spans="1:13">
      <c r="A58" s="545"/>
      <c r="B58" s="545"/>
      <c r="K58" s="307"/>
      <c r="M58" s="307"/>
    </row>
    <row r="59" spans="1:13">
      <c r="A59" s="545"/>
      <c r="B59" s="545"/>
      <c r="G59" s="1040" t="str">
        <f>MID(M3:M3,31,10)&amp;" "&amp;"ATRR"</f>
        <v>2026 ATRR</v>
      </c>
      <c r="H59" s="1037"/>
    </row>
    <row r="60" spans="1:13">
      <c r="A60" s="545"/>
      <c r="B60" s="545"/>
    </row>
    <row r="61" spans="1:13">
      <c r="A61" s="545"/>
      <c r="B61" s="545"/>
      <c r="E61" s="536" t="s">
        <v>112</v>
      </c>
      <c r="F61" s="536" t="s">
        <v>113</v>
      </c>
      <c r="G61" s="536" t="s">
        <v>114</v>
      </c>
      <c r="H61" s="536" t="s">
        <v>115</v>
      </c>
      <c r="I61" s="536" t="s">
        <v>119</v>
      </c>
      <c r="J61" s="536" t="s">
        <v>120</v>
      </c>
      <c r="K61" s="536" t="s">
        <v>121</v>
      </c>
      <c r="L61" s="536" t="s">
        <v>122</v>
      </c>
      <c r="M61" s="536" t="s">
        <v>124</v>
      </c>
    </row>
    <row r="62" spans="1:13" ht="45" customHeight="1">
      <c r="A62" s="545"/>
      <c r="B62" s="545"/>
      <c r="E62" s="947" t="s">
        <v>1120</v>
      </c>
      <c r="F62" s="542" t="s">
        <v>582</v>
      </c>
      <c r="G62" s="542" t="s">
        <v>597</v>
      </c>
      <c r="H62" s="536" t="s">
        <v>598</v>
      </c>
      <c r="I62" s="542" t="s">
        <v>599</v>
      </c>
      <c r="J62" s="947" t="s">
        <v>1121</v>
      </c>
      <c r="K62" s="536" t="s">
        <v>600</v>
      </c>
      <c r="L62" s="536" t="s">
        <v>601</v>
      </c>
      <c r="M62" s="596" t="s">
        <v>627</v>
      </c>
    </row>
    <row r="63" spans="1:13" ht="59.45" customHeight="1">
      <c r="A63" s="545"/>
      <c r="B63" s="545"/>
      <c r="C63" s="550" t="s">
        <v>586</v>
      </c>
      <c r="E63" s="628" t="s">
        <v>688</v>
      </c>
      <c r="F63" s="552" t="s">
        <v>602</v>
      </c>
      <c r="G63" s="552" t="s">
        <v>588</v>
      </c>
      <c r="H63" s="552" t="s">
        <v>603</v>
      </c>
      <c r="I63" s="552" t="s">
        <v>604</v>
      </c>
      <c r="J63" s="552" t="s">
        <v>590</v>
      </c>
      <c r="K63" s="552" t="s">
        <v>605</v>
      </c>
      <c r="L63" s="552" t="s">
        <v>687</v>
      </c>
      <c r="M63" s="552" t="s">
        <v>686</v>
      </c>
    </row>
    <row r="64" spans="1:13">
      <c r="A64" s="545"/>
      <c r="B64" s="545"/>
    </row>
    <row r="65" spans="1:13">
      <c r="A65" s="545">
        <v>5</v>
      </c>
      <c r="B65" s="545" t="s">
        <v>596</v>
      </c>
      <c r="C65" s="553" t="s">
        <v>591</v>
      </c>
      <c r="E65" s="559">
        <f>'Attachment 5 - ADIT Summary'!H16</f>
        <v>12018141.345411751</v>
      </c>
      <c r="F65" s="218">
        <f>E10+G10+I10+K10</f>
        <v>0</v>
      </c>
      <c r="G65" s="218">
        <f>C14+E14+G14+I14+K14</f>
        <v>0</v>
      </c>
      <c r="H65" s="307">
        <f>E65-G65</f>
        <v>12018141.345411751</v>
      </c>
      <c r="I65" s="559">
        <f>H48-H65</f>
        <v>-12018141.345411751</v>
      </c>
      <c r="J65" s="559">
        <f>SUM('Attachment 5 - ADIT Summary'!F33:J33)</f>
        <v>10740613.095099999</v>
      </c>
      <c r="K65" s="307">
        <f>I48-J65</f>
        <v>-10740613.095099999</v>
      </c>
      <c r="L65" s="555">
        <f>H65+I65-J65-K65</f>
        <v>0</v>
      </c>
      <c r="M65" s="555">
        <f>E65-J65-L65</f>
        <v>1277528.2503117528</v>
      </c>
    </row>
    <row r="66" spans="1:13">
      <c r="A66" s="545"/>
      <c r="B66" s="545"/>
      <c r="H66" s="307"/>
      <c r="I66" s="556"/>
      <c r="J66" s="559"/>
      <c r="L66" s="307"/>
      <c r="M66" s="555"/>
    </row>
    <row r="67" spans="1:13">
      <c r="A67" s="545">
        <v>6</v>
      </c>
      <c r="B67" s="545" t="s">
        <v>596</v>
      </c>
      <c r="C67" s="553" t="s">
        <v>592</v>
      </c>
      <c r="E67" s="559">
        <f>'Attachment 5 - ADIT Summary'!F16</f>
        <v>100606028.87819998</v>
      </c>
      <c r="F67" s="218">
        <f>E18+G18+I18+K18</f>
        <v>0</v>
      </c>
      <c r="G67" s="218">
        <f>C22+E22+G22+I22+K22</f>
        <v>0</v>
      </c>
      <c r="H67" s="307">
        <f>E67-G67</f>
        <v>100606028.87819998</v>
      </c>
      <c r="I67" s="559">
        <f>H50-H67</f>
        <v>-100606028.87819998</v>
      </c>
      <c r="J67" s="559">
        <f>SUM('Attachment 5 - ADIT Summary'!F25:J25)</f>
        <v>-9671050.7817999981</v>
      </c>
      <c r="K67" s="307">
        <f>I50-J67</f>
        <v>9671050.7817999981</v>
      </c>
      <c r="L67" s="555">
        <f>H67+I67-J67-K67</f>
        <v>0</v>
      </c>
      <c r="M67" s="555">
        <f>-E67+J67+L67</f>
        <v>-110277079.65999998</v>
      </c>
    </row>
    <row r="68" spans="1:13">
      <c r="A68" s="545"/>
      <c r="B68" s="545"/>
      <c r="H68" s="307"/>
      <c r="I68" s="556"/>
      <c r="J68" s="559"/>
      <c r="L68" s="307"/>
      <c r="M68" s="555"/>
    </row>
    <row r="69" spans="1:13">
      <c r="A69" s="545">
        <v>7</v>
      </c>
      <c r="B69" s="545" t="s">
        <v>596</v>
      </c>
      <c r="C69" s="553" t="s">
        <v>593</v>
      </c>
      <c r="E69" s="559">
        <f>'Attachment 5 - ADIT Summary'!G16</f>
        <v>-2583918.7499892768</v>
      </c>
      <c r="F69" s="218">
        <f>E26+G26+I26+K26</f>
        <v>0</v>
      </c>
      <c r="G69" s="218">
        <f>C30+E30+G30+I30+K30</f>
        <v>0</v>
      </c>
      <c r="H69" s="307">
        <f>E69-G69</f>
        <v>-2583918.7499892768</v>
      </c>
      <c r="I69" s="559">
        <f>H52-H69</f>
        <v>2583918.7499892768</v>
      </c>
      <c r="J69" s="559">
        <f>SUM('Attachment 5 - ADIT Summary'!F29:J29)</f>
        <v>-4095481.4965761844</v>
      </c>
      <c r="K69" s="307">
        <f>I52-J69</f>
        <v>4095481.4965761844</v>
      </c>
      <c r="L69" s="555">
        <f>H69+I69-J69-K69</f>
        <v>0</v>
      </c>
      <c r="M69" s="555">
        <f>-E69+J69+L69</f>
        <v>-1511562.7465869077</v>
      </c>
    </row>
    <row r="70" spans="1:13">
      <c r="A70" s="545"/>
      <c r="B70" s="545"/>
      <c r="H70" s="307"/>
      <c r="I70" s="556"/>
      <c r="J70" s="556"/>
      <c r="L70" s="307"/>
      <c r="M70" s="307"/>
    </row>
    <row r="71" spans="1:13">
      <c r="A71" s="545">
        <v>8</v>
      </c>
      <c r="B71" s="545" t="s">
        <v>596</v>
      </c>
      <c r="C71" s="553" t="s">
        <v>594</v>
      </c>
      <c r="E71" s="307">
        <f>E65-E67-E69</f>
        <v>-86003968.782798961</v>
      </c>
      <c r="F71" s="307">
        <f>F65-F67-F69</f>
        <v>0</v>
      </c>
      <c r="G71" s="307">
        <f>G65-G67-G69</f>
        <v>0</v>
      </c>
      <c r="H71" s="307">
        <f>H65-H67-H69</f>
        <v>-86003968.782798961</v>
      </c>
      <c r="I71" s="307">
        <f>I65+I67+I69</f>
        <v>-110040251.47362246</v>
      </c>
      <c r="J71" s="307">
        <f>J65+J67+J69</f>
        <v>-3025919.1832761839</v>
      </c>
      <c r="K71" s="307">
        <f>K65+K67+K69</f>
        <v>3025919.1832761839</v>
      </c>
      <c r="L71" s="307">
        <f>L65+L67+L69</f>
        <v>0</v>
      </c>
      <c r="M71" s="307">
        <f>M65+M67+M69</f>
        <v>-110511114.15627514</v>
      </c>
    </row>
    <row r="72" spans="1:13">
      <c r="A72" s="545"/>
      <c r="B72" s="545"/>
    </row>
    <row r="73" spans="1:13">
      <c r="A73" s="545"/>
      <c r="B73" s="545"/>
    </row>
    <row r="74" spans="1:13">
      <c r="A74" s="545"/>
      <c r="B74" s="545"/>
    </row>
    <row r="75" spans="1:13">
      <c r="A75" s="545"/>
      <c r="B75" s="214" t="s">
        <v>595</v>
      </c>
    </row>
    <row r="76" spans="1:13" ht="14.45" customHeight="1">
      <c r="A76" s="545"/>
      <c r="B76" s="1038" t="s">
        <v>606</v>
      </c>
      <c r="C76" s="1038"/>
      <c r="D76" s="1038"/>
      <c r="E76" s="1038"/>
      <c r="F76" s="1038"/>
      <c r="G76" s="1038"/>
      <c r="K76" s="560"/>
    </row>
    <row r="77" spans="1:13">
      <c r="B77" s="1038"/>
      <c r="C77" s="1038"/>
      <c r="D77" s="1038"/>
      <c r="E77" s="1038"/>
      <c r="F77" s="1038"/>
      <c r="G77" s="1038"/>
    </row>
  </sheetData>
  <mergeCells count="5">
    <mergeCell ref="E6:L6"/>
    <mergeCell ref="G42:H42"/>
    <mergeCell ref="G59:H59"/>
    <mergeCell ref="B76:G76"/>
    <mergeCell ref="B77:G77"/>
  </mergeCells>
  <pageMargins left="0.7" right="0.7" top="0.75" bottom="0.75" header="0.3" footer="0.3"/>
  <pageSetup scale="39" orientation="portrait" horizontalDpi="1200" verticalDpi="1200" r:id="rId1"/>
  <rowBreaks count="1" manualBreakCount="1">
    <brk id="3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dimension ref="A1:L21"/>
  <sheetViews>
    <sheetView view="pageBreakPreview" zoomScale="80" zoomScaleNormal="100" zoomScaleSheetLayoutView="80" workbookViewId="0"/>
  </sheetViews>
  <sheetFormatPr defaultRowHeight="15"/>
  <cols>
    <col min="1" max="1" width="3" customWidth="1"/>
    <col min="2" max="2" width="1.77734375" customWidth="1"/>
    <col min="3" max="3" width="47.77734375" customWidth="1"/>
    <col min="5" max="7" width="14" customWidth="1"/>
    <col min="8" max="8" width="5.109375" customWidth="1"/>
    <col min="12" max="12" width="11.33203125" bestFit="1" customWidth="1"/>
  </cols>
  <sheetData>
    <row r="1" spans="1:12" ht="15.75">
      <c r="H1" s="3" t="str">
        <f>'Attachment H-34A '!K1&amp;""&amp;", Attachment 6"</f>
        <v>Attachment H-34A, Attachment 6</v>
      </c>
    </row>
    <row r="2" spans="1:12" ht="15.75">
      <c r="H2" s="3" t="s">
        <v>186</v>
      </c>
    </row>
    <row r="3" spans="1:12" ht="15.75">
      <c r="A3" s="42"/>
      <c r="B3" s="78"/>
      <c r="F3" s="78"/>
      <c r="G3" s="78"/>
      <c r="H3" s="3" t="str">
        <f>'Attachment H-34A '!K4</f>
        <v>For the 12 months ended 12/31/2026</v>
      </c>
    </row>
    <row r="4" spans="1:12" ht="15.75">
      <c r="A4" s="42"/>
      <c r="B4" s="78"/>
      <c r="D4" s="78"/>
      <c r="E4" s="78"/>
      <c r="F4" s="78"/>
      <c r="G4" s="78"/>
    </row>
    <row r="5" spans="1:12">
      <c r="A5" s="169">
        <v>1</v>
      </c>
      <c r="B5" s="167"/>
      <c r="C5" s="168" t="s">
        <v>321</v>
      </c>
      <c r="D5" s="167"/>
      <c r="E5" s="169"/>
      <c r="F5" s="169"/>
      <c r="G5" s="169"/>
    </row>
    <row r="6" spans="1:12">
      <c r="A6" s="169"/>
      <c r="B6" s="167"/>
      <c r="C6" s="168"/>
      <c r="D6" s="167"/>
      <c r="E6" s="169"/>
      <c r="F6" s="169"/>
      <c r="G6" s="169"/>
    </row>
    <row r="7" spans="1:12">
      <c r="A7" s="169">
        <f>+A5+1</f>
        <v>2</v>
      </c>
      <c r="B7" s="167"/>
      <c r="C7" s="848"/>
      <c r="D7" s="170"/>
      <c r="E7" s="533" t="s">
        <v>8</v>
      </c>
      <c r="F7" s="532" t="s">
        <v>309</v>
      </c>
      <c r="L7" s="533"/>
    </row>
    <row r="8" spans="1:12">
      <c r="A8" s="169">
        <f>+A7+1</f>
        <v>3</v>
      </c>
      <c r="B8" s="167"/>
      <c r="C8" s="171" t="s">
        <v>616</v>
      </c>
      <c r="D8" s="171"/>
      <c r="E8" s="225">
        <f>'Attach 9 - Stated-value Inputs'!C17</f>
        <v>-15646300</v>
      </c>
      <c r="F8" s="171" t="s">
        <v>793</v>
      </c>
      <c r="L8" s="225"/>
    </row>
    <row r="9" spans="1:12">
      <c r="A9" s="169">
        <f>+A8+1</f>
        <v>4</v>
      </c>
      <c r="B9" s="167"/>
      <c r="C9" s="171" t="s">
        <v>542</v>
      </c>
      <c r="D9" s="171"/>
      <c r="E9" s="225">
        <f>'Attach 9 - Stated-value Inputs'!C18</f>
        <v>2161999525</v>
      </c>
      <c r="F9" s="171" t="s">
        <v>794</v>
      </c>
      <c r="L9" s="225"/>
    </row>
    <row r="10" spans="1:12">
      <c r="A10" s="169">
        <f t="shared" ref="A10:A12" si="0">+A9+1</f>
        <v>5</v>
      </c>
      <c r="B10" s="169"/>
      <c r="C10" s="171" t="s">
        <v>534</v>
      </c>
      <c r="D10" s="171"/>
      <c r="E10" s="176">
        <f>'Attach 9 - Stated-value Inputs'!C19</f>
        <v>-7.2369581117276149E-3</v>
      </c>
      <c r="F10" s="171"/>
      <c r="L10" s="176"/>
    </row>
    <row r="11" spans="1:12">
      <c r="A11" s="169">
        <f t="shared" si="0"/>
        <v>6</v>
      </c>
      <c r="B11" s="169"/>
      <c r="C11" s="171" t="s">
        <v>1008</v>
      </c>
      <c r="D11" s="171"/>
      <c r="E11" s="226">
        <v>8132964.1700000018</v>
      </c>
      <c r="F11" s="784" t="s">
        <v>1012</v>
      </c>
      <c r="G11" s="784"/>
      <c r="H11" s="784"/>
      <c r="I11" s="784"/>
      <c r="L11" s="1003"/>
    </row>
    <row r="12" spans="1:12">
      <c r="A12" s="169">
        <f t="shared" si="0"/>
        <v>7</v>
      </c>
      <c r="B12" s="169"/>
      <c r="C12" s="171" t="s">
        <v>535</v>
      </c>
      <c r="D12" s="172"/>
      <c r="E12" s="173">
        <f>E10*E11</f>
        <v>-58857.921022471564</v>
      </c>
      <c r="L12" s="173"/>
    </row>
    <row r="14" spans="1:12">
      <c r="A14" s="169">
        <f>+A12+1</f>
        <v>8</v>
      </c>
      <c r="B14" s="169"/>
      <c r="C14" s="171" t="s">
        <v>1009</v>
      </c>
      <c r="D14" s="171"/>
      <c r="E14" s="226">
        <v>71346.13</v>
      </c>
      <c r="F14" s="784" t="s">
        <v>1013</v>
      </c>
      <c r="G14" s="784"/>
      <c r="H14" s="784"/>
      <c r="I14" s="784"/>
      <c r="J14" s="784"/>
      <c r="L14" s="1003"/>
    </row>
    <row r="15" spans="1:12">
      <c r="D15" s="171"/>
      <c r="E15" s="175"/>
      <c r="L15" s="175"/>
    </row>
    <row r="16" spans="1:12">
      <c r="A16" s="169">
        <v>9</v>
      </c>
      <c r="B16" s="169"/>
      <c r="C16" s="171" t="s">
        <v>973</v>
      </c>
      <c r="D16" s="171"/>
      <c r="E16" s="175">
        <f>E12-E14</f>
        <v>-130204.05102247157</v>
      </c>
      <c r="L16" s="175"/>
    </row>
    <row r="17" spans="1:7">
      <c r="A17" s="169"/>
      <c r="B17" s="169"/>
      <c r="D17" s="171"/>
      <c r="E17" s="175"/>
    </row>
    <row r="18" spans="1:7">
      <c r="A18" s="169"/>
      <c r="B18" s="169"/>
      <c r="C18" s="171"/>
      <c r="D18" s="171"/>
      <c r="E18" s="175"/>
    </row>
    <row r="19" spans="1:7">
      <c r="A19" s="169"/>
      <c r="B19" s="169"/>
      <c r="C19" s="171"/>
      <c r="D19" s="171"/>
      <c r="E19" s="177"/>
      <c r="F19" s="177"/>
      <c r="G19" s="177"/>
    </row>
    <row r="20" spans="1:7">
      <c r="A20" s="169"/>
      <c r="B20" s="169"/>
      <c r="C20" s="171"/>
      <c r="D20" s="171"/>
      <c r="E20" s="175"/>
      <c r="F20" s="175"/>
      <c r="G20" s="175"/>
    </row>
    <row r="21" spans="1:7">
      <c r="A21" s="169">
        <v>10</v>
      </c>
      <c r="B21" s="169"/>
      <c r="C21" s="171" t="s">
        <v>570</v>
      </c>
      <c r="D21" s="171"/>
      <c r="E21" s="171"/>
    </row>
  </sheetData>
  <pageMargins left="0.7" right="0.7" top="0.75" bottom="0.75" header="0.3" footer="0.3"/>
  <pageSetup scale="6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1:H44"/>
  <sheetViews>
    <sheetView view="pageBreakPreview" zoomScale="80" zoomScaleNormal="100" zoomScaleSheetLayoutView="80" workbookViewId="0"/>
  </sheetViews>
  <sheetFormatPr defaultColWidth="8.88671875" defaultRowHeight="20.100000000000001" customHeight="1"/>
  <cols>
    <col min="1" max="1" width="3.88671875" style="39" customWidth="1"/>
    <col min="2" max="2" width="71.44140625" style="765" customWidth="1"/>
    <col min="3" max="3" width="10.77734375" style="38" customWidth="1"/>
    <col min="4" max="4" width="12.77734375" style="48" customWidth="1"/>
    <col min="5" max="6" width="12.77734375" style="39" customWidth="1"/>
    <col min="7" max="16384" width="8.88671875" style="33"/>
  </cols>
  <sheetData>
    <row r="1" spans="1:8" ht="20.100000000000001" customHeight="1">
      <c r="D1" s="3" t="str">
        <f>'Attachment H-34A '!K1&amp;""&amp;", Attachment 7"</f>
        <v>Attachment H-34A, Attachment 7</v>
      </c>
    </row>
    <row r="2" spans="1:8" ht="20.100000000000001" customHeight="1">
      <c r="B2" s="602"/>
      <c r="D2" s="3" t="s">
        <v>186</v>
      </c>
    </row>
    <row r="3" spans="1:8" ht="20.100000000000001" customHeight="1">
      <c r="D3" s="3" t="str">
        <f>'Attachment H-34A '!K4</f>
        <v>For the 12 months ended 12/31/2026</v>
      </c>
    </row>
    <row r="4" spans="1:8" ht="20.100000000000001" customHeight="1">
      <c r="A4" s="42"/>
      <c r="B4" s="792" t="s">
        <v>501</v>
      </c>
    </row>
    <row r="6" spans="1:8" ht="20.100000000000001" customHeight="1">
      <c r="B6" s="793"/>
      <c r="C6" s="40" t="s">
        <v>223</v>
      </c>
      <c r="D6" s="785" t="str">
        <f>MID(D3:D3,25,10)</f>
        <v>12/31/2026</v>
      </c>
      <c r="E6" s="41"/>
      <c r="F6" s="41"/>
      <c r="H6" s="41"/>
    </row>
    <row r="7" spans="1:8" ht="20.100000000000001" customHeight="1">
      <c r="A7" s="51">
        <v>1</v>
      </c>
      <c r="B7" s="794" t="s">
        <v>239</v>
      </c>
      <c r="C7" s="48"/>
      <c r="D7" s="41"/>
      <c r="E7" s="41"/>
      <c r="F7" s="41"/>
    </row>
    <row r="8" spans="1:8" ht="20.100000000000001" customHeight="1">
      <c r="A8" s="764" t="s">
        <v>460</v>
      </c>
      <c r="B8" s="795" t="s">
        <v>1198</v>
      </c>
      <c r="C8" s="48" t="s">
        <v>58</v>
      </c>
      <c r="D8" s="69">
        <v>158726.34999999995</v>
      </c>
      <c r="E8" s="41"/>
      <c r="F8" s="41"/>
    </row>
    <row r="9" spans="1:8" ht="20.100000000000001" customHeight="1">
      <c r="A9" s="764" t="s">
        <v>461</v>
      </c>
      <c r="B9" s="795"/>
      <c r="C9" s="48" t="s">
        <v>58</v>
      </c>
      <c r="D9" s="69"/>
      <c r="E9" s="40"/>
      <c r="F9" s="40"/>
    </row>
    <row r="10" spans="1:8" ht="20.100000000000001" customHeight="1">
      <c r="A10" s="764" t="s">
        <v>462</v>
      </c>
      <c r="B10" s="795"/>
      <c r="C10" s="48" t="s">
        <v>58</v>
      </c>
      <c r="D10" s="69"/>
      <c r="E10" s="40"/>
      <c r="F10" s="40"/>
    </row>
    <row r="11" spans="1:8" ht="20.100000000000001" customHeight="1" thickBot="1">
      <c r="A11" s="764" t="s">
        <v>518</v>
      </c>
      <c r="B11" s="795"/>
      <c r="C11" s="48" t="s">
        <v>58</v>
      </c>
      <c r="D11" s="75"/>
      <c r="H11" s="34"/>
    </row>
    <row r="12" spans="1:8" ht="20.100000000000001" customHeight="1">
      <c r="A12" s="51" t="s">
        <v>469</v>
      </c>
      <c r="B12" s="796" t="s">
        <v>241</v>
      </c>
      <c r="C12" s="48"/>
      <c r="D12" s="76">
        <f>SUM(D8:D11)</f>
        <v>158726.34999999995</v>
      </c>
      <c r="H12" s="34"/>
    </row>
    <row r="13" spans="1:8" ht="20.100000000000001" customHeight="1">
      <c r="A13" s="51"/>
      <c r="B13" s="794"/>
      <c r="C13" s="48"/>
      <c r="D13" s="76"/>
    </row>
    <row r="14" spans="1:8" ht="20.100000000000001" customHeight="1">
      <c r="A14" s="51" t="s">
        <v>463</v>
      </c>
      <c r="B14" s="794" t="s">
        <v>238</v>
      </c>
      <c r="C14" s="48"/>
      <c r="D14" s="76"/>
      <c r="E14" s="45"/>
      <c r="F14" s="45"/>
      <c r="G14" s="45"/>
      <c r="H14" s="45"/>
    </row>
    <row r="15" spans="1:8" ht="20.100000000000001" customHeight="1" thickBot="1">
      <c r="A15" s="764" t="s">
        <v>427</v>
      </c>
      <c r="B15" s="795"/>
      <c r="C15" s="48" t="s">
        <v>58</v>
      </c>
      <c r="D15" s="75"/>
      <c r="E15" s="45"/>
      <c r="F15" s="45"/>
      <c r="G15" s="45"/>
      <c r="H15" s="45"/>
    </row>
    <row r="16" spans="1:8" ht="20.100000000000001" customHeight="1">
      <c r="A16" s="51" t="s">
        <v>470</v>
      </c>
      <c r="B16" s="797" t="s">
        <v>238</v>
      </c>
      <c r="C16" s="48"/>
      <c r="D16" s="76">
        <f>SUM(D15)</f>
        <v>0</v>
      </c>
      <c r="E16" s="45"/>
      <c r="F16" s="45"/>
      <c r="G16" s="45"/>
      <c r="H16" s="45"/>
    </row>
    <row r="17" spans="1:8" ht="20.100000000000001" customHeight="1">
      <c r="A17" s="51"/>
      <c r="B17" s="794"/>
      <c r="C17" s="48"/>
      <c r="D17" s="76"/>
      <c r="E17" s="45"/>
      <c r="F17" s="45"/>
      <c r="G17" s="45"/>
      <c r="H17" s="45"/>
    </row>
    <row r="18" spans="1:8" ht="20.100000000000001" customHeight="1">
      <c r="A18" s="51" t="s">
        <v>209</v>
      </c>
      <c r="B18" s="794" t="s">
        <v>237</v>
      </c>
      <c r="C18" s="48"/>
      <c r="D18" s="76"/>
      <c r="E18" s="45"/>
      <c r="F18" s="45"/>
      <c r="G18" s="45"/>
      <c r="H18" s="45"/>
    </row>
    <row r="19" spans="1:8" ht="20.100000000000001" customHeight="1">
      <c r="A19" s="764" t="s">
        <v>514</v>
      </c>
      <c r="B19" s="795" t="s">
        <v>1199</v>
      </c>
      <c r="C19" s="48" t="s">
        <v>58</v>
      </c>
      <c r="D19" s="302">
        <v>421839.96</v>
      </c>
      <c r="E19" s="45"/>
      <c r="F19" s="45"/>
      <c r="G19" s="45"/>
      <c r="H19" s="45"/>
    </row>
    <row r="20" spans="1:8" ht="20.100000000000001" customHeight="1">
      <c r="A20" s="764" t="s">
        <v>464</v>
      </c>
      <c r="B20" s="795" t="s">
        <v>1200</v>
      </c>
      <c r="C20" s="48" t="s">
        <v>58</v>
      </c>
      <c r="D20" s="69">
        <v>3078</v>
      </c>
      <c r="E20" s="45"/>
      <c r="F20" s="45"/>
      <c r="G20" s="45"/>
      <c r="H20" s="45"/>
    </row>
    <row r="21" spans="1:8" ht="20.100000000000001" customHeight="1">
      <c r="A21" s="764" t="s">
        <v>465</v>
      </c>
      <c r="B21" s="795"/>
      <c r="C21" s="48" t="s">
        <v>58</v>
      </c>
      <c r="D21" s="72"/>
      <c r="E21" s="45"/>
      <c r="F21" s="45"/>
      <c r="G21" s="45"/>
      <c r="H21" s="45"/>
    </row>
    <row r="22" spans="1:8" ht="20.100000000000001" customHeight="1" thickBot="1">
      <c r="A22" s="838" t="s">
        <v>517</v>
      </c>
      <c r="B22" s="795"/>
      <c r="C22" s="48" t="s">
        <v>58</v>
      </c>
      <c r="D22" s="75"/>
      <c r="E22" s="45"/>
      <c r="F22" s="45"/>
      <c r="G22" s="45"/>
      <c r="H22" s="45"/>
    </row>
    <row r="23" spans="1:8" ht="20.100000000000001" customHeight="1">
      <c r="A23" s="51" t="s">
        <v>471</v>
      </c>
      <c r="B23" s="797" t="s">
        <v>237</v>
      </c>
      <c r="C23" s="48"/>
      <c r="D23" s="76">
        <f>SUM(D19:D22)</f>
        <v>424917.96</v>
      </c>
      <c r="E23" s="45"/>
      <c r="F23" s="45"/>
      <c r="G23" s="45"/>
      <c r="H23" s="45"/>
    </row>
    <row r="24" spans="1:8" ht="20.100000000000001" customHeight="1">
      <c r="A24" s="51"/>
      <c r="B24" s="794"/>
      <c r="C24" s="48"/>
      <c r="D24" s="76"/>
      <c r="E24" s="45"/>
      <c r="F24" s="45"/>
      <c r="G24" s="45"/>
      <c r="H24" s="45"/>
    </row>
    <row r="25" spans="1:8" ht="30.75" customHeight="1">
      <c r="A25" s="51" t="s">
        <v>210</v>
      </c>
      <c r="B25" s="794" t="s">
        <v>902</v>
      </c>
      <c r="C25" s="33"/>
      <c r="D25" s="76"/>
      <c r="E25" s="45"/>
      <c r="F25" s="45"/>
      <c r="G25" s="45"/>
      <c r="H25" s="45"/>
    </row>
    <row r="26" spans="1:8" ht="20.100000000000001" customHeight="1">
      <c r="A26" s="764" t="s">
        <v>433</v>
      </c>
      <c r="B26" s="795"/>
      <c r="C26" s="48" t="s">
        <v>58</v>
      </c>
      <c r="D26" s="312"/>
      <c r="E26" s="45"/>
      <c r="F26" s="45"/>
      <c r="G26" s="45"/>
      <c r="H26" s="45"/>
    </row>
    <row r="27" spans="1:8" ht="20.100000000000001" customHeight="1" thickBot="1">
      <c r="A27" s="764" t="s">
        <v>901</v>
      </c>
      <c r="B27" s="795"/>
      <c r="C27" s="48" t="s">
        <v>58</v>
      </c>
      <c r="D27" s="75"/>
      <c r="E27" s="45"/>
      <c r="F27" s="45"/>
      <c r="G27" s="45"/>
      <c r="H27" s="45"/>
    </row>
    <row r="28" spans="1:8" ht="20.100000000000001" customHeight="1">
      <c r="A28" s="43" t="s">
        <v>472</v>
      </c>
      <c r="B28" s="797" t="s">
        <v>902</v>
      </c>
      <c r="C28" s="33"/>
      <c r="D28" s="70">
        <f>SUM(D26:D27)</f>
        <v>0</v>
      </c>
      <c r="E28" s="45"/>
      <c r="F28" s="45"/>
      <c r="G28" s="45"/>
      <c r="H28" s="45"/>
    </row>
    <row r="29" spans="1:8" ht="20.100000000000001" customHeight="1">
      <c r="A29" s="51"/>
      <c r="B29" s="794"/>
      <c r="C29" s="48"/>
      <c r="D29" s="76"/>
      <c r="E29" s="45"/>
      <c r="F29" s="45"/>
      <c r="G29" s="45"/>
      <c r="H29" s="45"/>
    </row>
    <row r="30" spans="1:8" ht="20.100000000000001" customHeight="1">
      <c r="A30" s="51" t="s">
        <v>162</v>
      </c>
      <c r="B30" s="794" t="s">
        <v>240</v>
      </c>
      <c r="C30" s="48"/>
      <c r="D30" s="76"/>
      <c r="E30" s="45"/>
      <c r="F30" s="45"/>
      <c r="G30" s="45"/>
      <c r="H30" s="45"/>
    </row>
    <row r="31" spans="1:8" ht="20.100000000000001" customHeight="1">
      <c r="A31" s="764" t="s">
        <v>466</v>
      </c>
      <c r="B31" s="798"/>
      <c r="C31" s="48" t="s">
        <v>58</v>
      </c>
      <c r="D31" s="69"/>
      <c r="E31" s="45"/>
      <c r="F31" s="45"/>
      <c r="G31" s="45"/>
      <c r="H31" s="45"/>
    </row>
    <row r="32" spans="1:8" ht="20.100000000000001" customHeight="1">
      <c r="A32" s="764" t="s">
        <v>467</v>
      </c>
      <c r="B32" s="798"/>
      <c r="C32" s="48" t="s">
        <v>58</v>
      </c>
      <c r="D32" s="69"/>
      <c r="E32" s="45"/>
      <c r="F32" s="45"/>
      <c r="G32" s="45"/>
      <c r="H32" s="45"/>
    </row>
    <row r="33" spans="1:8" ht="20.100000000000001" customHeight="1">
      <c r="A33" s="764" t="s">
        <v>468</v>
      </c>
      <c r="B33" s="798"/>
      <c r="C33" s="48" t="s">
        <v>58</v>
      </c>
      <c r="D33" s="69"/>
      <c r="E33" s="45"/>
      <c r="F33" s="45"/>
      <c r="G33" s="45"/>
      <c r="H33" s="45"/>
    </row>
    <row r="34" spans="1:8" ht="20.100000000000001" customHeight="1" thickBot="1">
      <c r="A34" s="764" t="s">
        <v>519</v>
      </c>
      <c r="B34" s="798"/>
      <c r="C34" s="48" t="s">
        <v>58</v>
      </c>
      <c r="D34" s="75"/>
    </row>
    <row r="35" spans="1:8" ht="20.100000000000001" customHeight="1">
      <c r="A35" s="51" t="s">
        <v>473</v>
      </c>
      <c r="B35" s="797" t="s">
        <v>240</v>
      </c>
      <c r="C35" s="48"/>
      <c r="D35" s="76">
        <f>SUM(D31:D34)</f>
        <v>0</v>
      </c>
    </row>
    <row r="36" spans="1:8" ht="20.100000000000001" customHeight="1">
      <c r="A36" s="51"/>
      <c r="B36" s="793"/>
      <c r="C36" s="48"/>
      <c r="D36" s="76"/>
    </row>
    <row r="37" spans="1:8" ht="20.100000000000001" customHeight="1">
      <c r="A37" s="51" t="s">
        <v>474</v>
      </c>
      <c r="B37" s="794" t="s">
        <v>242</v>
      </c>
      <c r="C37" s="48"/>
      <c r="D37" s="69"/>
    </row>
    <row r="39" spans="1:8" ht="31.5" customHeight="1">
      <c r="A39" s="51" t="s">
        <v>165</v>
      </c>
      <c r="B39" s="1041" t="s">
        <v>475</v>
      </c>
      <c r="C39" s="1041"/>
      <c r="D39" s="974">
        <f>D12+D16+D23+D28+D35+D37</f>
        <v>583644.30999999994</v>
      </c>
    </row>
    <row r="43" spans="1:8" ht="20.100000000000001" customHeight="1">
      <c r="A43" s="33" t="s">
        <v>224</v>
      </c>
      <c r="B43" s="793"/>
    </row>
    <row r="44" spans="1:8" s="48" customFormat="1" ht="20.100000000000001" customHeight="1">
      <c r="A44" s="39" t="s">
        <v>223</v>
      </c>
      <c r="B44" s="765" t="s">
        <v>225</v>
      </c>
      <c r="E44" s="39"/>
      <c r="F44" s="39"/>
      <c r="G44" s="33"/>
      <c r="H44" s="33"/>
    </row>
  </sheetData>
  <customSheetViews>
    <customSheetView guid="{E1861F40-EBD5-44AE-868B-FDE0ED504D72}" scale="85">
      <selection activeCell="E9" sqref="E9"/>
      <pageMargins left="0.7" right="0.7" top="0.75" bottom="0.75" header="0.3" footer="0.3"/>
      <pageSetup scale="55" orientation="portrait" r:id="rId1"/>
    </customSheetView>
  </customSheetViews>
  <mergeCells count="1">
    <mergeCell ref="B39:C39"/>
  </mergeCells>
  <pageMargins left="0.7" right="0.7" top="0.75" bottom="0.75" header="0.3" footer="0.3"/>
  <pageSetup scale="60"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M27"/>
  <sheetViews>
    <sheetView view="pageBreakPreview" zoomScale="80" zoomScaleNormal="100" zoomScaleSheetLayoutView="80" workbookViewId="0"/>
  </sheetViews>
  <sheetFormatPr defaultColWidth="8.88671875" defaultRowHeight="20.100000000000001" customHeight="1"/>
  <cols>
    <col min="1" max="1" width="2.77734375" style="39" customWidth="1"/>
    <col min="2" max="2" width="10.77734375" style="33" customWidth="1"/>
    <col min="3" max="3" width="8.88671875" style="33"/>
    <col min="4" max="4" width="2.77734375" style="33" customWidth="1"/>
    <col min="5" max="5" width="12.77734375" style="39" customWidth="1"/>
    <col min="6" max="6" width="18.21875" style="39" bestFit="1" customWidth="1"/>
    <col min="7" max="7" width="16.5546875" style="39" bestFit="1" customWidth="1"/>
    <col min="8" max="8" width="20" style="39" customWidth="1"/>
    <col min="9" max="9" width="11.44140625" style="39" customWidth="1"/>
    <col min="10" max="10" width="16.77734375" style="39" customWidth="1"/>
    <col min="11" max="11" width="17.6640625" style="39" customWidth="1"/>
    <col min="12" max="12" width="16.88671875" style="33" bestFit="1" customWidth="1"/>
    <col min="13" max="13" width="8.88671875" style="33"/>
    <col min="14" max="15" width="13.5546875" style="33" bestFit="1" customWidth="1"/>
    <col min="16" max="16384" width="8.88671875" style="33"/>
  </cols>
  <sheetData>
    <row r="1" spans="1:13" ht="20.100000000000001" customHeight="1">
      <c r="M1" s="3" t="str">
        <f>'Attachment H-34A '!K1&amp;""&amp;", Attachment 8"</f>
        <v>Attachment H-34A, Attachment 8</v>
      </c>
    </row>
    <row r="2" spans="1:13" ht="20.100000000000001" customHeight="1">
      <c r="M2" s="3" t="s">
        <v>186</v>
      </c>
    </row>
    <row r="3" spans="1:13" ht="20.100000000000001" customHeight="1">
      <c r="H3" s="41" t="s">
        <v>502</v>
      </c>
      <c r="M3" s="3" t="str">
        <f>'Attachment H-34A '!K4</f>
        <v>For the 12 months ended 12/31/2026</v>
      </c>
    </row>
    <row r="4" spans="1:13" ht="20.100000000000001" customHeight="1">
      <c r="A4" s="42"/>
    </row>
    <row r="5" spans="1:13" ht="20.100000000000001" customHeight="1">
      <c r="E5" s="50" t="s">
        <v>449</v>
      </c>
      <c r="F5" s="50" t="s">
        <v>450</v>
      </c>
      <c r="G5" s="50" t="s">
        <v>451</v>
      </c>
      <c r="H5" s="50" t="s">
        <v>452</v>
      </c>
      <c r="I5" s="50" t="s">
        <v>453</v>
      </c>
      <c r="J5" s="50" t="s">
        <v>454</v>
      </c>
      <c r="K5" s="50" t="s">
        <v>455</v>
      </c>
    </row>
    <row r="6" spans="1:13" ht="24" customHeight="1">
      <c r="E6" s="41" t="s">
        <v>243</v>
      </c>
      <c r="F6" s="41" t="s">
        <v>245</v>
      </c>
      <c r="G6" s="41" t="s">
        <v>246</v>
      </c>
      <c r="H6" s="41" t="s">
        <v>414</v>
      </c>
      <c r="I6" s="41" t="s">
        <v>439</v>
      </c>
      <c r="J6" s="41" t="s">
        <v>91</v>
      </c>
      <c r="K6" s="41" t="s">
        <v>247</v>
      </c>
    </row>
    <row r="7" spans="1:13" ht="20.100000000000001" customHeight="1">
      <c r="E7" s="41" t="s">
        <v>244</v>
      </c>
      <c r="F7" s="41"/>
      <c r="G7" s="41"/>
      <c r="H7" s="41"/>
      <c r="I7" s="41"/>
      <c r="J7" s="41"/>
      <c r="K7" s="41"/>
    </row>
    <row r="8" spans="1:13" ht="20.100000000000001" customHeight="1">
      <c r="D8" s="37" t="s">
        <v>223</v>
      </c>
      <c r="E8" s="40" t="s">
        <v>248</v>
      </c>
      <c r="F8" s="40" t="s">
        <v>520</v>
      </c>
      <c r="G8" s="40" t="s">
        <v>249</v>
      </c>
      <c r="H8" s="40" t="s">
        <v>413</v>
      </c>
      <c r="I8" s="40" t="s">
        <v>440</v>
      </c>
      <c r="J8" s="40" t="s">
        <v>441</v>
      </c>
      <c r="K8" s="43" t="s">
        <v>1135</v>
      </c>
    </row>
    <row r="9" spans="1:13" ht="20.100000000000001" customHeight="1">
      <c r="A9" s="43">
        <v>1</v>
      </c>
      <c r="B9" s="33" t="str">
        <f>'Attachment 3 - Gross Plant'!B8</f>
        <v>December</v>
      </c>
      <c r="C9" s="35">
        <f>'Attachment 3 - Gross Plant'!C8</f>
        <v>2025</v>
      </c>
      <c r="D9" s="37"/>
      <c r="E9" s="69">
        <v>488298895.19232202</v>
      </c>
      <c r="F9" s="69"/>
      <c r="G9" s="69"/>
      <c r="H9" s="69"/>
      <c r="I9" s="69"/>
      <c r="J9" s="76">
        <f>E9-F9-G9-H9-I9</f>
        <v>488298895.19232202</v>
      </c>
      <c r="K9" s="69">
        <v>200000000</v>
      </c>
      <c r="L9" s="418"/>
    </row>
    <row r="10" spans="1:13" ht="20.100000000000001" customHeight="1">
      <c r="A10" s="43">
        <v>2</v>
      </c>
      <c r="B10" s="33" t="str">
        <f>'Attachment 3 - Gross Plant'!B9</f>
        <v>January</v>
      </c>
      <c r="C10" s="35">
        <f>C9+1</f>
        <v>2026</v>
      </c>
      <c r="E10" s="69">
        <v>491577049.91771901</v>
      </c>
      <c r="F10" s="69"/>
      <c r="G10" s="69"/>
      <c r="H10" s="69"/>
      <c r="I10" s="69"/>
      <c r="J10" s="76">
        <f t="shared" ref="J10:J21" si="0">E10-F10-G10-H10-I10</f>
        <v>491577049.91771901</v>
      </c>
      <c r="K10" s="69">
        <v>200000000</v>
      </c>
      <c r="L10" s="418"/>
    </row>
    <row r="11" spans="1:13" ht="20.100000000000001" customHeight="1">
      <c r="A11" s="43">
        <v>3</v>
      </c>
      <c r="B11" s="33" t="str">
        <f>'Attachment 3 - Gross Plant'!B10</f>
        <v>February</v>
      </c>
      <c r="C11" s="35">
        <f>C10</f>
        <v>2026</v>
      </c>
      <c r="E11" s="69">
        <v>494858154.954799</v>
      </c>
      <c r="F11" s="69"/>
      <c r="G11" s="69"/>
      <c r="H11" s="69"/>
      <c r="I11" s="69"/>
      <c r="J11" s="76">
        <f t="shared" si="0"/>
        <v>494858154.954799</v>
      </c>
      <c r="K11" s="69">
        <v>200000000</v>
      </c>
      <c r="L11" s="418"/>
    </row>
    <row r="12" spans="1:13" ht="20.100000000000001" customHeight="1">
      <c r="A12" s="43">
        <v>4</v>
      </c>
      <c r="B12" s="33" t="str">
        <f>'Attachment 3 - Gross Plant'!B11</f>
        <v>March</v>
      </c>
      <c r="C12" s="35">
        <f t="shared" ref="C12:C21" si="1">C11</f>
        <v>2026</v>
      </c>
      <c r="E12" s="69">
        <v>498189848.32976604</v>
      </c>
      <c r="F12" s="69"/>
      <c r="G12" s="69"/>
      <c r="H12" s="69"/>
      <c r="I12" s="69"/>
      <c r="J12" s="76">
        <f t="shared" si="0"/>
        <v>498189848.32976604</v>
      </c>
      <c r="K12" s="69">
        <v>200000000</v>
      </c>
      <c r="L12" s="418"/>
    </row>
    <row r="13" spans="1:13" ht="20.100000000000001" customHeight="1">
      <c r="A13" s="43">
        <v>5</v>
      </c>
      <c r="B13" s="33" t="str">
        <f>'Attachment 3 - Gross Plant'!B12</f>
        <v>April</v>
      </c>
      <c r="C13" s="35">
        <f t="shared" si="1"/>
        <v>2026</v>
      </c>
      <c r="E13" s="69">
        <v>501693755.12513</v>
      </c>
      <c r="F13" s="69"/>
      <c r="G13" s="69"/>
      <c r="H13" s="69"/>
      <c r="I13" s="69"/>
      <c r="J13" s="76">
        <f t="shared" si="0"/>
        <v>501693755.12513</v>
      </c>
      <c r="K13" s="69">
        <v>200000000</v>
      </c>
      <c r="L13" s="418"/>
    </row>
    <row r="14" spans="1:13" ht="20.100000000000001" customHeight="1">
      <c r="A14" s="43">
        <v>6</v>
      </c>
      <c r="B14" s="33" t="str">
        <f>'Attachment 3 - Gross Plant'!B13</f>
        <v>May</v>
      </c>
      <c r="C14" s="35">
        <f t="shared" si="1"/>
        <v>2026</v>
      </c>
      <c r="E14" s="69">
        <v>505198652.20171702</v>
      </c>
      <c r="F14" s="69"/>
      <c r="G14" s="69"/>
      <c r="H14" s="69"/>
      <c r="I14" s="69"/>
      <c r="J14" s="76">
        <f t="shared" si="0"/>
        <v>505198652.20171702</v>
      </c>
      <c r="K14" s="69">
        <v>200000000</v>
      </c>
      <c r="L14" s="418"/>
    </row>
    <row r="15" spans="1:13" ht="20.100000000000001" customHeight="1">
      <c r="A15" s="43">
        <v>7</v>
      </c>
      <c r="B15" s="33" t="str">
        <f>'Attachment 3 - Gross Plant'!B14</f>
        <v>June</v>
      </c>
      <c r="C15" s="35">
        <f t="shared" si="1"/>
        <v>2026</v>
      </c>
      <c r="E15" s="69">
        <v>508999043.75638402</v>
      </c>
      <c r="F15" s="69"/>
      <c r="G15" s="69"/>
      <c r="H15" s="69"/>
      <c r="I15" s="69"/>
      <c r="J15" s="76">
        <f t="shared" si="0"/>
        <v>508999043.75638402</v>
      </c>
      <c r="K15" s="69">
        <v>200000000</v>
      </c>
      <c r="L15" s="418"/>
    </row>
    <row r="16" spans="1:13" ht="20.100000000000001" customHeight="1">
      <c r="A16" s="43">
        <v>8</v>
      </c>
      <c r="B16" s="33" t="str">
        <f>'Attachment 3 - Gross Plant'!B15</f>
        <v>July</v>
      </c>
      <c r="C16" s="35">
        <f t="shared" si="1"/>
        <v>2026</v>
      </c>
      <c r="E16" s="69">
        <v>512543857.24334002</v>
      </c>
      <c r="F16" s="69"/>
      <c r="G16" s="69"/>
      <c r="H16" s="69"/>
      <c r="I16" s="69"/>
      <c r="J16" s="76">
        <f>E16-F16-G16-H16-I16</f>
        <v>512543857.24334002</v>
      </c>
      <c r="K16" s="69">
        <v>200000000</v>
      </c>
      <c r="L16" s="418"/>
    </row>
    <row r="17" spans="1:12" ht="20.100000000000001" customHeight="1">
      <c r="A17" s="43">
        <v>9</v>
      </c>
      <c r="B17" s="33" t="str">
        <f>'Attachment 3 - Gross Plant'!B16</f>
        <v>August</v>
      </c>
      <c r="C17" s="35">
        <f t="shared" si="1"/>
        <v>2026</v>
      </c>
      <c r="E17" s="69">
        <v>515948437.30978203</v>
      </c>
      <c r="F17" s="69"/>
      <c r="G17" s="69"/>
      <c r="H17" s="69"/>
      <c r="I17" s="69"/>
      <c r="J17" s="76">
        <f t="shared" si="0"/>
        <v>515948437.30978203</v>
      </c>
      <c r="K17" s="69">
        <v>200000000</v>
      </c>
      <c r="L17" s="418"/>
    </row>
    <row r="18" spans="1:12" ht="20.100000000000001" customHeight="1">
      <c r="A18" s="43">
        <v>10</v>
      </c>
      <c r="B18" s="33" t="str">
        <f>'Attachment 3 - Gross Plant'!B17</f>
        <v>September</v>
      </c>
      <c r="C18" s="35">
        <f t="shared" si="1"/>
        <v>2026</v>
      </c>
      <c r="E18" s="69">
        <v>519498727.13510203</v>
      </c>
      <c r="F18" s="69"/>
      <c r="G18" s="69"/>
      <c r="H18" s="69"/>
      <c r="I18" s="69"/>
      <c r="J18" s="76">
        <f t="shared" si="0"/>
        <v>519498727.13510203</v>
      </c>
      <c r="K18" s="69">
        <v>200000000</v>
      </c>
      <c r="L18" s="418"/>
    </row>
    <row r="19" spans="1:12" ht="20.100000000000001" customHeight="1">
      <c r="A19" s="43">
        <v>11</v>
      </c>
      <c r="B19" s="33" t="str">
        <f>'Attachment 3 - Gross Plant'!B18</f>
        <v>October</v>
      </c>
      <c r="C19" s="35">
        <f t="shared" si="1"/>
        <v>2026</v>
      </c>
      <c r="E19" s="69">
        <v>523111156.72556204</v>
      </c>
      <c r="F19" s="69"/>
      <c r="G19" s="69"/>
      <c r="H19" s="69"/>
      <c r="I19" s="69"/>
      <c r="J19" s="76">
        <f t="shared" si="0"/>
        <v>523111156.72556204</v>
      </c>
      <c r="K19" s="69">
        <v>200000000</v>
      </c>
      <c r="L19" s="418"/>
    </row>
    <row r="20" spans="1:12" ht="20.100000000000001" customHeight="1">
      <c r="A20" s="43">
        <v>12</v>
      </c>
      <c r="B20" s="33" t="str">
        <f>'Attachment 3 - Gross Plant'!B19</f>
        <v>November</v>
      </c>
      <c r="C20" s="35">
        <f t="shared" si="1"/>
        <v>2026</v>
      </c>
      <c r="E20" s="69">
        <v>526874042.89272201</v>
      </c>
      <c r="F20" s="69"/>
      <c r="G20" s="69"/>
      <c r="H20" s="69"/>
      <c r="I20" s="69"/>
      <c r="J20" s="76">
        <f t="shared" si="0"/>
        <v>526874042.89272201</v>
      </c>
      <c r="K20" s="69">
        <v>200000000</v>
      </c>
      <c r="L20" s="418"/>
    </row>
    <row r="21" spans="1:12" ht="20.100000000000001" customHeight="1">
      <c r="A21" s="43">
        <v>13</v>
      </c>
      <c r="B21" s="33" t="str">
        <f>'Attachment 3 - Gross Plant'!B20</f>
        <v>December</v>
      </c>
      <c r="C21" s="35">
        <f t="shared" si="1"/>
        <v>2026</v>
      </c>
      <c r="E21" s="69">
        <v>530622599.64844102</v>
      </c>
      <c r="F21" s="69"/>
      <c r="G21" s="69"/>
      <c r="H21" s="69"/>
      <c r="I21" s="69"/>
      <c r="J21" s="76">
        <f t="shared" si="0"/>
        <v>530622599.64844102</v>
      </c>
      <c r="K21" s="69">
        <v>200000000</v>
      </c>
      <c r="L21" s="418"/>
    </row>
    <row r="22" spans="1:12" ht="20.100000000000001" customHeight="1">
      <c r="A22" s="33"/>
      <c r="E22" s="71"/>
      <c r="F22" s="71"/>
      <c r="G22" s="71"/>
      <c r="H22" s="71"/>
      <c r="I22" s="71"/>
      <c r="J22" s="71"/>
      <c r="K22" s="71"/>
    </row>
    <row r="23" spans="1:12" ht="20.100000000000001" customHeight="1">
      <c r="A23" s="43">
        <v>14</v>
      </c>
      <c r="B23" s="33" t="s">
        <v>222</v>
      </c>
      <c r="E23" s="71">
        <f t="shared" ref="E23:K23" si="2">SUM(E9:E21)/13</f>
        <v>509031863.11021435</v>
      </c>
      <c r="F23" s="71">
        <f t="shared" si="2"/>
        <v>0</v>
      </c>
      <c r="G23" s="71">
        <f t="shared" si="2"/>
        <v>0</v>
      </c>
      <c r="H23" s="71">
        <f t="shared" si="2"/>
        <v>0</v>
      </c>
      <c r="I23" s="71">
        <f t="shared" si="2"/>
        <v>0</v>
      </c>
      <c r="J23" s="71">
        <f t="shared" si="2"/>
        <v>509031863.11021435</v>
      </c>
      <c r="K23" s="71">
        <f t="shared" si="2"/>
        <v>200000000</v>
      </c>
    </row>
    <row r="24" spans="1:12" ht="20.100000000000001" customHeight="1">
      <c r="A24" s="43"/>
    </row>
    <row r="25" spans="1:12" ht="20.100000000000001" customHeight="1">
      <c r="I25" s="76"/>
    </row>
    <row r="26" spans="1:12" ht="20.100000000000001" customHeight="1">
      <c r="A26" s="33" t="s">
        <v>224</v>
      </c>
    </row>
    <row r="27" spans="1:12" ht="20.100000000000001" customHeight="1">
      <c r="A27" s="39" t="s">
        <v>223</v>
      </c>
      <c r="B27" s="33" t="s">
        <v>225</v>
      </c>
      <c r="J27" s="52"/>
    </row>
  </sheetData>
  <customSheetViews>
    <customSheetView guid="{E1861F40-EBD5-44AE-868B-FDE0ED504D72}" scale="85">
      <selection activeCell="E9" sqref="E9"/>
      <pageMargins left="0.7" right="0.7" top="0.75" bottom="0.75" header="0.3" footer="0.3"/>
      <pageSetup scale="55" orientation="portrait" r:id="rId1"/>
    </customSheetView>
  </customSheetViews>
  <pageMargins left="0.7" right="0.7" top="0.75" bottom="0.75" header="0.3" footer="0.3"/>
  <pageSetup scale="46"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dimension ref="A1:O55"/>
  <sheetViews>
    <sheetView view="pageBreakPreview" zoomScale="60" zoomScaleNormal="100" workbookViewId="0"/>
  </sheetViews>
  <sheetFormatPr defaultColWidth="8.88671875" defaultRowHeight="12.75"/>
  <cols>
    <col min="1" max="1" width="8.88671875" style="78"/>
    <col min="2" max="2" width="37" style="78" customWidth="1"/>
    <col min="3" max="3" width="12.44140625" style="78" customWidth="1"/>
    <col min="4" max="4" width="8.88671875" style="78"/>
    <col min="5" max="5" width="13.6640625" style="78" bestFit="1" customWidth="1"/>
    <col min="6" max="16384" width="8.88671875" style="78"/>
  </cols>
  <sheetData>
    <row r="1" spans="1:9" ht="15.75">
      <c r="A1" s="42"/>
      <c r="I1" s="3" t="str">
        <f>'Attachment H-34A '!K1&amp;""&amp;", Attachment 9"</f>
        <v>Attachment H-34A, Attachment 9</v>
      </c>
    </row>
    <row r="2" spans="1:9" ht="15.75">
      <c r="A2" s="42"/>
      <c r="I2" s="3" t="s">
        <v>186</v>
      </c>
    </row>
    <row r="3" spans="1:9" ht="15.75">
      <c r="A3" s="42"/>
      <c r="D3" s="79" t="s">
        <v>503</v>
      </c>
      <c r="I3" s="3" t="str">
        <f>'Attachment H-34A '!K4</f>
        <v>For the 12 months ended 12/31/2026</v>
      </c>
    </row>
    <row r="4" spans="1:9" ht="15.75">
      <c r="A4" s="42"/>
    </row>
    <row r="5" spans="1:9">
      <c r="A5" s="79"/>
    </row>
    <row r="6" spans="1:9">
      <c r="A6" s="79" t="s">
        <v>283</v>
      </c>
    </row>
    <row r="7" spans="1:9">
      <c r="A7" s="88" t="s">
        <v>298</v>
      </c>
    </row>
    <row r="8" spans="1:9">
      <c r="A8" s="79"/>
    </row>
    <row r="10" spans="1:9">
      <c r="A10" s="79" t="s">
        <v>284</v>
      </c>
    </row>
    <row r="12" spans="1:9" ht="18" customHeight="1">
      <c r="A12" s="1042" t="s">
        <v>1010</v>
      </c>
      <c r="B12" s="1042"/>
      <c r="C12" s="1042"/>
      <c r="D12" s="835">
        <f>'Attachment H-34A '!G262</f>
        <v>0.1045</v>
      </c>
      <c r="E12" s="836"/>
      <c r="F12" s="836"/>
      <c r="G12" s="836"/>
      <c r="H12" s="836"/>
      <c r="I12" s="836"/>
    </row>
    <row r="15" spans="1:9">
      <c r="A15" s="79" t="s">
        <v>285</v>
      </c>
    </row>
    <row r="16" spans="1:9">
      <c r="A16" s="79"/>
      <c r="B16" s="322" t="s">
        <v>286</v>
      </c>
    </row>
    <row r="17" spans="1:15" s="80" customFormat="1" ht="15" customHeight="1">
      <c r="A17" s="171" t="s">
        <v>541</v>
      </c>
      <c r="B17" s="171"/>
      <c r="C17" s="225">
        <v>-15646300</v>
      </c>
      <c r="D17" s="171"/>
      <c r="E17" s="171"/>
      <c r="F17" s="225"/>
      <c r="G17" s="171"/>
      <c r="H17" s="171"/>
      <c r="I17" s="225"/>
      <c r="J17" s="81"/>
      <c r="K17" s="81"/>
      <c r="L17" s="97"/>
      <c r="M17" s="81"/>
      <c r="N17" s="81"/>
      <c r="O17" s="81"/>
    </row>
    <row r="18" spans="1:15">
      <c r="A18" s="171" t="s">
        <v>542</v>
      </c>
      <c r="B18" s="171"/>
      <c r="C18" s="225">
        <v>2161999525</v>
      </c>
      <c r="D18" s="171"/>
      <c r="E18" s="171"/>
      <c r="F18" s="225"/>
      <c r="G18" s="171"/>
      <c r="H18" s="171"/>
      <c r="I18" s="225"/>
    </row>
    <row r="19" spans="1:15">
      <c r="A19" s="171" t="s">
        <v>680</v>
      </c>
      <c r="B19" s="171"/>
      <c r="C19" s="837">
        <f>C17/C18</f>
        <v>-7.2369581117276149E-3</v>
      </c>
      <c r="D19" s="171"/>
      <c r="E19" s="171"/>
      <c r="F19" s="225"/>
      <c r="G19" s="171"/>
      <c r="H19" s="171"/>
      <c r="I19" s="225"/>
    </row>
    <row r="21" spans="1:15">
      <c r="A21" s="79" t="s">
        <v>917</v>
      </c>
    </row>
    <row r="22" spans="1:15">
      <c r="A22" s="79"/>
    </row>
    <row r="23" spans="1:15">
      <c r="A23" s="78" t="s">
        <v>287</v>
      </c>
      <c r="C23" s="323" t="s">
        <v>288</v>
      </c>
    </row>
    <row r="24" spans="1:15" ht="15">
      <c r="A24" s="299">
        <v>350.2</v>
      </c>
      <c r="B24" s="78" t="s">
        <v>1141</v>
      </c>
      <c r="C24" s="846">
        <v>1.5100000000000001E-2</v>
      </c>
      <c r="J24" s="297"/>
      <c r="K24" s="310"/>
      <c r="L24" s="298"/>
    </row>
    <row r="25" spans="1:15" ht="15">
      <c r="A25" s="299">
        <v>352</v>
      </c>
      <c r="B25" s="78" t="s">
        <v>1142</v>
      </c>
      <c r="C25" s="846">
        <v>1.3100000000000001E-2</v>
      </c>
      <c r="J25" s="297"/>
      <c r="K25" s="310"/>
      <c r="L25" s="298"/>
    </row>
    <row r="26" spans="1:15" ht="15">
      <c r="A26" s="299">
        <v>353.1</v>
      </c>
      <c r="B26" s="78" t="s">
        <v>1143</v>
      </c>
      <c r="C26" s="846">
        <v>1.38E-2</v>
      </c>
      <c r="J26" s="297"/>
      <c r="K26" s="310"/>
      <c r="L26" s="298"/>
    </row>
    <row r="27" spans="1:15" ht="15">
      <c r="A27" s="299">
        <v>353.4</v>
      </c>
      <c r="B27" s="78" t="s">
        <v>1144</v>
      </c>
      <c r="C27" s="846">
        <v>8.9999999999999998E-4</v>
      </c>
      <c r="J27" s="297"/>
      <c r="K27" s="310"/>
      <c r="L27" s="298"/>
    </row>
    <row r="28" spans="1:15" ht="15">
      <c r="A28" s="299">
        <v>354</v>
      </c>
      <c r="B28" s="78" t="s">
        <v>1145</v>
      </c>
      <c r="C28" s="846">
        <v>1.52E-2</v>
      </c>
      <c r="J28" s="297"/>
      <c r="K28" s="310"/>
      <c r="L28" s="298"/>
    </row>
    <row r="29" spans="1:15" ht="15">
      <c r="A29" s="299">
        <v>355</v>
      </c>
      <c r="B29" s="78" t="s">
        <v>1146</v>
      </c>
      <c r="C29" s="846">
        <v>2.4899999999999999E-2</v>
      </c>
      <c r="J29" s="297"/>
      <c r="K29" s="310"/>
      <c r="L29" s="298"/>
    </row>
    <row r="30" spans="1:15" ht="15">
      <c r="A30" s="299">
        <v>356.1</v>
      </c>
      <c r="B30" s="78" t="s">
        <v>1147</v>
      </c>
      <c r="C30" s="846">
        <f>277%/100</f>
        <v>2.7699999999999999E-2</v>
      </c>
      <c r="J30" s="297"/>
      <c r="K30" s="310"/>
      <c r="L30" s="298"/>
    </row>
    <row r="31" spans="1:15" ht="15">
      <c r="A31" s="299">
        <v>356.2</v>
      </c>
      <c r="B31" s="78" t="s">
        <v>1148</v>
      </c>
      <c r="C31" s="846">
        <f>66%/100</f>
        <v>6.6E-3</v>
      </c>
      <c r="J31" s="297"/>
      <c r="K31" s="310"/>
      <c r="L31" s="298"/>
    </row>
    <row r="32" spans="1:15" ht="15">
      <c r="A32" s="299">
        <v>357</v>
      </c>
      <c r="B32" s="78" t="s">
        <v>1149</v>
      </c>
      <c r="C32" s="846">
        <v>2.0400000000000001E-2</v>
      </c>
      <c r="J32" s="297"/>
      <c r="K32" s="310"/>
      <c r="L32" s="298"/>
    </row>
    <row r="33" spans="1:12" ht="15">
      <c r="A33" s="309">
        <v>358</v>
      </c>
      <c r="B33" s="78" t="s">
        <v>1150</v>
      </c>
      <c r="C33" s="846">
        <v>2.3800000000000002E-2</v>
      </c>
      <c r="J33" s="297"/>
      <c r="K33" s="310"/>
      <c r="L33" s="298"/>
    </row>
    <row r="34" spans="1:12" ht="15">
      <c r="A34" s="309">
        <v>389.2</v>
      </c>
      <c r="B34" s="326" t="s">
        <v>1141</v>
      </c>
      <c r="C34" s="846">
        <v>1.44E-2</v>
      </c>
      <c r="J34" s="297"/>
      <c r="K34" s="310"/>
      <c r="L34" s="298"/>
    </row>
    <row r="35" spans="1:12">
      <c r="A35" s="309">
        <v>390.1</v>
      </c>
      <c r="B35" s="78" t="s">
        <v>1151</v>
      </c>
      <c r="C35" s="846">
        <v>2.1100000000000001E-2</v>
      </c>
    </row>
    <row r="36" spans="1:12">
      <c r="A36" s="309">
        <v>391.1</v>
      </c>
      <c r="B36" s="78" t="s">
        <v>1152</v>
      </c>
      <c r="C36" s="846">
        <v>0.05</v>
      </c>
    </row>
    <row r="37" spans="1:12" ht="12.75" customHeight="1">
      <c r="A37" s="309">
        <v>391.2</v>
      </c>
      <c r="B37" s="78" t="s">
        <v>1153</v>
      </c>
      <c r="C37" s="846">
        <v>0.1429</v>
      </c>
      <c r="D37" s="326"/>
      <c r="E37" s="326"/>
      <c r="F37" s="326"/>
      <c r="G37" s="326"/>
      <c r="H37" s="326"/>
      <c r="I37" s="326"/>
    </row>
    <row r="38" spans="1:12" ht="12.75" customHeight="1">
      <c r="A38" s="327">
        <v>391.3</v>
      </c>
      <c r="B38" s="78" t="s">
        <v>1154</v>
      </c>
      <c r="C38" s="847">
        <v>0.1</v>
      </c>
      <c r="D38" s="326"/>
      <c r="E38" s="326"/>
      <c r="F38" s="326"/>
      <c r="G38" s="326"/>
      <c r="H38" s="326"/>
      <c r="I38" s="326"/>
    </row>
    <row r="39" spans="1:12">
      <c r="A39" s="309">
        <v>391.4</v>
      </c>
      <c r="B39" s="78" t="s">
        <v>1155</v>
      </c>
      <c r="C39" s="846">
        <v>0.2</v>
      </c>
    </row>
    <row r="40" spans="1:12">
      <c r="A40" s="309">
        <v>391.5</v>
      </c>
      <c r="B40" s="78" t="s">
        <v>1167</v>
      </c>
      <c r="C40" s="846">
        <v>0.2</v>
      </c>
    </row>
    <row r="41" spans="1:12">
      <c r="A41" s="309">
        <v>392.1</v>
      </c>
      <c r="B41" s="78" t="s">
        <v>1156</v>
      </c>
      <c r="C41" s="846">
        <v>0.1</v>
      </c>
    </row>
    <row r="42" spans="1:12">
      <c r="A42" s="309">
        <v>392.2</v>
      </c>
      <c r="B42" s="78" t="s">
        <v>1157</v>
      </c>
      <c r="C42" s="846">
        <v>7.1999999999999995E-2</v>
      </c>
    </row>
    <row r="43" spans="1:12">
      <c r="A43" s="309">
        <v>392.3</v>
      </c>
      <c r="B43" s="78" t="s">
        <v>1158</v>
      </c>
      <c r="C43" s="846">
        <v>7.6200000000000004E-2</v>
      </c>
    </row>
    <row r="44" spans="1:12">
      <c r="A44" s="309">
        <v>392.4</v>
      </c>
      <c r="B44" s="78" t="s">
        <v>1159</v>
      </c>
      <c r="C44" s="846">
        <v>3.8800000000000001E-2</v>
      </c>
    </row>
    <row r="45" spans="1:12">
      <c r="A45" s="309">
        <v>392.5</v>
      </c>
      <c r="B45" s="78" t="s">
        <v>1160</v>
      </c>
      <c r="C45" s="846">
        <v>6.9000000000000006E-2</v>
      </c>
    </row>
    <row r="46" spans="1:12">
      <c r="A46" s="309">
        <v>392.6</v>
      </c>
      <c r="B46" s="78" t="s">
        <v>1168</v>
      </c>
      <c r="C46" s="846">
        <v>0.1053</v>
      </c>
    </row>
    <row r="47" spans="1:12">
      <c r="A47" s="309">
        <v>393</v>
      </c>
      <c r="B47" s="78" t="s">
        <v>1161</v>
      </c>
      <c r="C47" s="846">
        <v>0.04</v>
      </c>
    </row>
    <row r="48" spans="1:12">
      <c r="A48" s="309">
        <v>394</v>
      </c>
      <c r="B48" s="78" t="s">
        <v>1162</v>
      </c>
      <c r="C48" s="846">
        <v>0.05</v>
      </c>
    </row>
    <row r="49" spans="1:9">
      <c r="A49" s="309">
        <v>395</v>
      </c>
      <c r="B49" s="78" t="s">
        <v>1163</v>
      </c>
      <c r="C49" s="846">
        <v>0.05</v>
      </c>
    </row>
    <row r="50" spans="1:9">
      <c r="A50" s="309">
        <v>396</v>
      </c>
      <c r="B50" s="78" t="s">
        <v>1164</v>
      </c>
      <c r="C50" s="846">
        <v>4.87E-2</v>
      </c>
    </row>
    <row r="51" spans="1:9">
      <c r="A51" s="309">
        <v>397</v>
      </c>
      <c r="B51" s="78" t="s">
        <v>1165</v>
      </c>
      <c r="C51" s="846">
        <v>0.1</v>
      </c>
    </row>
    <row r="52" spans="1:9">
      <c r="A52" s="309">
        <v>398</v>
      </c>
      <c r="B52" s="78" t="s">
        <v>1166</v>
      </c>
      <c r="C52" s="846">
        <v>6.6699999999999995E-2</v>
      </c>
    </row>
    <row r="53" spans="1:9">
      <c r="A53" s="309"/>
      <c r="C53" s="846"/>
    </row>
    <row r="54" spans="1:9" ht="28.9" customHeight="1">
      <c r="A54" s="964" t="s">
        <v>677</v>
      </c>
      <c r="B54" s="1043" t="s">
        <v>1178</v>
      </c>
      <c r="C54" s="1043"/>
      <c r="D54" s="1043"/>
      <c r="E54" s="1043"/>
      <c r="F54" s="1043"/>
      <c r="G54" s="1043"/>
      <c r="H54" s="1043"/>
      <c r="I54" s="1043"/>
    </row>
    <row r="55" spans="1:9" ht="17.25" customHeight="1"/>
  </sheetData>
  <mergeCells count="2">
    <mergeCell ref="A12:C12"/>
    <mergeCell ref="B54:I54"/>
  </mergeCells>
  <pageMargins left="0.7" right="0.7" top="0.75" bottom="0.75" header="0.3" footer="0.3"/>
  <pageSetup scale="6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AA54"/>
  <sheetViews>
    <sheetView view="pageBreakPreview" zoomScale="70" zoomScaleNormal="100" zoomScaleSheetLayoutView="70" workbookViewId="0">
      <selection activeCell="R66" sqref="R66"/>
    </sheetView>
  </sheetViews>
  <sheetFormatPr defaultColWidth="13.33203125" defaultRowHeight="15"/>
  <cols>
    <col min="1" max="1" width="3.21875" style="328" customWidth="1"/>
    <col min="2" max="2" width="32.77734375" style="328" customWidth="1"/>
    <col min="3" max="3" width="13.5546875" style="328" bestFit="1" customWidth="1"/>
    <col min="4" max="4" width="17.6640625" style="328" bestFit="1" customWidth="1"/>
    <col min="5" max="6" width="3.21875" style="328" customWidth="1"/>
    <col min="7" max="7" width="13.5546875" style="328" bestFit="1" customWidth="1"/>
    <col min="8" max="8" width="4.44140625" style="328" customWidth="1"/>
    <col min="9" max="9" width="20.33203125" style="328" customWidth="1"/>
    <col min="10" max="10" width="4.44140625" style="328" customWidth="1"/>
    <col min="11" max="11" width="20.77734375" style="328" customWidth="1"/>
    <col min="12" max="12" width="4.44140625" style="328" customWidth="1"/>
    <col min="13" max="13" width="19.88671875" style="328" customWidth="1"/>
    <col min="14" max="14" width="4.44140625" style="328" customWidth="1"/>
    <col min="15" max="15" width="13.5546875" style="328" bestFit="1" customWidth="1"/>
    <col min="16" max="16" width="4.44140625" style="328" customWidth="1"/>
    <col min="17" max="17" width="21.88671875" style="328" customWidth="1"/>
    <col min="18" max="18" width="4.44140625" style="328" customWidth="1"/>
    <col min="19" max="19" width="20.88671875" style="328" customWidth="1"/>
    <col min="20" max="20" width="4.44140625" style="328" customWidth="1"/>
    <col min="21" max="21" width="14.88671875" style="328" customWidth="1"/>
    <col min="22" max="22" width="4.44140625" style="328" customWidth="1"/>
    <col min="23" max="23" width="10.77734375" style="328" customWidth="1"/>
    <col min="24" max="24" width="4.44140625" style="328" customWidth="1"/>
    <col min="25" max="25" width="13.77734375" style="328" bestFit="1" customWidth="1"/>
    <col min="26" max="26" width="4.44140625" style="328" customWidth="1"/>
    <col min="27" max="27" width="16.77734375" style="328" customWidth="1"/>
    <col min="28" max="16384" width="13.33203125" style="328"/>
  </cols>
  <sheetData>
    <row r="1" spans="1:27" ht="15.75">
      <c r="B1" s="205"/>
      <c r="AA1" s="3" t="str">
        <f>'Attachment H-34A '!K1&amp;""&amp;", Attachment 10"</f>
        <v>Attachment H-34A, Attachment 10</v>
      </c>
    </row>
    <row r="2" spans="1:27" ht="15.75">
      <c r="B2" s="205"/>
      <c r="AA2" s="16" t="s">
        <v>186</v>
      </c>
    </row>
    <row r="3" spans="1:27" ht="18">
      <c r="B3" s="205"/>
      <c r="M3" s="204" t="s">
        <v>504</v>
      </c>
      <c r="AA3" s="16" t="str">
        <f>'Attachment H-34A '!K4</f>
        <v>For the 12 months ended 12/31/2026</v>
      </c>
    </row>
    <row r="4" spans="1:27" ht="15.75">
      <c r="B4" s="206"/>
    </row>
    <row r="5" spans="1:27" ht="15.75">
      <c r="A5" s="329"/>
      <c r="B5" s="207" t="s">
        <v>345</v>
      </c>
      <c r="C5" s="207"/>
      <c r="D5" s="207"/>
      <c r="E5" s="207"/>
      <c r="F5" s="207"/>
      <c r="G5" s="207"/>
      <c r="H5" s="207"/>
      <c r="I5" s="207"/>
      <c r="J5" s="207"/>
      <c r="K5" s="207"/>
      <c r="L5" s="207"/>
      <c r="M5" s="207"/>
      <c r="N5" s="207"/>
      <c r="O5" s="207"/>
      <c r="P5" s="207"/>
      <c r="Q5" s="207"/>
      <c r="R5" s="207"/>
      <c r="S5" s="207"/>
      <c r="T5" s="207"/>
      <c r="U5" s="207"/>
      <c r="V5" s="207"/>
      <c r="W5" s="207"/>
      <c r="X5" s="207"/>
      <c r="Y5" s="330"/>
      <c r="Z5" s="206"/>
    </row>
    <row r="6" spans="1:27" ht="15.75">
      <c r="A6" s="331"/>
      <c r="C6" s="206"/>
      <c r="D6" s="206"/>
      <c r="E6" s="206"/>
      <c r="F6" s="206"/>
      <c r="G6" s="332"/>
      <c r="H6" s="332"/>
      <c r="I6" s="332"/>
      <c r="J6" s="332"/>
      <c r="K6" s="206"/>
      <c r="L6" s="206"/>
      <c r="M6" s="206"/>
      <c r="N6" s="206"/>
      <c r="O6" s="206"/>
      <c r="P6" s="206"/>
      <c r="Q6" s="206"/>
      <c r="R6" s="206"/>
      <c r="S6" s="206"/>
      <c r="T6" s="206"/>
      <c r="U6" s="206"/>
      <c r="V6" s="206"/>
      <c r="W6" s="206"/>
      <c r="X6" s="206"/>
      <c r="Y6" s="333"/>
      <c r="Z6" s="206"/>
    </row>
    <row r="7" spans="1:27" ht="15.75">
      <c r="A7" s="331"/>
      <c r="B7" s="206" t="s">
        <v>346</v>
      </c>
      <c r="C7" s="206"/>
      <c r="D7" s="206"/>
      <c r="E7" s="206"/>
      <c r="F7" s="206"/>
      <c r="G7" s="332"/>
      <c r="H7" s="332"/>
      <c r="I7" s="332"/>
      <c r="J7" s="332"/>
      <c r="K7" s="206"/>
      <c r="L7" s="206"/>
      <c r="M7" s="206"/>
      <c r="N7" s="206"/>
      <c r="O7" s="206"/>
      <c r="P7" s="206"/>
      <c r="Q7" s="206"/>
      <c r="R7" s="206"/>
      <c r="S7" s="206"/>
      <c r="T7" s="206"/>
      <c r="U7" s="206"/>
      <c r="V7" s="206"/>
      <c r="W7" s="206"/>
      <c r="X7" s="206"/>
      <c r="Y7" s="333"/>
      <c r="Z7" s="206"/>
    </row>
    <row r="8" spans="1:27" ht="16.5" thickBot="1">
      <c r="A8" s="331"/>
      <c r="D8" s="206"/>
      <c r="E8" s="206"/>
      <c r="F8" s="206"/>
      <c r="G8" s="332"/>
      <c r="H8" s="332"/>
      <c r="I8" s="332"/>
      <c r="J8" s="332"/>
      <c r="K8" s="206"/>
      <c r="L8" s="206"/>
      <c r="M8" s="206"/>
      <c r="N8" s="206"/>
      <c r="O8" s="206"/>
      <c r="P8" s="206"/>
      <c r="Q8" s="206"/>
      <c r="R8" s="206"/>
      <c r="S8" s="206"/>
      <c r="T8" s="206"/>
      <c r="U8" s="206"/>
      <c r="V8" s="206"/>
      <c r="W8" s="206"/>
      <c r="X8" s="206"/>
      <c r="Y8" s="333"/>
      <c r="Z8" s="206"/>
    </row>
    <row r="9" spans="1:27" ht="16.5" thickBot="1">
      <c r="A9" s="331"/>
      <c r="B9" s="334" t="s">
        <v>347</v>
      </c>
      <c r="C9" s="335" t="str">
        <f>MID(AA3,25,10)</f>
        <v>12/31/2026</v>
      </c>
      <c r="D9" s="206"/>
      <c r="E9" s="206"/>
      <c r="F9" s="206"/>
      <c r="G9" s="206"/>
      <c r="H9" s="206"/>
      <c r="J9" s="206"/>
      <c r="K9" s="336"/>
      <c r="L9" s="206"/>
      <c r="M9" s="206"/>
      <c r="N9" s="206"/>
      <c r="O9" s="206"/>
      <c r="P9" s="206"/>
      <c r="Q9" s="206"/>
      <c r="R9" s="206"/>
      <c r="S9" s="206"/>
      <c r="T9" s="206"/>
      <c r="U9" s="206"/>
      <c r="V9" s="206"/>
      <c r="W9" s="206"/>
      <c r="X9" s="206"/>
      <c r="Y9" s="333"/>
      <c r="Z9" s="206"/>
    </row>
    <row r="10" spans="1:27" ht="15.75">
      <c r="A10" s="331"/>
      <c r="B10" s="332"/>
      <c r="C10" s="206"/>
      <c r="E10" s="206"/>
      <c r="F10" s="206"/>
      <c r="H10" s="206"/>
      <c r="I10" s="206"/>
      <c r="J10" s="206"/>
      <c r="K10" s="336"/>
      <c r="L10" s="206"/>
      <c r="M10" s="206"/>
      <c r="N10" s="206"/>
      <c r="O10" s="206"/>
      <c r="P10" s="206"/>
      <c r="Q10" s="206"/>
      <c r="R10" s="206"/>
      <c r="S10" s="206"/>
      <c r="T10" s="206"/>
      <c r="U10" s="206"/>
      <c r="V10" s="206"/>
      <c r="W10" s="206"/>
      <c r="X10" s="206"/>
      <c r="Y10" s="333"/>
      <c r="Z10" s="206"/>
    </row>
    <row r="11" spans="1:27" s="208" customFormat="1" ht="15.75">
      <c r="A11" s="337"/>
      <c r="D11" s="208" t="s">
        <v>255</v>
      </c>
      <c r="G11" s="208" t="s">
        <v>256</v>
      </c>
      <c r="I11" s="208" t="s">
        <v>348</v>
      </c>
      <c r="K11" s="208" t="s">
        <v>258</v>
      </c>
      <c r="M11" s="338" t="s">
        <v>259</v>
      </c>
      <c r="O11" s="338" t="s">
        <v>260</v>
      </c>
      <c r="Q11" s="208" t="s">
        <v>261</v>
      </c>
      <c r="S11" s="208" t="s">
        <v>262</v>
      </c>
      <c r="U11" s="208" t="s">
        <v>263</v>
      </c>
      <c r="W11" s="208" t="s">
        <v>264</v>
      </c>
      <c r="Y11" s="339"/>
    </row>
    <row r="12" spans="1:27">
      <c r="A12" s="331"/>
      <c r="B12" s="340"/>
      <c r="N12" s="340"/>
      <c r="S12" s="341"/>
      <c r="X12" s="341"/>
      <c r="Y12" s="342"/>
    </row>
    <row r="13" spans="1:27">
      <c r="A13" s="331"/>
      <c r="M13" s="340" t="s">
        <v>349</v>
      </c>
      <c r="N13" s="340"/>
      <c r="Q13" s="340" t="s">
        <v>350</v>
      </c>
      <c r="S13" s="341"/>
      <c r="W13" s="340" t="s">
        <v>94</v>
      </c>
      <c r="X13" s="341"/>
      <c r="Y13" s="342"/>
    </row>
    <row r="14" spans="1:27" ht="15.75">
      <c r="A14" s="331"/>
      <c r="B14" s="206"/>
      <c r="G14" s="340"/>
      <c r="H14" s="340"/>
      <c r="I14" s="340"/>
      <c r="J14" s="340"/>
      <c r="K14" s="340"/>
      <c r="L14" s="340"/>
      <c r="M14" s="340" t="s">
        <v>8</v>
      </c>
      <c r="N14" s="340"/>
      <c r="O14" s="340" t="s">
        <v>278</v>
      </c>
      <c r="P14" s="340"/>
      <c r="Q14" s="340" t="s">
        <v>351</v>
      </c>
      <c r="R14" s="340"/>
      <c r="S14" s="340" t="s">
        <v>94</v>
      </c>
      <c r="T14" s="340"/>
      <c r="U14" s="340" t="s">
        <v>352</v>
      </c>
      <c r="V14" s="340"/>
      <c r="W14" s="340" t="s">
        <v>353</v>
      </c>
      <c r="Y14" s="342"/>
    </row>
    <row r="15" spans="1:27" ht="15.75">
      <c r="A15" s="331"/>
      <c r="B15" s="206"/>
      <c r="E15" s="340"/>
      <c r="F15" s="340"/>
      <c r="G15" s="340"/>
      <c r="H15" s="340"/>
      <c r="I15" s="340" t="s">
        <v>354</v>
      </c>
      <c r="J15" s="340"/>
      <c r="K15" s="340" t="s">
        <v>355</v>
      </c>
      <c r="L15" s="340"/>
      <c r="M15" s="340" t="s">
        <v>351</v>
      </c>
      <c r="N15" s="340"/>
      <c r="O15" s="340" t="s">
        <v>351</v>
      </c>
      <c r="P15" s="340"/>
      <c r="Q15" s="340" t="s">
        <v>356</v>
      </c>
      <c r="R15" s="340"/>
      <c r="S15" s="340" t="s">
        <v>351</v>
      </c>
      <c r="T15" s="340"/>
      <c r="U15" s="340" t="s">
        <v>357</v>
      </c>
      <c r="V15" s="340"/>
      <c r="W15" s="340" t="s">
        <v>358</v>
      </c>
      <c r="Y15" s="342"/>
    </row>
    <row r="16" spans="1:27" ht="15.75">
      <c r="A16" s="331"/>
      <c r="C16" s="208" t="s">
        <v>359</v>
      </c>
      <c r="D16" s="340" t="s">
        <v>360</v>
      </c>
      <c r="E16" s="340"/>
      <c r="F16" s="340"/>
      <c r="G16" s="340" t="s">
        <v>361</v>
      </c>
      <c r="H16" s="340"/>
      <c r="I16" s="340" t="s">
        <v>362</v>
      </c>
      <c r="J16" s="340"/>
      <c r="K16" s="340" t="s">
        <v>363</v>
      </c>
      <c r="L16" s="340"/>
      <c r="M16" s="340" t="s">
        <v>364</v>
      </c>
      <c r="N16" s="340"/>
      <c r="O16" s="340" t="s">
        <v>364</v>
      </c>
      <c r="P16" s="340"/>
      <c r="Q16" s="340" t="s">
        <v>365</v>
      </c>
      <c r="R16" s="340"/>
      <c r="S16" s="340" t="s">
        <v>366</v>
      </c>
      <c r="T16" s="340"/>
      <c r="U16" s="328" t="s">
        <v>1049</v>
      </c>
      <c r="V16" s="340"/>
      <c r="W16" s="340" t="s">
        <v>367</v>
      </c>
      <c r="Y16" s="342"/>
    </row>
    <row r="17" spans="1:26" ht="15.75">
      <c r="A17" s="331"/>
      <c r="B17" s="209" t="s">
        <v>368</v>
      </c>
      <c r="C17" s="345" t="str">
        <f>C38</f>
        <v>12/31/2026</v>
      </c>
      <c r="E17" s="340"/>
      <c r="F17" s="340"/>
      <c r="G17" s="340"/>
      <c r="H17" s="340"/>
      <c r="I17" s="340" t="s">
        <v>528</v>
      </c>
      <c r="J17" s="340"/>
      <c r="K17" s="340" t="s">
        <v>1050</v>
      </c>
      <c r="L17" s="340"/>
      <c r="M17" s="340"/>
      <c r="N17" s="340"/>
      <c r="O17" s="340"/>
      <c r="P17" s="340"/>
      <c r="Q17" s="340" t="s">
        <v>530</v>
      </c>
      <c r="R17" s="340"/>
      <c r="S17" s="340" t="s">
        <v>529</v>
      </c>
      <c r="T17" s="340"/>
      <c r="U17" s="340"/>
      <c r="V17" s="340"/>
      <c r="Y17" s="342"/>
    </row>
    <row r="18" spans="1:26">
      <c r="A18" s="331"/>
      <c r="B18" s="346" t="s">
        <v>369</v>
      </c>
      <c r="E18" s="347"/>
      <c r="F18" s="347"/>
      <c r="G18" s="347"/>
      <c r="H18" s="347"/>
      <c r="I18" s="347"/>
      <c r="J18" s="347"/>
      <c r="K18" s="347"/>
      <c r="L18" s="347"/>
      <c r="M18" s="347"/>
      <c r="N18" s="347"/>
      <c r="O18" s="340"/>
      <c r="P18" s="347"/>
      <c r="Q18" s="347"/>
      <c r="R18" s="347"/>
      <c r="S18" s="340"/>
      <c r="T18" s="340"/>
      <c r="U18" s="340"/>
      <c r="V18" s="340"/>
      <c r="Y18" s="342"/>
    </row>
    <row r="19" spans="1:26">
      <c r="A19" s="587" t="s">
        <v>19</v>
      </c>
      <c r="B19" s="397" t="s">
        <v>1207</v>
      </c>
      <c r="C19" s="409"/>
      <c r="D19" s="407">
        <v>45616</v>
      </c>
      <c r="E19" s="410"/>
      <c r="F19" s="410"/>
      <c r="G19" s="407">
        <v>49324</v>
      </c>
      <c r="H19" s="347"/>
      <c r="I19" s="349">
        <f>I45</f>
        <v>200000000</v>
      </c>
      <c r="J19" s="349"/>
      <c r="K19" s="349">
        <f>S45</f>
        <v>198928230</v>
      </c>
      <c r="L19" s="349"/>
      <c r="M19" s="350">
        <v>198971791.04452199</v>
      </c>
      <c r="N19" s="410"/>
      <c r="O19" s="412">
        <v>12</v>
      </c>
      <c r="P19" s="347"/>
      <c r="Q19" s="351">
        <f>M19*O19/12</f>
        <v>198971791.04452196</v>
      </c>
      <c r="R19" s="347"/>
      <c r="S19" s="352">
        <f>+Q19/$Q$24</f>
        <v>1</v>
      </c>
      <c r="U19" s="352">
        <f>AA45</f>
        <v>5.2378160635464535E-2</v>
      </c>
      <c r="W19" s="352">
        <f>+S19*U19</f>
        <v>5.2378160635464535E-2</v>
      </c>
      <c r="Y19" s="342"/>
      <c r="Z19" s="353"/>
    </row>
    <row r="20" spans="1:26">
      <c r="A20" s="587" t="s">
        <v>20</v>
      </c>
      <c r="B20" s="397"/>
      <c r="C20" s="411"/>
      <c r="D20" s="407"/>
      <c r="E20" s="355"/>
      <c r="F20" s="355"/>
      <c r="G20" s="407"/>
      <c r="H20" s="355"/>
      <c r="I20" s="359">
        <f t="shared" ref="I20:I23" si="0">I46</f>
        <v>0</v>
      </c>
      <c r="J20" s="359"/>
      <c r="K20" s="349">
        <f>S46</f>
        <v>0</v>
      </c>
      <c r="L20" s="359"/>
      <c r="M20" s="415"/>
      <c r="N20" s="413"/>
      <c r="O20" s="412"/>
      <c r="P20" s="356"/>
      <c r="Q20" s="351">
        <f t="shared" ref="Q20:Q22" si="1">M20*O20/12</f>
        <v>0</v>
      </c>
      <c r="R20" s="356"/>
      <c r="S20" s="352">
        <f>+Q20/$Q$24</f>
        <v>0</v>
      </c>
      <c r="T20" s="354"/>
      <c r="U20" s="352" t="e">
        <f>AA46</f>
        <v>#DIV/0!</v>
      </c>
      <c r="V20" s="354"/>
      <c r="W20" s="352"/>
      <c r="X20" s="354"/>
      <c r="Y20" s="342"/>
      <c r="Z20" s="353"/>
    </row>
    <row r="21" spans="1:26">
      <c r="A21" s="587" t="s">
        <v>21</v>
      </c>
      <c r="B21" s="397"/>
      <c r="C21" s="406"/>
      <c r="D21" s="407"/>
      <c r="E21" s="406"/>
      <c r="F21" s="406"/>
      <c r="G21" s="407"/>
      <c r="H21" s="358"/>
      <c r="I21" s="359">
        <f t="shared" si="0"/>
        <v>0</v>
      </c>
      <c r="J21" s="359"/>
      <c r="K21" s="349">
        <f t="shared" ref="K21:K23" si="2">S47</f>
        <v>0</v>
      </c>
      <c r="L21" s="359"/>
      <c r="M21" s="350"/>
      <c r="N21" s="410"/>
      <c r="O21" s="412"/>
      <c r="P21" s="360"/>
      <c r="Q21" s="351">
        <f t="shared" si="1"/>
        <v>0</v>
      </c>
      <c r="R21" s="360"/>
      <c r="S21" s="352">
        <f>+Q21/$Q$24</f>
        <v>0</v>
      </c>
      <c r="U21" s="352" t="e">
        <f t="shared" ref="U21:U22" si="3">AA47</f>
        <v>#DIV/0!</v>
      </c>
      <c r="W21" s="352"/>
      <c r="Y21" s="342"/>
    </row>
    <row r="22" spans="1:26">
      <c r="A22" s="587" t="s">
        <v>22</v>
      </c>
      <c r="B22" s="397"/>
      <c r="C22" s="406"/>
      <c r="D22" s="407"/>
      <c r="E22" s="406"/>
      <c r="F22" s="406"/>
      <c r="G22" s="407"/>
      <c r="H22" s="353"/>
      <c r="I22" s="359">
        <f t="shared" si="0"/>
        <v>0</v>
      </c>
      <c r="J22" s="359"/>
      <c r="K22" s="349">
        <f t="shared" si="2"/>
        <v>0</v>
      </c>
      <c r="L22" s="359"/>
      <c r="M22" s="350"/>
      <c r="N22" s="413"/>
      <c r="O22" s="412"/>
      <c r="P22" s="347"/>
      <c r="Q22" s="351">
        <f t="shared" si="1"/>
        <v>0</v>
      </c>
      <c r="R22" s="347"/>
      <c r="S22" s="352">
        <f>+Q22/$Q$24</f>
        <v>0</v>
      </c>
      <c r="U22" s="352" t="e">
        <f t="shared" si="3"/>
        <v>#DIV/0!</v>
      </c>
      <c r="W22" s="352"/>
      <c r="Y22" s="342"/>
    </row>
    <row r="23" spans="1:26" ht="17.25">
      <c r="A23" s="587" t="s">
        <v>23</v>
      </c>
      <c r="B23" s="397"/>
      <c r="C23" s="406"/>
      <c r="D23" s="407"/>
      <c r="E23" s="406"/>
      <c r="F23" s="406"/>
      <c r="G23" s="407"/>
      <c r="H23" s="353"/>
      <c r="I23" s="416">
        <f t="shared" si="0"/>
        <v>0</v>
      </c>
      <c r="J23" s="359"/>
      <c r="K23" s="349">
        <f t="shared" si="2"/>
        <v>0</v>
      </c>
      <c r="L23" s="359"/>
      <c r="M23" s="361"/>
      <c r="N23" s="406"/>
      <c r="O23" s="412"/>
      <c r="P23" s="360"/>
      <c r="Q23" s="362">
        <f>M23*O23/12</f>
        <v>0</v>
      </c>
      <c r="R23" s="360"/>
      <c r="S23" s="363">
        <f>+Q23/$Q$24</f>
        <v>0</v>
      </c>
      <c r="U23" s="352" t="e">
        <f>AA49</f>
        <v>#DIV/0!</v>
      </c>
      <c r="W23" s="363"/>
      <c r="Y23" s="342"/>
    </row>
    <row r="24" spans="1:26" ht="15.75" thickBot="1">
      <c r="A24" s="348"/>
      <c r="B24" s="396"/>
      <c r="C24" s="353"/>
      <c r="E24" s="353"/>
      <c r="F24" s="353"/>
      <c r="G24" s="343"/>
      <c r="H24" s="353"/>
      <c r="I24" s="364">
        <f>SUM(I19:I23)</f>
        <v>200000000</v>
      </c>
      <c r="J24" s="364"/>
      <c r="K24" s="364"/>
      <c r="L24" s="364"/>
      <c r="M24" s="364">
        <f>SUM(M19:M23)</f>
        <v>198971791.04452199</v>
      </c>
      <c r="N24" s="343"/>
      <c r="O24" s="353"/>
      <c r="P24" s="343"/>
      <c r="Q24" s="359">
        <f>SUM(Q19:Q23)</f>
        <v>198971791.04452196</v>
      </c>
      <c r="R24" s="343"/>
      <c r="S24" s="365">
        <f>SUM(S19:S23)</f>
        <v>1</v>
      </c>
      <c r="T24" s="353"/>
      <c r="V24" s="353"/>
      <c r="W24" s="534">
        <f>ROUND(SUM(W19:W23),4)</f>
        <v>5.2400000000000002E-2</v>
      </c>
      <c r="X24" s="593" t="s">
        <v>370</v>
      </c>
      <c r="Y24" s="342"/>
    </row>
    <row r="25" spans="1:26" ht="15.75" thickTop="1">
      <c r="A25" s="331"/>
      <c r="C25" s="353"/>
      <c r="D25" s="353"/>
      <c r="E25" s="353"/>
      <c r="F25" s="353"/>
      <c r="G25" s="353"/>
      <c r="H25" s="353"/>
      <c r="I25" s="353"/>
      <c r="J25" s="353"/>
      <c r="K25" s="353"/>
      <c r="L25" s="353"/>
      <c r="M25" s="353"/>
      <c r="N25" s="353"/>
      <c r="O25" s="353"/>
      <c r="P25" s="353"/>
      <c r="Q25" s="366"/>
      <c r="R25" s="353"/>
      <c r="S25" s="353"/>
      <c r="T25" s="353"/>
      <c r="U25" s="353"/>
      <c r="V25" s="353"/>
      <c r="W25" s="983">
        <f>W24</f>
        <v>5.2400000000000002E-2</v>
      </c>
      <c r="X25" s="353" t="s">
        <v>1179</v>
      </c>
      <c r="Y25" s="367"/>
      <c r="Z25" s="353"/>
    </row>
    <row r="26" spans="1:26">
      <c r="A26" s="331"/>
      <c r="C26" s="353"/>
      <c r="D26" s="353"/>
      <c r="E26" s="353"/>
      <c r="F26" s="353"/>
      <c r="G26" s="353"/>
      <c r="H26" s="353"/>
      <c r="I26" s="353"/>
      <c r="J26" s="353"/>
      <c r="K26" s="353"/>
      <c r="L26" s="353"/>
      <c r="M26" s="353"/>
      <c r="N26" s="353"/>
      <c r="O26" s="353"/>
      <c r="P26" s="353"/>
      <c r="Q26" s="366"/>
      <c r="R26" s="353"/>
      <c r="S26" s="353"/>
      <c r="T26" s="353"/>
      <c r="U26" s="353"/>
      <c r="V26" s="353"/>
      <c r="W26" s="365"/>
      <c r="X26" s="353"/>
      <c r="Y26" s="367"/>
      <c r="Z26" s="353"/>
    </row>
    <row r="27" spans="1:26">
      <c r="A27" s="331"/>
      <c r="B27" s="210" t="s">
        <v>371</v>
      </c>
      <c r="C27" s="353"/>
      <c r="D27" s="353"/>
      <c r="E27" s="353"/>
      <c r="F27" s="353"/>
      <c r="G27" s="353"/>
      <c r="H27" s="353"/>
      <c r="I27" s="353"/>
      <c r="J27" s="353"/>
      <c r="K27" s="353"/>
      <c r="L27" s="353"/>
      <c r="M27" s="353"/>
      <c r="N27" s="353"/>
      <c r="O27" s="353"/>
      <c r="P27" s="353"/>
      <c r="Q27" s="353"/>
      <c r="R27" s="353"/>
      <c r="S27" s="353"/>
      <c r="T27" s="353"/>
      <c r="U27" s="353"/>
      <c r="V27" s="353"/>
      <c r="W27" s="365"/>
      <c r="X27" s="353"/>
      <c r="Y27" s="367"/>
      <c r="Z27" s="353"/>
    </row>
    <row r="28" spans="1:26">
      <c r="A28" s="331"/>
      <c r="B28" s="210" t="s">
        <v>372</v>
      </c>
      <c r="C28" s="353"/>
      <c r="D28" s="353"/>
      <c r="E28" s="353"/>
      <c r="F28" s="353"/>
      <c r="G28" s="353"/>
      <c r="H28" s="353"/>
      <c r="I28" s="353"/>
      <c r="J28" s="353"/>
      <c r="K28" s="353"/>
      <c r="L28" s="353"/>
      <c r="M28" s="353"/>
      <c r="N28" s="353"/>
      <c r="O28" s="353"/>
      <c r="P28" s="353"/>
      <c r="Q28" s="353"/>
      <c r="R28" s="353"/>
      <c r="S28" s="353"/>
      <c r="T28" s="353"/>
      <c r="U28" s="353"/>
      <c r="V28" s="353"/>
      <c r="W28" s="365"/>
      <c r="X28" s="353"/>
      <c r="Y28" s="367"/>
      <c r="Z28" s="353"/>
    </row>
    <row r="29" spans="1:26">
      <c r="A29" s="331"/>
      <c r="B29" s="394" t="s">
        <v>373</v>
      </c>
      <c r="C29" s="353"/>
      <c r="D29" s="353"/>
      <c r="E29" s="353"/>
      <c r="F29" s="353"/>
      <c r="G29" s="353"/>
      <c r="H29" s="353"/>
      <c r="I29" s="353"/>
      <c r="J29" s="353"/>
      <c r="K29" s="353"/>
      <c r="L29" s="353"/>
      <c r="M29" s="353"/>
      <c r="N29" s="353"/>
      <c r="O29" s="353"/>
      <c r="P29" s="353"/>
      <c r="Q29" s="353"/>
      <c r="R29" s="353"/>
      <c r="S29" s="353"/>
      <c r="T29" s="353"/>
      <c r="U29" s="353"/>
      <c r="V29" s="353"/>
      <c r="W29" s="353"/>
      <c r="X29" s="353"/>
      <c r="Y29" s="367"/>
      <c r="Z29" s="353"/>
    </row>
    <row r="30" spans="1:26">
      <c r="A30" s="331"/>
      <c r="B30" s="394" t="s">
        <v>374</v>
      </c>
      <c r="C30" s="353"/>
      <c r="D30" s="353"/>
      <c r="E30" s="353"/>
      <c r="F30" s="353"/>
      <c r="G30" s="353"/>
      <c r="H30" s="353"/>
      <c r="I30" s="353"/>
      <c r="J30" s="353"/>
      <c r="K30" s="353"/>
      <c r="L30" s="353"/>
      <c r="M30" s="353"/>
      <c r="N30" s="353"/>
      <c r="O30" s="353"/>
      <c r="P30" s="353"/>
      <c r="Q30" s="353"/>
      <c r="R30" s="353"/>
      <c r="S30" s="353"/>
      <c r="T30" s="353"/>
      <c r="U30" s="353"/>
      <c r="V30" s="353"/>
      <c r="W30" s="353"/>
      <c r="X30" s="353"/>
      <c r="Y30" s="367"/>
      <c r="Z30" s="353"/>
    </row>
    <row r="31" spans="1:26">
      <c r="A31" s="368"/>
      <c r="B31" s="395" t="s">
        <v>375</v>
      </c>
      <c r="C31" s="369"/>
      <c r="D31" s="369"/>
      <c r="E31" s="369"/>
      <c r="F31" s="369"/>
      <c r="G31" s="369"/>
      <c r="H31" s="369"/>
      <c r="I31" s="369"/>
      <c r="J31" s="369"/>
      <c r="K31" s="369"/>
      <c r="L31" s="369"/>
      <c r="M31" s="369"/>
      <c r="N31" s="369"/>
      <c r="O31" s="369"/>
      <c r="P31" s="369"/>
      <c r="Q31" s="369"/>
      <c r="R31" s="369"/>
      <c r="S31" s="369"/>
      <c r="T31" s="369"/>
      <c r="U31" s="369"/>
      <c r="V31" s="369"/>
      <c r="W31" s="369"/>
      <c r="X31" s="369"/>
      <c r="Y31" s="370"/>
      <c r="Z31" s="353"/>
    </row>
    <row r="32" spans="1:26">
      <c r="A32" s="368"/>
      <c r="B32" s="395" t="s">
        <v>918</v>
      </c>
      <c r="C32" s="369"/>
      <c r="D32" s="369"/>
      <c r="E32" s="369"/>
      <c r="F32" s="369"/>
      <c r="G32" s="369"/>
      <c r="H32" s="369"/>
      <c r="I32" s="369"/>
      <c r="J32" s="369"/>
      <c r="K32" s="369"/>
      <c r="L32" s="369"/>
      <c r="M32" s="369"/>
      <c r="N32" s="369"/>
      <c r="O32" s="369"/>
      <c r="P32" s="369"/>
      <c r="Q32" s="369"/>
      <c r="R32" s="369"/>
      <c r="S32" s="369"/>
      <c r="T32" s="369"/>
      <c r="U32" s="369"/>
      <c r="V32" s="369"/>
      <c r="W32" s="369"/>
      <c r="X32" s="369"/>
      <c r="Y32" s="370"/>
      <c r="Z32" s="353"/>
    </row>
    <row r="33" spans="1:27">
      <c r="B33" s="365"/>
      <c r="C33" s="353"/>
      <c r="D33" s="353"/>
      <c r="E33" s="353"/>
      <c r="F33" s="353"/>
      <c r="G33" s="353"/>
      <c r="H33" s="353"/>
      <c r="I33" s="353"/>
      <c r="J33" s="353"/>
      <c r="K33" s="353"/>
      <c r="L33" s="353"/>
      <c r="M33" s="353"/>
      <c r="N33" s="353"/>
      <c r="O33" s="353"/>
      <c r="P33" s="353"/>
      <c r="Q33" s="353"/>
      <c r="R33" s="353"/>
      <c r="S33" s="353"/>
      <c r="T33" s="353"/>
      <c r="U33" s="353"/>
      <c r="V33" s="353"/>
      <c r="W33" s="353"/>
      <c r="X33" s="353"/>
      <c r="Y33" s="353"/>
      <c r="Z33" s="353"/>
    </row>
    <row r="34" spans="1:27">
      <c r="B34" s="365"/>
      <c r="C34" s="353"/>
      <c r="D34" s="353"/>
      <c r="E34" s="353"/>
      <c r="F34" s="353"/>
      <c r="G34" s="353"/>
      <c r="H34" s="353"/>
      <c r="I34" s="353"/>
      <c r="J34" s="353"/>
      <c r="K34" s="353"/>
      <c r="L34" s="353"/>
      <c r="M34" s="353"/>
      <c r="N34" s="353"/>
      <c r="O34" s="353"/>
      <c r="P34" s="353"/>
      <c r="Q34" s="353"/>
      <c r="R34" s="353"/>
      <c r="S34" s="353"/>
      <c r="T34" s="353"/>
      <c r="U34" s="353"/>
      <c r="V34" s="353"/>
      <c r="W34" s="353"/>
      <c r="X34" s="353"/>
      <c r="Y34" s="353"/>
      <c r="Z34" s="353"/>
    </row>
    <row r="35" spans="1:27" ht="15.75">
      <c r="B35" s="211"/>
      <c r="C35" s="353"/>
      <c r="D35" s="353"/>
      <c r="E35" s="353"/>
      <c r="F35" s="353"/>
      <c r="G35" s="353"/>
      <c r="H35" s="353"/>
      <c r="I35" s="353"/>
      <c r="J35" s="353"/>
      <c r="K35" s="353"/>
      <c r="L35" s="353"/>
      <c r="M35" s="353"/>
      <c r="N35" s="353"/>
      <c r="O35" s="353"/>
      <c r="P35" s="353"/>
      <c r="Q35" s="353"/>
      <c r="R35" s="353"/>
      <c r="S35" s="353"/>
      <c r="T35" s="353"/>
      <c r="U35" s="353"/>
      <c r="V35" s="353"/>
      <c r="W35" s="353"/>
      <c r="X35" s="353"/>
      <c r="Y35" s="353"/>
      <c r="Z35" s="369"/>
      <c r="AA35" s="371"/>
    </row>
    <row r="36" spans="1:27" ht="15.75">
      <c r="A36" s="329"/>
      <c r="B36" s="212" t="s">
        <v>376</v>
      </c>
      <c r="C36" s="372"/>
      <c r="D36" s="372"/>
      <c r="E36" s="372"/>
      <c r="F36" s="372"/>
      <c r="G36" s="372"/>
      <c r="H36" s="372"/>
      <c r="I36" s="372"/>
      <c r="J36" s="372"/>
      <c r="K36" s="372"/>
      <c r="L36" s="372"/>
      <c r="M36" s="372"/>
      <c r="N36" s="372"/>
      <c r="O36" s="372"/>
      <c r="P36" s="372"/>
      <c r="Q36" s="372"/>
      <c r="R36" s="372"/>
      <c r="S36" s="373"/>
      <c r="T36" s="372"/>
      <c r="U36" s="372"/>
      <c r="V36" s="372"/>
      <c r="W36" s="372"/>
      <c r="X36" s="372"/>
      <c r="Y36" s="372"/>
      <c r="Z36" s="353"/>
      <c r="AA36" s="374"/>
    </row>
    <row r="37" spans="1:27" ht="16.5" thickBot="1">
      <c r="A37" s="331"/>
      <c r="B37" s="209"/>
      <c r="C37" s="353"/>
      <c r="D37" s="353"/>
      <c r="E37" s="353"/>
      <c r="F37" s="353"/>
      <c r="G37" s="353"/>
      <c r="H37" s="353"/>
      <c r="I37" s="353"/>
      <c r="J37" s="353"/>
      <c r="K37" s="353"/>
      <c r="L37" s="353"/>
      <c r="M37" s="353"/>
      <c r="N37" s="353"/>
      <c r="O37" s="353"/>
      <c r="P37" s="353"/>
      <c r="Q37" s="353"/>
      <c r="R37" s="353"/>
      <c r="S37" s="367"/>
      <c r="T37" s="353"/>
      <c r="U37" s="353"/>
      <c r="V37" s="353"/>
      <c r="W37" s="353"/>
      <c r="X37" s="353"/>
      <c r="Y37" s="353"/>
      <c r="Z37" s="353"/>
      <c r="AA37" s="342"/>
    </row>
    <row r="38" spans="1:27" ht="16.5" thickBot="1">
      <c r="A38" s="331"/>
      <c r="B38" s="334" t="s">
        <v>347</v>
      </c>
      <c r="C38" s="335" t="str">
        <f>C9</f>
        <v>12/31/2026</v>
      </c>
      <c r="D38" s="353"/>
      <c r="E38" s="353"/>
      <c r="F38" s="353"/>
      <c r="G38" s="353"/>
      <c r="H38" s="353"/>
      <c r="I38" s="353"/>
      <c r="J38" s="353"/>
      <c r="K38" s="353"/>
      <c r="L38" s="353"/>
      <c r="M38" s="353"/>
      <c r="N38" s="353"/>
      <c r="O38" s="353"/>
      <c r="P38" s="353"/>
      <c r="Q38" s="353"/>
      <c r="R38" s="353"/>
      <c r="S38" s="367"/>
      <c r="T38" s="353"/>
      <c r="U38" s="353"/>
      <c r="V38" s="353"/>
      <c r="W38" s="353"/>
      <c r="X38" s="353"/>
      <c r="Y38" s="353"/>
      <c r="Z38" s="353"/>
      <c r="AA38" s="342"/>
    </row>
    <row r="39" spans="1:27" s="208" customFormat="1" ht="24" customHeight="1">
      <c r="A39" s="337"/>
      <c r="D39" s="338" t="s">
        <v>377</v>
      </c>
      <c r="G39" s="338" t="s">
        <v>378</v>
      </c>
      <c r="I39" s="338" t="s">
        <v>379</v>
      </c>
      <c r="K39" s="338" t="s">
        <v>380</v>
      </c>
      <c r="M39" s="338" t="s">
        <v>381</v>
      </c>
      <c r="O39" s="338" t="s">
        <v>382</v>
      </c>
      <c r="Q39" s="938"/>
      <c r="S39" s="339" t="s">
        <v>383</v>
      </c>
      <c r="U39" s="338" t="s">
        <v>384</v>
      </c>
      <c r="W39" s="338" t="s">
        <v>385</v>
      </c>
      <c r="Y39" s="208" t="s">
        <v>386</v>
      </c>
      <c r="AA39" s="339" t="s">
        <v>387</v>
      </c>
    </row>
    <row r="40" spans="1:27" ht="15.75">
      <c r="A40" s="331"/>
      <c r="B40" s="211"/>
      <c r="K40" s="340" t="s">
        <v>388</v>
      </c>
      <c r="L40" s="340"/>
      <c r="O40" s="340" t="s">
        <v>389</v>
      </c>
      <c r="Q40" s="939"/>
      <c r="S40" s="342"/>
      <c r="U40" s="340" t="s">
        <v>349</v>
      </c>
      <c r="AA40" s="375" t="s">
        <v>390</v>
      </c>
    </row>
    <row r="41" spans="1:27">
      <c r="A41" s="331"/>
      <c r="D41" s="340" t="s">
        <v>391</v>
      </c>
      <c r="E41" s="340"/>
      <c r="F41" s="340"/>
      <c r="G41" s="340" t="s">
        <v>392</v>
      </c>
      <c r="H41" s="340"/>
      <c r="I41" s="340" t="s">
        <v>8</v>
      </c>
      <c r="J41" s="340"/>
      <c r="K41" s="340" t="s">
        <v>393</v>
      </c>
      <c r="L41" s="340"/>
      <c r="M41" s="340" t="s">
        <v>394</v>
      </c>
      <c r="N41" s="340"/>
      <c r="O41" s="340" t="s">
        <v>395</v>
      </c>
      <c r="P41" s="340"/>
      <c r="Q41" s="939"/>
      <c r="S41" s="375" t="s">
        <v>349</v>
      </c>
      <c r="T41" s="340"/>
      <c r="U41" s="340" t="s">
        <v>396</v>
      </c>
      <c r="V41" s="340"/>
      <c r="W41" s="340" t="s">
        <v>397</v>
      </c>
      <c r="X41" s="340"/>
      <c r="Y41" s="340" t="s">
        <v>398</v>
      </c>
      <c r="Z41" s="340"/>
      <c r="AA41" s="375" t="s">
        <v>399</v>
      </c>
    </row>
    <row r="42" spans="1:27" ht="15.75">
      <c r="A42" s="331"/>
      <c r="B42" s="209" t="s">
        <v>400</v>
      </c>
      <c r="C42" s="328" t="s">
        <v>401</v>
      </c>
      <c r="D42" s="340" t="s">
        <v>402</v>
      </c>
      <c r="E42" s="344"/>
      <c r="F42" s="344"/>
      <c r="G42" s="340" t="s">
        <v>402</v>
      </c>
      <c r="H42" s="344"/>
      <c r="I42" s="340" t="s">
        <v>403</v>
      </c>
      <c r="J42" s="344"/>
      <c r="K42" s="340" t="s">
        <v>404</v>
      </c>
      <c r="L42" s="344"/>
      <c r="M42" s="340" t="s">
        <v>405</v>
      </c>
      <c r="N42" s="340"/>
      <c r="O42" s="340" t="s">
        <v>406</v>
      </c>
      <c r="P42" s="340"/>
      <c r="Q42" s="340"/>
      <c r="S42" s="375" t="s">
        <v>396</v>
      </c>
      <c r="T42" s="340"/>
      <c r="U42" s="340" t="s">
        <v>407</v>
      </c>
      <c r="V42" s="344"/>
      <c r="W42" s="340" t="s">
        <v>408</v>
      </c>
      <c r="X42" s="344"/>
      <c r="Y42" s="340" t="s">
        <v>409</v>
      </c>
      <c r="Z42" s="344"/>
      <c r="AA42" s="375" t="s">
        <v>410</v>
      </c>
    </row>
    <row r="43" spans="1:27" ht="37.5" customHeight="1">
      <c r="A43" s="331"/>
      <c r="D43" s="340"/>
      <c r="E43" s="344"/>
      <c r="F43" s="344"/>
      <c r="G43" s="340"/>
      <c r="H43" s="344"/>
      <c r="I43" s="340"/>
      <c r="J43" s="344"/>
      <c r="K43" s="340"/>
      <c r="L43" s="344"/>
      <c r="M43" s="340"/>
      <c r="N43" s="340"/>
      <c r="O43" s="340"/>
      <c r="P43" s="340"/>
      <c r="S43" s="585" t="s">
        <v>578</v>
      </c>
      <c r="T43" s="340"/>
      <c r="U43" s="940" t="s">
        <v>1047</v>
      </c>
      <c r="V43" s="344"/>
      <c r="W43" s="340"/>
      <c r="X43" s="344"/>
      <c r="Y43" s="340" t="s">
        <v>1048</v>
      </c>
      <c r="Z43" s="344"/>
      <c r="AA43" s="375"/>
    </row>
    <row r="44" spans="1:27">
      <c r="A44" s="331"/>
      <c r="B44" s="357"/>
      <c r="D44" s="340"/>
      <c r="E44" s="344"/>
      <c r="F44" s="344"/>
      <c r="G44" s="340"/>
      <c r="H44" s="344"/>
      <c r="I44" s="340"/>
      <c r="J44" s="344"/>
      <c r="K44" s="340"/>
      <c r="L44" s="344"/>
      <c r="M44" s="340"/>
      <c r="N44" s="340"/>
      <c r="O44" s="340"/>
      <c r="P44" s="340"/>
      <c r="S44" s="376"/>
      <c r="T44" s="340"/>
      <c r="U44" s="340"/>
      <c r="V44" s="344"/>
      <c r="W44" s="340"/>
      <c r="X44" s="344"/>
      <c r="Y44" s="340"/>
      <c r="Z44" s="344"/>
      <c r="AA44" s="375"/>
    </row>
    <row r="45" spans="1:27">
      <c r="A45" s="377" t="str">
        <f>A19</f>
        <v>(1)</v>
      </c>
      <c r="B45" s="597" t="str">
        <f>B19</f>
        <v>5.17%, Senior Unsecured Note</v>
      </c>
      <c r="C45" s="406"/>
      <c r="D45" s="407">
        <v>45616</v>
      </c>
      <c r="E45" s="406"/>
      <c r="F45" s="406"/>
      <c r="G45" s="407">
        <v>49324</v>
      </c>
      <c r="H45" s="406"/>
      <c r="I45" s="350">
        <v>200000000</v>
      </c>
      <c r="J45" s="406"/>
      <c r="K45" s="350"/>
      <c r="L45" s="406"/>
      <c r="M45" s="350">
        <v>1071770</v>
      </c>
      <c r="N45" s="378"/>
      <c r="O45" s="358">
        <v>0</v>
      </c>
      <c r="P45" s="378"/>
      <c r="Q45" s="340"/>
      <c r="S45" s="379">
        <f>+I45+K45-M45-O45</f>
        <v>198928230</v>
      </c>
      <c r="T45" s="378"/>
      <c r="U45" s="380">
        <f>(S45/I45)*100</f>
        <v>99.464114999999993</v>
      </c>
      <c r="W45" s="408">
        <v>5.1700000000000003E-2</v>
      </c>
      <c r="Y45" s="343">
        <f>W45*I45</f>
        <v>10340000</v>
      </c>
      <c r="AA45" s="381">
        <f>YIELD(D45,G45,W45,U45,100,2,0)</f>
        <v>5.2378160635464535E-2</v>
      </c>
    </row>
    <row r="46" spans="1:27">
      <c r="A46" s="377" t="str">
        <f>A20</f>
        <v>(2)</v>
      </c>
      <c r="B46" s="597"/>
      <c r="C46" s="406"/>
      <c r="D46" s="407"/>
      <c r="E46" s="406"/>
      <c r="F46" s="406"/>
      <c r="G46" s="407"/>
      <c r="H46" s="406"/>
      <c r="I46" s="350"/>
      <c r="J46" s="406"/>
      <c r="K46" s="350"/>
      <c r="L46" s="406"/>
      <c r="M46" s="350"/>
      <c r="S46" s="379">
        <f>+I46+K46-M46-O46</f>
        <v>0</v>
      </c>
      <c r="U46" s="380" t="e">
        <f>(S46/I46)*100</f>
        <v>#DIV/0!</v>
      </c>
      <c r="W46" s="408"/>
      <c r="Y46" s="343">
        <f>W46*I46</f>
        <v>0</v>
      </c>
      <c r="AA46" s="381" t="e">
        <f t="shared" ref="AA46:AA49" si="4">YIELD(D46,G46,W46,U46,100,2,0)</f>
        <v>#DIV/0!</v>
      </c>
    </row>
    <row r="47" spans="1:27">
      <c r="A47" s="377" t="str">
        <f>A21</f>
        <v>(3)</v>
      </c>
      <c r="B47" s="597"/>
      <c r="C47" s="406"/>
      <c r="D47" s="407"/>
      <c r="E47" s="406"/>
      <c r="F47" s="406"/>
      <c r="G47" s="407"/>
      <c r="H47" s="406"/>
      <c r="I47" s="350"/>
      <c r="J47" s="406"/>
      <c r="K47" s="350"/>
      <c r="L47" s="406"/>
      <c r="M47" s="350"/>
      <c r="S47" s="379">
        <f t="shared" ref="S47" si="5">+I47+K47-M47-O47</f>
        <v>0</v>
      </c>
      <c r="U47" s="380" t="e">
        <f t="shared" ref="U47:U49" si="6">(S47/I47)*100</f>
        <v>#DIV/0!</v>
      </c>
      <c r="W47" s="408"/>
      <c r="Y47" s="343">
        <f t="shared" ref="Y47:Y49" si="7">W47*I47</f>
        <v>0</v>
      </c>
      <c r="AA47" s="381" t="e">
        <f t="shared" si="4"/>
        <v>#DIV/0!</v>
      </c>
    </row>
    <row r="48" spans="1:27">
      <c r="A48" s="377" t="str">
        <f>A22</f>
        <v>(4)</v>
      </c>
      <c r="B48" s="597"/>
      <c r="C48" s="406"/>
      <c r="D48" s="407"/>
      <c r="E48" s="406"/>
      <c r="F48" s="406"/>
      <c r="G48" s="407"/>
      <c r="H48" s="406"/>
      <c r="I48" s="350"/>
      <c r="J48" s="406"/>
      <c r="K48" s="350"/>
      <c r="L48" s="406"/>
      <c r="M48" s="350"/>
      <c r="N48" s="383"/>
      <c r="O48" s="383"/>
      <c r="P48" s="383"/>
      <c r="S48" s="379">
        <f>+I48+K48-M48-O48</f>
        <v>0</v>
      </c>
      <c r="T48" s="383"/>
      <c r="U48" s="380" t="e">
        <f t="shared" si="6"/>
        <v>#DIV/0!</v>
      </c>
      <c r="W48" s="408"/>
      <c r="Y48" s="343">
        <f>W48*I48</f>
        <v>0</v>
      </c>
      <c r="AA48" s="381" t="e">
        <f t="shared" si="4"/>
        <v>#DIV/0!</v>
      </c>
    </row>
    <row r="49" spans="1:27" ht="17.25">
      <c r="A49" s="377" t="str">
        <f>A23</f>
        <v>(5)</v>
      </c>
      <c r="B49" s="597"/>
      <c r="C49" s="406"/>
      <c r="D49" s="407"/>
      <c r="E49" s="406"/>
      <c r="F49" s="406"/>
      <c r="G49" s="407"/>
      <c r="H49" s="406"/>
      <c r="I49" s="384"/>
      <c r="J49" s="406"/>
      <c r="K49" s="384"/>
      <c r="L49" s="406"/>
      <c r="M49" s="384"/>
      <c r="N49" s="383"/>
      <c r="O49" s="383"/>
      <c r="P49" s="383"/>
      <c r="Q49" s="340"/>
      <c r="S49" s="561">
        <f>+I49+K49-M49-O49</f>
        <v>0</v>
      </c>
      <c r="T49" s="383"/>
      <c r="U49" s="380" t="e">
        <f t="shared" si="6"/>
        <v>#DIV/0!</v>
      </c>
      <c r="W49" s="408"/>
      <c r="Y49" s="417">
        <f t="shared" si="7"/>
        <v>0</v>
      </c>
      <c r="AA49" s="381" t="e">
        <f t="shared" si="4"/>
        <v>#DIV/0!</v>
      </c>
    </row>
    <row r="50" spans="1:27">
      <c r="A50" s="331"/>
      <c r="B50" s="385" t="s">
        <v>411</v>
      </c>
      <c r="D50" s="386"/>
      <c r="G50" s="387"/>
      <c r="I50" s="388">
        <f>SUM(I45:I49)</f>
        <v>200000000</v>
      </c>
      <c r="K50" s="383">
        <f>SUM(K45:K49)</f>
        <v>0</v>
      </c>
      <c r="M50" s="388">
        <f>SUM(M45:M49)</f>
        <v>1071770</v>
      </c>
      <c r="N50" s="388"/>
      <c r="O50" s="383">
        <f>SUM(O45:O49)</f>
        <v>0</v>
      </c>
      <c r="P50" s="388"/>
      <c r="Q50" s="340"/>
      <c r="S50" s="389">
        <f>SUM(S45:S49)</f>
        <v>198928230</v>
      </c>
      <c r="T50" s="388"/>
      <c r="Y50" s="388">
        <f>SUM(Y45:Y49)</f>
        <v>10340000</v>
      </c>
      <c r="AA50" s="381"/>
    </row>
    <row r="51" spans="1:27">
      <c r="A51" s="331"/>
      <c r="B51" s="210" t="s">
        <v>412</v>
      </c>
      <c r="D51" s="386"/>
      <c r="G51" s="387"/>
      <c r="I51" s="383"/>
      <c r="K51" s="383"/>
      <c r="M51" s="383"/>
      <c r="N51" s="383"/>
      <c r="O51" s="383"/>
      <c r="P51" s="383"/>
      <c r="Q51" s="383"/>
      <c r="R51" s="383"/>
      <c r="S51" s="342"/>
      <c r="W51" s="383"/>
      <c r="Y51" s="383"/>
      <c r="AA51" s="390"/>
    </row>
    <row r="52" spans="1:27" ht="16.5">
      <c r="A52" s="368"/>
      <c r="B52" s="395" t="s">
        <v>561</v>
      </c>
      <c r="C52" s="371"/>
      <c r="D52" s="371"/>
      <c r="E52" s="371"/>
      <c r="F52" s="371"/>
      <c r="G52" s="371"/>
      <c r="H52" s="371"/>
      <c r="I52" s="371"/>
      <c r="J52" s="371"/>
      <c r="K52" s="371"/>
      <c r="L52" s="371"/>
      <c r="M52" s="391"/>
      <c r="N52" s="391"/>
      <c r="O52" s="391"/>
      <c r="P52" s="391"/>
      <c r="Q52" s="391"/>
      <c r="R52" s="391"/>
      <c r="S52" s="392"/>
      <c r="T52" s="371"/>
      <c r="U52" s="371"/>
      <c r="V52" s="371"/>
      <c r="W52" s="371"/>
      <c r="X52" s="371"/>
      <c r="Y52" s="371"/>
      <c r="Z52" s="371"/>
      <c r="AA52" s="393"/>
    </row>
    <row r="53" spans="1:27">
      <c r="A53" s="368"/>
      <c r="B53" s="395"/>
      <c r="C53" s="371"/>
      <c r="D53" s="371"/>
      <c r="E53" s="371"/>
      <c r="F53" s="371"/>
      <c r="G53" s="371"/>
      <c r="H53" s="371"/>
      <c r="I53" s="371"/>
      <c r="J53" s="371"/>
      <c r="K53" s="371"/>
      <c r="L53" s="371"/>
      <c r="M53" s="391"/>
      <c r="N53" s="391"/>
      <c r="O53" s="391"/>
      <c r="P53" s="391"/>
      <c r="Q53" s="391"/>
      <c r="R53" s="391"/>
      <c r="S53" s="392"/>
      <c r="AA53" s="382"/>
    </row>
    <row r="54" spans="1:27">
      <c r="D54" s="378"/>
      <c r="G54" s="365"/>
      <c r="I54" s="365"/>
      <c r="K54" s="365"/>
    </row>
  </sheetData>
  <pageMargins left="0.17" right="0.16" top="1" bottom="1" header="0.5" footer="0.5"/>
  <pageSetup scale="2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pageSetUpPr fitToPage="1"/>
  </sheetPr>
  <dimension ref="A1:T202"/>
  <sheetViews>
    <sheetView view="pageBreakPreview" zoomScale="60" zoomScaleNormal="100" workbookViewId="0"/>
  </sheetViews>
  <sheetFormatPr defaultColWidth="8.88671875" defaultRowHeight="15"/>
  <cols>
    <col min="1" max="1" width="6" style="186" customWidth="1"/>
    <col min="2" max="2" width="1.44140625" style="186" customWidth="1"/>
    <col min="3" max="3" width="62.109375" style="186" customWidth="1"/>
    <col min="4" max="4" width="33" style="186" customWidth="1"/>
    <col min="5" max="5" width="14.44140625" style="186" customWidth="1"/>
    <col min="6" max="6" width="18.21875" style="186" customWidth="1"/>
    <col min="7" max="7" width="18" style="186" customWidth="1"/>
    <col min="8" max="8" width="15.88671875" style="186" customWidth="1"/>
    <col min="9" max="9" width="13.77734375" style="186" bestFit="1" customWidth="1"/>
    <col min="10" max="10" width="12.77734375" style="186" customWidth="1"/>
    <col min="11" max="11" width="15.21875" style="186" customWidth="1"/>
    <col min="12" max="13" width="15.88671875" style="186" customWidth="1"/>
    <col min="14" max="14" width="24.44140625" style="186" customWidth="1"/>
    <col min="15" max="15" width="16.109375" style="186" customWidth="1"/>
    <col min="16" max="16" width="14.6640625" style="186" customWidth="1"/>
    <col min="17" max="17" width="15.77734375" style="186" customWidth="1"/>
    <col min="18" max="18" width="16.21875" style="186" customWidth="1"/>
    <col min="19" max="19" width="8.88671875" style="186"/>
    <col min="20" max="20" width="14.33203125" style="186" customWidth="1"/>
    <col min="21" max="16384" width="8.88671875" style="186"/>
  </cols>
  <sheetData>
    <row r="1" spans="1:20">
      <c r="O1" s="227"/>
      <c r="R1" s="227"/>
      <c r="T1" s="227" t="str">
        <f>'Attachment H-34A '!K1&amp;""&amp;", Attachment 11"</f>
        <v>Attachment H-34A, Attachment 11</v>
      </c>
    </row>
    <row r="2" spans="1:20" ht="15.75">
      <c r="G2" s="228"/>
      <c r="O2" s="227"/>
      <c r="R2" s="227"/>
      <c r="T2" s="227" t="s">
        <v>189</v>
      </c>
    </row>
    <row r="3" spans="1:20">
      <c r="O3" s="227"/>
      <c r="R3" s="227"/>
      <c r="T3" s="227" t="str">
        <f>'Attachment H-34A '!K4</f>
        <v>For the 12 months ended 12/31/2026</v>
      </c>
    </row>
    <row r="5" spans="1:20" ht="15.75">
      <c r="A5" s="1047" t="s">
        <v>562</v>
      </c>
      <c r="B5" s="1047"/>
      <c r="C5" s="1047"/>
      <c r="D5" s="1047"/>
      <c r="E5" s="1047"/>
      <c r="F5" s="1047"/>
      <c r="G5" s="1047"/>
      <c r="H5" s="1047"/>
      <c r="I5" s="1047"/>
      <c r="J5" s="1047"/>
      <c r="K5" s="1047"/>
      <c r="L5" s="1047"/>
      <c r="M5" s="1047"/>
      <c r="N5" s="1047"/>
      <c r="O5" s="1047"/>
    </row>
    <row r="6" spans="1:20">
      <c r="A6" s="1048" t="s">
        <v>986</v>
      </c>
      <c r="B6" s="1048"/>
      <c r="C6" s="1048"/>
      <c r="D6" s="1048"/>
      <c r="E6" s="1048"/>
      <c r="F6" s="1048"/>
      <c r="G6" s="1048"/>
      <c r="H6" s="1048"/>
      <c r="I6" s="1048"/>
      <c r="J6" s="1048"/>
      <c r="K6" s="1048"/>
      <c r="L6" s="1048"/>
      <c r="M6" s="1048"/>
      <c r="N6" s="1048"/>
      <c r="O6" s="1048"/>
    </row>
    <row r="7" spans="1:20">
      <c r="A7" s="1048"/>
      <c r="B7" s="1048"/>
      <c r="C7" s="1048"/>
      <c r="D7" s="1048"/>
      <c r="E7" s="1048"/>
      <c r="F7" s="1048"/>
      <c r="G7" s="1048"/>
      <c r="H7" s="1048"/>
      <c r="I7" s="1048"/>
      <c r="J7" s="1048"/>
      <c r="K7" s="1048"/>
      <c r="L7" s="1048"/>
      <c r="M7" s="240"/>
    </row>
    <row r="8" spans="1:20">
      <c r="A8" s="229"/>
      <c r="C8" s="187"/>
      <c r="D8" s="187"/>
      <c r="F8" s="187"/>
      <c r="H8" s="187"/>
      <c r="I8" s="187"/>
      <c r="J8" s="187"/>
      <c r="K8" s="187"/>
      <c r="L8" s="187"/>
      <c r="M8" s="187"/>
    </row>
    <row r="9" spans="1:20">
      <c r="A9" s="229"/>
      <c r="C9" s="187"/>
      <c r="D9" s="187"/>
      <c r="E9" s="187"/>
      <c r="F9" s="187"/>
      <c r="G9" s="230"/>
      <c r="H9" s="187"/>
      <c r="I9" s="187"/>
      <c r="J9" s="187"/>
      <c r="K9" s="187"/>
      <c r="L9" s="187"/>
      <c r="M9" s="187"/>
    </row>
    <row r="10" spans="1:20">
      <c r="A10" s="229"/>
      <c r="D10" s="187"/>
      <c r="E10" s="187"/>
      <c r="F10" s="187"/>
      <c r="G10" s="230"/>
      <c r="H10" s="187"/>
      <c r="I10" s="187"/>
      <c r="J10" s="187"/>
      <c r="K10" s="187"/>
      <c r="L10" s="187"/>
      <c r="M10" s="187"/>
    </row>
    <row r="11" spans="1:20">
      <c r="A11" s="229"/>
      <c r="C11" s="187"/>
      <c r="D11" s="187"/>
      <c r="E11" s="187"/>
      <c r="F11" s="187"/>
      <c r="G11" s="230"/>
      <c r="K11" s="1050"/>
      <c r="L11" s="1050"/>
      <c r="M11" s="1050"/>
      <c r="N11" s="1050"/>
      <c r="O11" s="1050"/>
      <c r="P11" s="1050"/>
      <c r="Q11" s="1050"/>
      <c r="R11" s="1050"/>
      <c r="S11" s="1050"/>
      <c r="T11" s="1050"/>
    </row>
    <row r="12" spans="1:20">
      <c r="A12" s="229"/>
      <c r="C12" s="187"/>
      <c r="D12" s="187"/>
      <c r="E12" s="187"/>
      <c r="F12" s="187"/>
      <c r="G12" s="187"/>
      <c r="K12" s="724"/>
      <c r="L12" s="723"/>
      <c r="M12" s="723"/>
      <c r="N12" s="724"/>
      <c r="O12" s="724"/>
      <c r="P12" s="724"/>
      <c r="Q12" s="724"/>
      <c r="R12" s="724"/>
      <c r="S12" s="724"/>
      <c r="T12" s="724"/>
    </row>
    <row r="13" spans="1:20">
      <c r="C13" s="232" t="s">
        <v>19</v>
      </c>
      <c r="D13" s="232"/>
      <c r="E13" s="232" t="s">
        <v>20</v>
      </c>
      <c r="F13" s="232"/>
      <c r="G13" s="232" t="s">
        <v>21</v>
      </c>
      <c r="I13" s="233" t="s">
        <v>22</v>
      </c>
      <c r="K13" s="725"/>
      <c r="L13" s="725"/>
      <c r="M13" s="725"/>
      <c r="N13" s="724"/>
      <c r="O13" s="724"/>
      <c r="P13" s="725"/>
      <c r="Q13" s="724"/>
      <c r="R13" s="725"/>
      <c r="S13" s="724"/>
      <c r="T13" s="725"/>
    </row>
    <row r="14" spans="1:20" ht="15.75">
      <c r="C14" s="187"/>
      <c r="D14" s="187"/>
      <c r="E14" s="234"/>
      <c r="F14" s="234"/>
      <c r="G14" s="235"/>
      <c r="K14" s="724"/>
      <c r="L14" s="724"/>
      <c r="M14" s="724"/>
      <c r="N14" s="724"/>
      <c r="O14" s="724"/>
      <c r="P14" s="724"/>
      <c r="Q14" s="724"/>
      <c r="R14" s="724"/>
      <c r="S14" s="724"/>
      <c r="T14" s="724"/>
    </row>
    <row r="15" spans="1:20" ht="15.75">
      <c r="A15" s="229" t="s">
        <v>5</v>
      </c>
      <c r="C15" s="187"/>
      <c r="D15" s="187"/>
      <c r="E15" s="236" t="s">
        <v>188</v>
      </c>
      <c r="F15" s="236"/>
      <c r="G15" s="237" t="s">
        <v>25</v>
      </c>
      <c r="I15" s="237" t="s">
        <v>11</v>
      </c>
      <c r="K15" s="736"/>
      <c r="L15" s="726"/>
      <c r="M15" s="726"/>
      <c r="N15" s="724"/>
      <c r="O15" s="724"/>
      <c r="P15" s="726"/>
      <c r="Q15" s="724"/>
      <c r="R15" s="726"/>
      <c r="S15" s="724"/>
      <c r="T15" s="726"/>
    </row>
    <row r="16" spans="1:20" ht="15.75">
      <c r="A16" s="229" t="s">
        <v>7</v>
      </c>
      <c r="C16" s="238"/>
      <c r="D16" s="238"/>
      <c r="E16" s="235"/>
      <c r="F16" s="235"/>
      <c r="G16" s="235"/>
      <c r="I16" s="235"/>
      <c r="K16" s="736"/>
      <c r="L16" s="724"/>
      <c r="M16" s="724"/>
      <c r="N16" s="724"/>
      <c r="O16" s="724"/>
      <c r="P16" s="724"/>
      <c r="Q16" s="724"/>
      <c r="R16" s="724"/>
      <c r="S16" s="724"/>
      <c r="T16" s="724"/>
    </row>
    <row r="17" spans="1:20" ht="15.75">
      <c r="A17" s="239"/>
      <c r="C17" s="187"/>
      <c r="D17" s="187"/>
      <c r="E17" s="235"/>
      <c r="F17" s="235"/>
      <c r="G17" s="235"/>
      <c r="I17" s="235"/>
      <c r="K17" s="724"/>
      <c r="L17" s="724"/>
      <c r="M17" s="724"/>
      <c r="N17" s="724"/>
      <c r="O17" s="724"/>
      <c r="P17" s="724"/>
      <c r="Q17" s="724"/>
      <c r="R17" s="724"/>
      <c r="S17" s="724"/>
      <c r="T17" s="724"/>
    </row>
    <row r="18" spans="1:20">
      <c r="A18" s="240">
        <v>1</v>
      </c>
      <c r="C18" s="187" t="s">
        <v>156</v>
      </c>
      <c r="D18" s="187"/>
      <c r="E18" s="240" t="s">
        <v>974</v>
      </c>
      <c r="F18" s="240"/>
      <c r="G18" s="241">
        <f>'Attachment H-34A '!I57</f>
        <v>908168494.65951431</v>
      </c>
      <c r="K18" s="724"/>
      <c r="L18" s="724"/>
      <c r="M18" s="724"/>
      <c r="N18" s="724"/>
      <c r="O18" s="724"/>
      <c r="P18" s="724"/>
      <c r="Q18" s="724"/>
      <c r="R18" s="724"/>
      <c r="S18" s="724"/>
      <c r="T18" s="724"/>
    </row>
    <row r="19" spans="1:20">
      <c r="A19" s="240">
        <v>2</v>
      </c>
      <c r="C19" s="187" t="s">
        <v>157</v>
      </c>
      <c r="D19" s="187"/>
      <c r="E19" s="240" t="s">
        <v>975</v>
      </c>
      <c r="F19" s="240"/>
      <c r="G19" s="241">
        <f>'Attachment H-34A '!I73</f>
        <v>679241647.44788527</v>
      </c>
      <c r="K19" s="724"/>
      <c r="L19" s="724"/>
      <c r="M19" s="724"/>
      <c r="N19" s="724"/>
      <c r="O19" s="724"/>
      <c r="P19" s="724"/>
      <c r="Q19" s="724"/>
      <c r="R19" s="724"/>
      <c r="S19" s="724"/>
      <c r="T19" s="724"/>
    </row>
    <row r="20" spans="1:20">
      <c r="A20" s="240"/>
      <c r="E20" s="240"/>
      <c r="F20" s="240"/>
      <c r="K20" s="724"/>
      <c r="L20" s="724"/>
      <c r="M20" s="724"/>
      <c r="N20" s="724"/>
      <c r="O20" s="724"/>
      <c r="P20" s="724"/>
      <c r="Q20" s="724"/>
      <c r="R20" s="724"/>
      <c r="S20" s="724"/>
      <c r="T20" s="724"/>
    </row>
    <row r="21" spans="1:20">
      <c r="A21" s="240"/>
      <c r="C21" s="187" t="s">
        <v>158</v>
      </c>
      <c r="D21" s="187"/>
      <c r="E21" s="240"/>
      <c r="F21" s="240"/>
      <c r="G21" s="235"/>
      <c r="I21" s="235"/>
      <c r="K21" s="724"/>
      <c r="L21" s="724"/>
      <c r="M21" s="724"/>
      <c r="N21" s="724"/>
      <c r="O21" s="724"/>
      <c r="P21" s="724"/>
      <c r="Q21" s="724"/>
      <c r="R21" s="724"/>
      <c r="S21" s="724"/>
      <c r="T21" s="724"/>
    </row>
    <row r="22" spans="1:20">
      <c r="A22" s="240">
        <v>3</v>
      </c>
      <c r="C22" s="187" t="s">
        <v>159</v>
      </c>
      <c r="D22" s="187"/>
      <c r="E22" s="240" t="s">
        <v>976</v>
      </c>
      <c r="F22" s="240"/>
      <c r="G22" s="241">
        <f>'Attachment H-34A '!I139</f>
        <v>31135979.746921528</v>
      </c>
      <c r="K22" s="724"/>
      <c r="L22" s="724"/>
      <c r="M22" s="724"/>
      <c r="N22" s="724"/>
      <c r="O22" s="724"/>
      <c r="P22" s="724"/>
      <c r="Q22" s="724"/>
      <c r="R22" s="724"/>
      <c r="S22" s="724"/>
      <c r="T22" s="724"/>
    </row>
    <row r="23" spans="1:20">
      <c r="A23" s="240">
        <v>4</v>
      </c>
      <c r="C23" s="187" t="s">
        <v>160</v>
      </c>
      <c r="D23" s="187"/>
      <c r="E23" s="240" t="s">
        <v>190</v>
      </c>
      <c r="F23" s="240"/>
      <c r="G23" s="242">
        <f>IF(G22=0,0,G22/G18)</f>
        <v>3.4284364553512574E-2</v>
      </c>
      <c r="I23" s="243">
        <f>G23</f>
        <v>3.4284364553512574E-2</v>
      </c>
      <c r="K23" s="724"/>
      <c r="L23" s="724"/>
      <c r="M23" s="724"/>
      <c r="N23" s="724"/>
      <c r="O23" s="724"/>
      <c r="P23" s="724"/>
      <c r="Q23" s="724"/>
      <c r="R23" s="724"/>
      <c r="S23" s="724"/>
      <c r="T23" s="724"/>
    </row>
    <row r="24" spans="1:20">
      <c r="A24" s="240"/>
      <c r="C24" s="187"/>
      <c r="D24" s="187"/>
      <c r="E24" s="240"/>
      <c r="F24" s="240"/>
      <c r="G24" s="242"/>
      <c r="I24" s="243"/>
      <c r="K24" s="724"/>
      <c r="L24" s="724"/>
      <c r="M24" s="724"/>
      <c r="N24" s="724"/>
      <c r="O24" s="724"/>
      <c r="P24" s="724"/>
      <c r="Q24" s="724"/>
      <c r="R24" s="724"/>
      <c r="S24" s="724"/>
      <c r="T24" s="724"/>
    </row>
    <row r="25" spans="1:20">
      <c r="A25" s="240"/>
      <c r="C25" s="187" t="s">
        <v>322</v>
      </c>
      <c r="D25" s="187"/>
      <c r="E25" s="240"/>
      <c r="F25" s="240"/>
      <c r="G25" s="242"/>
      <c r="I25" s="243"/>
      <c r="K25" s="724"/>
      <c r="L25" s="724"/>
      <c r="M25" s="724"/>
      <c r="N25" s="724"/>
      <c r="O25" s="724"/>
      <c r="P25" s="724"/>
      <c r="Q25" s="724"/>
      <c r="R25" s="724"/>
      <c r="S25" s="724"/>
      <c r="T25" s="724"/>
    </row>
    <row r="26" spans="1:20">
      <c r="A26" s="240">
        <v>5</v>
      </c>
      <c r="C26" s="187" t="s">
        <v>323</v>
      </c>
      <c r="D26" s="187"/>
      <c r="E26" s="240" t="s">
        <v>977</v>
      </c>
      <c r="F26" s="240"/>
      <c r="G26" s="241">
        <f>'Attachment H-34A '!I143+'Attachment H-34A '!I144</f>
        <v>325214.67817275238</v>
      </c>
      <c r="I26" s="243"/>
      <c r="K26" s="724"/>
      <c r="L26" s="724"/>
      <c r="M26" s="724"/>
      <c r="N26" s="724"/>
      <c r="O26" s="724"/>
      <c r="P26" s="724"/>
      <c r="Q26" s="724"/>
      <c r="R26" s="724"/>
      <c r="S26" s="724"/>
      <c r="T26" s="724"/>
    </row>
    <row r="27" spans="1:20">
      <c r="A27" s="240">
        <v>6</v>
      </c>
      <c r="C27" s="187" t="s">
        <v>324</v>
      </c>
      <c r="D27" s="187"/>
      <c r="E27" s="240" t="s">
        <v>191</v>
      </c>
      <c r="F27" s="240"/>
      <c r="G27" s="242">
        <f>G26/G18</f>
        <v>3.5809949374502372E-4</v>
      </c>
      <c r="I27" s="243">
        <f>G27</f>
        <v>3.5809949374502372E-4</v>
      </c>
      <c r="K27" s="724"/>
      <c r="L27" s="724"/>
      <c r="M27" s="724"/>
      <c r="N27" s="724"/>
      <c r="O27" s="724"/>
      <c r="P27" s="724"/>
      <c r="Q27" s="724"/>
      <c r="R27" s="724"/>
      <c r="S27" s="724"/>
      <c r="T27" s="724"/>
    </row>
    <row r="28" spans="1:20">
      <c r="A28" s="240"/>
      <c r="C28" s="187"/>
      <c r="D28" s="187"/>
      <c r="E28" s="240"/>
      <c r="F28" s="240"/>
      <c r="G28" s="242"/>
      <c r="I28" s="243"/>
      <c r="K28" s="724"/>
      <c r="L28" s="724"/>
      <c r="M28" s="724"/>
      <c r="N28" s="724"/>
      <c r="O28" s="724"/>
      <c r="P28" s="724"/>
      <c r="Q28" s="724"/>
      <c r="R28" s="724"/>
      <c r="S28" s="724"/>
      <c r="T28" s="724"/>
    </row>
    <row r="29" spans="1:20">
      <c r="A29" s="233"/>
      <c r="C29" s="187" t="s">
        <v>161</v>
      </c>
      <c r="D29" s="187"/>
      <c r="E29" s="244"/>
      <c r="F29" s="244"/>
      <c r="G29" s="235"/>
      <c r="I29" s="242"/>
      <c r="K29" s="724"/>
      <c r="L29" s="724"/>
      <c r="M29" s="724"/>
      <c r="N29" s="724"/>
      <c r="O29" s="724"/>
      <c r="P29" s="724"/>
      <c r="Q29" s="724"/>
      <c r="R29" s="724"/>
      <c r="S29" s="724"/>
      <c r="T29" s="724"/>
    </row>
    <row r="30" spans="1:20">
      <c r="A30" s="233" t="s">
        <v>165</v>
      </c>
      <c r="C30" s="187" t="s">
        <v>163</v>
      </c>
      <c r="D30" s="187"/>
      <c r="E30" s="240" t="s">
        <v>978</v>
      </c>
      <c r="F30" s="240"/>
      <c r="G30" s="241">
        <f>'Attachment H-34A '!I156</f>
        <v>583644.30999999994</v>
      </c>
      <c r="I30" s="242"/>
      <c r="K30" s="724"/>
      <c r="L30" s="724"/>
      <c r="M30" s="724"/>
      <c r="N30" s="724"/>
      <c r="O30" s="724"/>
      <c r="P30" s="724"/>
      <c r="Q30" s="724"/>
      <c r="R30" s="724"/>
      <c r="S30" s="724"/>
      <c r="T30" s="724"/>
    </row>
    <row r="31" spans="1:20">
      <c r="A31" s="233" t="s">
        <v>168</v>
      </c>
      <c r="C31" s="187" t="s">
        <v>164</v>
      </c>
      <c r="D31" s="187"/>
      <c r="E31" s="240" t="s">
        <v>325</v>
      </c>
      <c r="F31" s="240"/>
      <c r="G31" s="242">
        <f>IF(G30=0,0,G30/G18)</f>
        <v>6.4266082057693136E-4</v>
      </c>
      <c r="I31" s="243">
        <f>G31</f>
        <v>6.4266082057693136E-4</v>
      </c>
      <c r="K31" s="724"/>
      <c r="L31" s="724"/>
      <c r="M31" s="724"/>
      <c r="N31" s="724"/>
      <c r="O31" s="724"/>
      <c r="P31" s="724"/>
      <c r="Q31" s="724"/>
      <c r="R31" s="724"/>
      <c r="S31" s="724"/>
      <c r="T31" s="724"/>
    </row>
    <row r="32" spans="1:20">
      <c r="A32" s="233"/>
      <c r="C32" s="187"/>
      <c r="D32" s="187"/>
      <c r="E32" s="240"/>
      <c r="F32" s="240"/>
      <c r="G32" s="242"/>
      <c r="I32" s="243"/>
      <c r="K32" s="724"/>
      <c r="L32" s="724"/>
      <c r="M32" s="724"/>
      <c r="N32" s="724"/>
      <c r="O32" s="724"/>
      <c r="P32" s="724"/>
      <c r="Q32" s="724"/>
      <c r="R32" s="724"/>
      <c r="S32" s="724"/>
      <c r="T32" s="724"/>
    </row>
    <row r="33" spans="1:20" ht="15.75">
      <c r="A33" s="245" t="s">
        <v>169</v>
      </c>
      <c r="B33" s="228"/>
      <c r="C33" s="238" t="s">
        <v>166</v>
      </c>
      <c r="D33" s="238"/>
      <c r="E33" s="234" t="s">
        <v>435</v>
      </c>
      <c r="F33" s="234"/>
      <c r="G33" s="246"/>
      <c r="I33" s="247">
        <f>I23+I27+I31</f>
        <v>3.5285124867834528E-2</v>
      </c>
      <c r="K33" s="724"/>
      <c r="L33" s="724"/>
      <c r="M33" s="724"/>
      <c r="N33" s="724"/>
      <c r="O33" s="724"/>
      <c r="P33" s="724"/>
      <c r="Q33" s="724"/>
      <c r="R33" s="724"/>
      <c r="S33" s="724"/>
      <c r="T33" s="724"/>
    </row>
    <row r="34" spans="1:20">
      <c r="A34" s="233"/>
      <c r="C34" s="187"/>
      <c r="D34" s="187"/>
      <c r="E34" s="240"/>
      <c r="F34" s="240"/>
      <c r="G34" s="235"/>
      <c r="I34" s="242"/>
      <c r="K34" s="724"/>
      <c r="L34" s="724"/>
      <c r="M34" s="724"/>
      <c r="N34" s="724"/>
      <c r="O34" s="724"/>
      <c r="P34" s="724"/>
      <c r="Q34" s="724"/>
      <c r="R34" s="724"/>
      <c r="S34" s="724"/>
      <c r="T34" s="724"/>
    </row>
    <row r="35" spans="1:20">
      <c r="A35" s="233"/>
      <c r="C35" s="235" t="s">
        <v>167</v>
      </c>
      <c r="D35" s="235"/>
      <c r="E35" s="240"/>
      <c r="F35" s="240"/>
      <c r="G35" s="235"/>
      <c r="I35" s="242"/>
      <c r="K35" s="725"/>
      <c r="L35" s="723"/>
      <c r="M35" s="723"/>
      <c r="N35" s="723"/>
      <c r="O35" s="723"/>
      <c r="P35" s="727"/>
      <c r="Q35" s="727"/>
      <c r="R35" s="723"/>
      <c r="S35" s="724"/>
      <c r="T35" s="729"/>
    </row>
    <row r="36" spans="1:20">
      <c r="A36" s="233" t="s">
        <v>171</v>
      </c>
      <c r="C36" s="235" t="s">
        <v>67</v>
      </c>
      <c r="D36" s="235"/>
      <c r="E36" s="240" t="s">
        <v>979</v>
      </c>
      <c r="F36" s="240"/>
      <c r="G36" s="241">
        <f>'Attachment H-34A '!I171</f>
        <v>11776268.088243525</v>
      </c>
      <c r="I36" s="242"/>
      <c r="K36" s="725"/>
      <c r="L36" s="723"/>
      <c r="M36" s="723"/>
      <c r="N36" s="723"/>
      <c r="O36" s="723"/>
      <c r="P36" s="727"/>
      <c r="Q36" s="727"/>
      <c r="R36" s="728"/>
      <c r="S36" s="724"/>
      <c r="T36" s="729"/>
    </row>
    <row r="37" spans="1:20">
      <c r="A37" s="233" t="s">
        <v>173</v>
      </c>
      <c r="C37" s="235" t="s">
        <v>170</v>
      </c>
      <c r="D37" s="235"/>
      <c r="E37" s="240" t="s">
        <v>531</v>
      </c>
      <c r="F37" s="240"/>
      <c r="G37" s="242">
        <f>IF(G36=0,0,G36/G19)</f>
        <v>1.7337376370383795E-2</v>
      </c>
      <c r="I37" s="243">
        <f>G37</f>
        <v>1.7337376370383795E-2</v>
      </c>
      <c r="K37" s="725"/>
      <c r="L37" s="723"/>
      <c r="M37" s="723"/>
      <c r="N37" s="723"/>
      <c r="O37" s="723"/>
      <c r="P37" s="727"/>
      <c r="Q37" s="727"/>
      <c r="R37" s="729"/>
      <c r="S37" s="724"/>
      <c r="T37" s="732"/>
    </row>
    <row r="38" spans="1:20">
      <c r="A38" s="233"/>
      <c r="C38" s="235"/>
      <c r="D38" s="235"/>
      <c r="E38" s="240"/>
      <c r="F38" s="240"/>
      <c r="G38" s="235"/>
      <c r="I38" s="242"/>
      <c r="K38" s="725"/>
      <c r="L38" s="723"/>
      <c r="M38" s="723"/>
      <c r="N38" s="723"/>
      <c r="O38" s="723"/>
      <c r="P38" s="727"/>
      <c r="Q38" s="727"/>
      <c r="R38" s="723"/>
      <c r="S38" s="724"/>
      <c r="T38" s="729"/>
    </row>
    <row r="39" spans="1:20">
      <c r="A39" s="233"/>
      <c r="C39" s="187" t="s">
        <v>68</v>
      </c>
      <c r="D39" s="187"/>
      <c r="E39" s="248"/>
      <c r="F39" s="248"/>
      <c r="I39" s="242"/>
      <c r="K39" s="725"/>
      <c r="L39" s="730"/>
      <c r="M39" s="730"/>
      <c r="N39" s="730"/>
      <c r="O39" s="730"/>
      <c r="P39" s="731"/>
      <c r="Q39" s="731"/>
      <c r="R39" s="724"/>
      <c r="S39" s="724"/>
      <c r="T39" s="729"/>
    </row>
    <row r="40" spans="1:20">
      <c r="A40" s="233" t="s">
        <v>175</v>
      </c>
      <c r="C40" s="187" t="s">
        <v>172</v>
      </c>
      <c r="D40" s="187"/>
      <c r="E40" s="240" t="s">
        <v>980</v>
      </c>
      <c r="F40" s="240"/>
      <c r="G40" s="241">
        <f>'Attachment H-34A '!I173</f>
        <v>45374462.670952894</v>
      </c>
      <c r="I40" s="242"/>
      <c r="K40" s="725"/>
      <c r="L40" s="730"/>
      <c r="M40" s="730"/>
      <c r="N40" s="730"/>
      <c r="O40" s="730"/>
      <c r="P40" s="727"/>
      <c r="Q40" s="727"/>
      <c r="R40" s="728"/>
      <c r="S40" s="724"/>
      <c r="T40" s="729"/>
    </row>
    <row r="41" spans="1:20">
      <c r="A41" s="233" t="s">
        <v>211</v>
      </c>
      <c r="C41" s="235" t="s">
        <v>174</v>
      </c>
      <c r="D41" s="235"/>
      <c r="E41" s="240" t="s">
        <v>344</v>
      </c>
      <c r="F41" s="240"/>
      <c r="G41" s="243">
        <f>IF(G40=0,0,G40/G19)</f>
        <v>6.6801649812608471E-2</v>
      </c>
      <c r="I41" s="243">
        <f>G41</f>
        <v>6.6801649812608471E-2</v>
      </c>
      <c r="K41" s="725"/>
      <c r="L41" s="723"/>
      <c r="M41" s="723"/>
      <c r="N41" s="723"/>
      <c r="O41" s="723"/>
      <c r="P41" s="727"/>
      <c r="Q41" s="727"/>
      <c r="R41" s="732"/>
      <c r="S41" s="724"/>
      <c r="T41" s="732"/>
    </row>
    <row r="42" spans="1:20">
      <c r="A42" s="233"/>
      <c r="C42" s="187"/>
      <c r="D42" s="187"/>
      <c r="E42" s="240"/>
      <c r="F42" s="240"/>
      <c r="G42" s="235"/>
      <c r="I42" s="242"/>
      <c r="K42" s="725"/>
      <c r="L42" s="730"/>
      <c r="M42" s="730"/>
      <c r="N42" s="730"/>
      <c r="O42" s="730"/>
      <c r="P42" s="727"/>
      <c r="Q42" s="727"/>
      <c r="R42" s="723"/>
      <c r="S42" s="724"/>
      <c r="T42" s="729"/>
    </row>
    <row r="43" spans="1:20" ht="15.75">
      <c r="A43" s="245" t="s">
        <v>212</v>
      </c>
      <c r="B43" s="228"/>
      <c r="C43" s="238" t="s">
        <v>176</v>
      </c>
      <c r="D43" s="238"/>
      <c r="E43" s="234" t="s">
        <v>436</v>
      </c>
      <c r="F43" s="234"/>
      <c r="G43" s="246"/>
      <c r="I43" s="247">
        <f>I37+I41</f>
        <v>8.4139026182992266E-2</v>
      </c>
      <c r="K43" s="737"/>
      <c r="L43" s="733"/>
      <c r="M43" s="733"/>
      <c r="N43" s="733"/>
      <c r="O43" s="733"/>
      <c r="P43" s="734"/>
      <c r="Q43" s="734"/>
      <c r="R43" s="735"/>
      <c r="S43" s="724"/>
      <c r="T43" s="738"/>
    </row>
    <row r="44" spans="1:20">
      <c r="K44" s="724"/>
      <c r="L44" s="724"/>
      <c r="M44" s="724"/>
      <c r="N44" s="724"/>
      <c r="O44" s="724"/>
      <c r="P44" s="724"/>
      <c r="Q44" s="724"/>
      <c r="R44" s="724"/>
      <c r="S44" s="724"/>
      <c r="T44" s="724"/>
    </row>
    <row r="45" spans="1:20" ht="15.75">
      <c r="K45" s="737"/>
      <c r="L45" s="739"/>
      <c r="M45" s="739"/>
      <c r="N45" s="724"/>
      <c r="O45" s="724"/>
      <c r="P45" s="734"/>
      <c r="Q45" s="734"/>
      <c r="R45" s="739"/>
      <c r="S45" s="739"/>
      <c r="T45" s="740"/>
    </row>
    <row r="46" spans="1:20">
      <c r="A46" s="229"/>
      <c r="G46" s="235"/>
    </row>
    <row r="47" spans="1:20">
      <c r="O47" s="250"/>
      <c r="R47" s="250"/>
      <c r="T47" s="250" t="str">
        <f>T1</f>
        <v>Attachment H-34A, Attachment 11</v>
      </c>
    </row>
    <row r="48" spans="1:20">
      <c r="O48" s="250"/>
      <c r="R48" s="250"/>
      <c r="T48" s="250" t="s">
        <v>192</v>
      </c>
    </row>
    <row r="49" spans="1:20">
      <c r="O49" s="250"/>
      <c r="R49" s="250"/>
      <c r="T49" s="250" t="str">
        <f>'Attachment H-34A '!K4</f>
        <v>For the 12 months ended 12/31/2026</v>
      </c>
    </row>
    <row r="50" spans="1:20">
      <c r="A50" s="229"/>
      <c r="G50" s="235"/>
    </row>
    <row r="51" spans="1:20">
      <c r="A51" s="229"/>
      <c r="C51" s="187"/>
      <c r="D51" s="187"/>
    </row>
    <row r="52" spans="1:20">
      <c r="A52" s="229"/>
      <c r="C52" s="187"/>
      <c r="D52" s="187"/>
      <c r="L52" s="235"/>
      <c r="M52" s="235"/>
    </row>
    <row r="53" spans="1:20" ht="14.25" customHeight="1">
      <c r="A53" s="229"/>
    </row>
    <row r="54" spans="1:20" ht="15.75">
      <c r="A54" s="1045" t="str">
        <f>A5</f>
        <v>Transmission Enhancement Charge (TEC) Worksheet</v>
      </c>
      <c r="B54" s="1045"/>
      <c r="C54" s="1045"/>
      <c r="D54" s="1045"/>
      <c r="E54" s="1045"/>
      <c r="F54" s="1045"/>
      <c r="G54" s="1045"/>
      <c r="H54" s="1045"/>
      <c r="I54" s="1045"/>
      <c r="J54" s="1045"/>
      <c r="K54" s="1045"/>
      <c r="L54" s="1045"/>
      <c r="M54" s="1045"/>
      <c r="N54" s="1045"/>
      <c r="O54" s="1045"/>
    </row>
    <row r="55" spans="1:20">
      <c r="A55" s="1046" t="str">
        <f>A6</f>
        <v>To be completed in conjunction with Attachment H-34A</v>
      </c>
      <c r="B55" s="1046"/>
      <c r="C55" s="1046"/>
      <c r="D55" s="1046"/>
      <c r="E55" s="1046"/>
      <c r="F55" s="1046"/>
      <c r="G55" s="1046"/>
      <c r="H55" s="1046"/>
      <c r="I55" s="1046"/>
      <c r="J55" s="1046"/>
      <c r="K55" s="1046"/>
      <c r="L55" s="1046"/>
      <c r="M55" s="1046"/>
      <c r="N55" s="1046"/>
      <c r="O55" s="1046"/>
    </row>
    <row r="56" spans="1:20" ht="15.75">
      <c r="A56" s="229"/>
      <c r="E56" s="238"/>
      <c r="H56" s="187"/>
      <c r="I56" s="187"/>
      <c r="J56" s="187"/>
      <c r="K56" s="187"/>
      <c r="L56" s="187"/>
      <c r="M56" s="187"/>
    </row>
    <row r="57" spans="1:20" ht="15.75">
      <c r="A57" s="229"/>
      <c r="E57" s="238"/>
      <c r="F57" s="238"/>
      <c r="H57" s="187"/>
      <c r="I57" s="187"/>
      <c r="J57" s="187"/>
      <c r="K57" s="187"/>
      <c r="L57" s="187"/>
      <c r="M57" s="187"/>
    </row>
    <row r="58" spans="1:20" ht="15.75">
      <c r="A58" s="229"/>
      <c r="C58" s="251">
        <v>-1</v>
      </c>
      <c r="D58" s="251">
        <v>-2</v>
      </c>
      <c r="E58" s="251">
        <v>-3</v>
      </c>
      <c r="F58" s="251">
        <v>-4</v>
      </c>
      <c r="G58" s="251">
        <v>-5</v>
      </c>
      <c r="H58" s="251">
        <v>-6</v>
      </c>
      <c r="I58" s="251">
        <v>-7</v>
      </c>
      <c r="J58" s="251">
        <v>-8</v>
      </c>
      <c r="K58" s="251">
        <v>-9</v>
      </c>
      <c r="L58" s="251">
        <v>-10</v>
      </c>
      <c r="M58" s="251">
        <v>-11</v>
      </c>
      <c r="N58" s="251">
        <v>-12</v>
      </c>
      <c r="O58" s="251">
        <v>-13</v>
      </c>
      <c r="P58" s="251">
        <v>-14</v>
      </c>
      <c r="Q58" s="251">
        <v>-15</v>
      </c>
      <c r="R58" s="251"/>
    </row>
    <row r="59" spans="1:20" ht="67.900000000000006" customHeight="1">
      <c r="A59" s="252" t="s">
        <v>177</v>
      </c>
      <c r="B59" s="253"/>
      <c r="C59" s="254" t="s">
        <v>178</v>
      </c>
      <c r="D59" s="255" t="s">
        <v>193</v>
      </c>
      <c r="E59" s="256" t="s">
        <v>280</v>
      </c>
      <c r="F59" s="256" t="s">
        <v>166</v>
      </c>
      <c r="G59" s="257" t="s">
        <v>179</v>
      </c>
      <c r="H59" s="256" t="s">
        <v>180</v>
      </c>
      <c r="I59" s="256" t="s">
        <v>176</v>
      </c>
      <c r="J59" s="257" t="s">
        <v>181</v>
      </c>
      <c r="K59" s="256" t="s">
        <v>182</v>
      </c>
      <c r="L59" s="258" t="s">
        <v>326</v>
      </c>
      <c r="M59" s="258" t="s">
        <v>768</v>
      </c>
      <c r="N59" s="258" t="s">
        <v>446</v>
      </c>
      <c r="O59" s="258" t="s">
        <v>417</v>
      </c>
      <c r="P59" s="258" t="s">
        <v>251</v>
      </c>
      <c r="Q59" s="258" t="s">
        <v>418</v>
      </c>
    </row>
    <row r="60" spans="1:20" ht="75" customHeight="1">
      <c r="A60" s="627">
        <v>1</v>
      </c>
      <c r="B60" s="260"/>
      <c r="C60" s="260"/>
      <c r="D60" s="260"/>
      <c r="E60" s="261" t="s">
        <v>444</v>
      </c>
      <c r="F60" s="261" t="s">
        <v>442</v>
      </c>
      <c r="G60" s="262" t="s">
        <v>183</v>
      </c>
      <c r="H60" s="261" t="s">
        <v>445</v>
      </c>
      <c r="I60" s="282" t="s">
        <v>443</v>
      </c>
      <c r="J60" s="262" t="s">
        <v>184</v>
      </c>
      <c r="K60" s="261" t="s">
        <v>143</v>
      </c>
      <c r="L60" s="263" t="s">
        <v>327</v>
      </c>
      <c r="M60" s="263" t="s">
        <v>536</v>
      </c>
      <c r="N60" s="842" t="s">
        <v>984</v>
      </c>
      <c r="O60" s="263" t="s">
        <v>766</v>
      </c>
      <c r="P60" s="263" t="s">
        <v>339</v>
      </c>
      <c r="Q60" s="263" t="s">
        <v>767</v>
      </c>
    </row>
    <row r="61" spans="1:20">
      <c r="A61" s="264"/>
      <c r="B61" s="187"/>
      <c r="C61" s="232"/>
      <c r="D61" s="187"/>
      <c r="E61" s="187"/>
      <c r="F61" s="187"/>
      <c r="G61" s="265"/>
      <c r="H61" s="187"/>
      <c r="I61" s="187"/>
      <c r="J61" s="265"/>
      <c r="K61" s="187"/>
      <c r="L61" s="265"/>
      <c r="M61" s="265"/>
      <c r="N61" s="265"/>
      <c r="O61" s="265"/>
      <c r="P61" s="265"/>
      <c r="Q61" s="265"/>
    </row>
    <row r="62" spans="1:20" ht="30">
      <c r="A62" s="315" t="s">
        <v>460</v>
      </c>
      <c r="B62" s="244"/>
      <c r="C62" s="318" t="s">
        <v>1183</v>
      </c>
      <c r="D62" s="316" t="s">
        <v>1184</v>
      </c>
      <c r="E62" s="241">
        <f>'Attach 11a - TEC Cost Support'!E10</f>
        <v>432714.25999999983</v>
      </c>
      <c r="F62" s="243">
        <f>$I$33</f>
        <v>3.5285124867834528E-2</v>
      </c>
      <c r="G62" s="266">
        <f>E62*F62</f>
        <v>15268.37669619261</v>
      </c>
      <c r="H62" s="241">
        <f>'Attach 11a - TEC Cost Support'!AI10</f>
        <v>306586.48774749978</v>
      </c>
      <c r="I62" s="243">
        <f>$I$43</f>
        <v>8.4139026182992266E-2</v>
      </c>
      <c r="J62" s="266">
        <f>H62*I62</f>
        <v>25795.888519938522</v>
      </c>
      <c r="K62" s="267">
        <v>9631.8450829999983</v>
      </c>
      <c r="L62" s="268">
        <f t="shared" ref="L62:L69" si="0">G62+J62+K62</f>
        <v>50696.110299131135</v>
      </c>
      <c r="M62" s="742"/>
      <c r="N62" s="741">
        <f>H62*'Attachment H-34A '!$I$249*(M62/100)</f>
        <v>0</v>
      </c>
      <c r="O62" s="268">
        <f>L62+N62</f>
        <v>50696.110299131135</v>
      </c>
      <c r="P62" s="971">
        <f>-'Attachment 12 - TEC True-up'!L17</f>
        <v>717.57088160879812</v>
      </c>
      <c r="Q62" s="268">
        <f>O62+P62</f>
        <v>51413.681180739935</v>
      </c>
    </row>
    <row r="63" spans="1:20">
      <c r="A63" s="315" t="s">
        <v>461</v>
      </c>
      <c r="B63" s="244"/>
      <c r="C63" s="318" t="s">
        <v>1185</v>
      </c>
      <c r="D63" s="316" t="s">
        <v>1186</v>
      </c>
      <c r="E63" s="241">
        <f>'Attach 11a - TEC Cost Support'!E11</f>
        <v>553608.6100000001</v>
      </c>
      <c r="F63" s="243">
        <f>$I$33</f>
        <v>3.5285124867834528E-2</v>
      </c>
      <c r="G63" s="266">
        <f>E63*F63</f>
        <v>19534.148931758311</v>
      </c>
      <c r="H63" s="241">
        <f>'Attach 11a - TEC Cost Support'!AI11</f>
        <v>460672.20142799988</v>
      </c>
      <c r="I63" s="243">
        <f>$I$43</f>
        <v>8.4139026182992266E-2</v>
      </c>
      <c r="J63" s="266">
        <f>H63*I63</f>
        <v>38760.510417727171</v>
      </c>
      <c r="K63" s="267">
        <v>8636.2943159999977</v>
      </c>
      <c r="L63" s="268">
        <f t="shared" si="0"/>
        <v>66930.953665485475</v>
      </c>
      <c r="M63" s="742"/>
      <c r="N63" s="741">
        <f>H63*'Attachment H-34A '!$I$249*(M63/100)</f>
        <v>0</v>
      </c>
      <c r="O63" s="268">
        <f t="shared" ref="O63:O68" si="1">L63+N63</f>
        <v>66930.953665485475</v>
      </c>
      <c r="P63" s="971">
        <f>-'Attachment 12 - TEC True-up'!L18</f>
        <v>500.95306265129824</v>
      </c>
      <c r="Q63" s="268">
        <f t="shared" ref="Q63:Q69" si="2">O63+P63</f>
        <v>67431.906728136775</v>
      </c>
    </row>
    <row r="64" spans="1:20" ht="30">
      <c r="A64" s="315" t="s">
        <v>462</v>
      </c>
      <c r="B64" s="244"/>
      <c r="C64" s="318" t="s">
        <v>1187</v>
      </c>
      <c r="D64" s="316" t="s">
        <v>1188</v>
      </c>
      <c r="E64" s="241">
        <f>'Attach 11a - TEC Cost Support'!E12</f>
        <v>9900023.9099999983</v>
      </c>
      <c r="F64" s="243">
        <f>$I$33</f>
        <v>3.5285124867834528E-2</v>
      </c>
      <c r="G64" s="266">
        <f>E64*F64</f>
        <v>349323.57985889737</v>
      </c>
      <c r="H64" s="241">
        <f>'Attach 11a - TEC Cost Support'!AI12</f>
        <v>8772643.459446134</v>
      </c>
      <c r="I64" s="243">
        <f>$I$43</f>
        <v>8.4139026182992266E-2</v>
      </c>
      <c r="J64" s="266">
        <f>H64*I64</f>
        <v>738121.67772839416</v>
      </c>
      <c r="K64" s="267">
        <v>191225.23096322865</v>
      </c>
      <c r="L64" s="268">
        <f t="shared" si="0"/>
        <v>1278670.4885505203</v>
      </c>
      <c r="M64" s="742"/>
      <c r="N64" s="741">
        <f>H64*'Attachment H-34A '!$I$249*(M64/100)</f>
        <v>0</v>
      </c>
      <c r="O64" s="268">
        <f t="shared" si="1"/>
        <v>1278670.4885505203</v>
      </c>
      <c r="P64" s="971">
        <f>-'Attachment 12 - TEC True-up'!L19</f>
        <v>-380.14350378797633</v>
      </c>
      <c r="Q64" s="268">
        <f t="shared" si="2"/>
        <v>1278290.3450467323</v>
      </c>
    </row>
    <row r="65" spans="1:17" ht="30">
      <c r="A65" s="315" t="s">
        <v>518</v>
      </c>
      <c r="C65" s="318" t="s">
        <v>1189</v>
      </c>
      <c r="D65" s="316" t="s">
        <v>1190</v>
      </c>
      <c r="E65" s="241">
        <f>'Attach 11a - TEC Cost Support'!E13</f>
        <v>782722.03999999992</v>
      </c>
      <c r="F65" s="243">
        <f t="shared" ref="F65:F69" si="3">$I$33</f>
        <v>3.5285124867834528E-2</v>
      </c>
      <c r="G65" s="266">
        <f t="shared" ref="G65:G67" si="4">E65*F65</f>
        <v>27618.444918206169</v>
      </c>
      <c r="H65" s="241">
        <f>'Attach 11a - TEC Cost Support'!AI13</f>
        <v>719520.22374462488</v>
      </c>
      <c r="I65" s="243">
        <f t="shared" ref="I65:I69" si="5">$I$43</f>
        <v>8.4139026182992266E-2</v>
      </c>
      <c r="J65" s="266">
        <f t="shared" ref="J65:J67" si="6">H65*I65</f>
        <v>60539.730944841445</v>
      </c>
      <c r="K65" s="965">
        <v>12210.463823999997</v>
      </c>
      <c r="L65" s="268">
        <f t="shared" si="0"/>
        <v>100368.6396870476</v>
      </c>
      <c r="M65" s="742"/>
      <c r="N65" s="741">
        <f>H65*'Attachment H-34A '!$I$249*(M65/100)</f>
        <v>0</v>
      </c>
      <c r="O65" s="268">
        <f t="shared" si="1"/>
        <v>100368.6396870476</v>
      </c>
      <c r="P65" s="972">
        <f>-'Attachment 12 - TEC True-up'!L20</f>
        <v>174.17863468227006</v>
      </c>
      <c r="Q65" s="268">
        <f t="shared" si="2"/>
        <v>100542.81832172986</v>
      </c>
    </row>
    <row r="66" spans="1:17" ht="30">
      <c r="A66" s="315" t="s">
        <v>763</v>
      </c>
      <c r="C66" s="318" t="s">
        <v>1191</v>
      </c>
      <c r="D66" s="316" t="s">
        <v>1192</v>
      </c>
      <c r="E66" s="241">
        <f>'Attach 11a - TEC Cost Support'!E14</f>
        <v>952141.57000000018</v>
      </c>
      <c r="F66" s="243">
        <f t="shared" si="3"/>
        <v>3.5285124867834528E-2</v>
      </c>
      <c r="G66" s="266">
        <f t="shared" si="4"/>
        <v>33596.434189306019</v>
      </c>
      <c r="H66" s="241">
        <f>'Attach 11a - TEC Cost Support'!AI14</f>
        <v>875168.58941975015</v>
      </c>
      <c r="I66" s="243">
        <f t="shared" si="5"/>
        <v>8.4139026182992266E-2</v>
      </c>
      <c r="J66" s="266">
        <f t="shared" si="6"/>
        <v>73635.832859720773</v>
      </c>
      <c r="K66" s="965">
        <v>14853.408491999993</v>
      </c>
      <c r="L66" s="268">
        <f t="shared" si="0"/>
        <v>122085.67554102678</v>
      </c>
      <c r="M66" s="742"/>
      <c r="N66" s="741">
        <f>H66*'Attachment H-34A '!$I$249*(M66/100)</f>
        <v>0</v>
      </c>
      <c r="O66" s="268">
        <f t="shared" si="1"/>
        <v>122085.67554102678</v>
      </c>
      <c r="P66" s="972">
        <f>-'Attachment 12 - TEC True-up'!L21</f>
        <v>212.58216631384488</v>
      </c>
      <c r="Q66" s="268">
        <f t="shared" si="2"/>
        <v>122298.25770734063</v>
      </c>
    </row>
    <row r="67" spans="1:17" ht="30">
      <c r="A67" s="315" t="s">
        <v>764</v>
      </c>
      <c r="C67" s="318" t="s">
        <v>1193</v>
      </c>
      <c r="D67" s="316" t="s">
        <v>1194</v>
      </c>
      <c r="E67" s="241">
        <f>'Attach 11a - TEC Cost Support'!E15</f>
        <v>101168809.49999999</v>
      </c>
      <c r="F67" s="243">
        <f t="shared" si="3"/>
        <v>3.5285124867834528E-2</v>
      </c>
      <c r="G67" s="266">
        <f t="shared" si="4"/>
        <v>3569754.0759376637</v>
      </c>
      <c r="H67" s="241">
        <f>'Attach 11a - TEC Cost Support'!AI15</f>
        <v>93922867.946598932</v>
      </c>
      <c r="I67" s="243">
        <f t="shared" si="5"/>
        <v>8.4139026182992266E-2</v>
      </c>
      <c r="J67" s="266">
        <f t="shared" si="6"/>
        <v>7902578.6453406122</v>
      </c>
      <c r="K67" s="965">
        <v>1595443.376590725</v>
      </c>
      <c r="L67" s="268">
        <f t="shared" si="0"/>
        <v>13067776.097869001</v>
      </c>
      <c r="M67" s="742"/>
      <c r="N67" s="741">
        <f>H67*'Attachment H-34A '!$I$249*(M67/100)</f>
        <v>0</v>
      </c>
      <c r="O67" s="268">
        <f t="shared" si="1"/>
        <v>13067776.097869001</v>
      </c>
      <c r="P67" s="972">
        <f>-'Attachment 12 - TEC True-up'!L22</f>
        <v>18455.084311794246</v>
      </c>
      <c r="Q67" s="268">
        <f t="shared" si="2"/>
        <v>13086231.182180796</v>
      </c>
    </row>
    <row r="68" spans="1:17" ht="45">
      <c r="A68" s="315" t="s">
        <v>1195</v>
      </c>
      <c r="C68" s="318" t="s">
        <v>1197</v>
      </c>
      <c r="D68" s="316" t="s">
        <v>1196</v>
      </c>
      <c r="E68" s="241">
        <f>'Attach 11a - TEC Cost Support'!E16</f>
        <v>13018001.75</v>
      </c>
      <c r="F68" s="243">
        <f t="shared" si="3"/>
        <v>3.5285124867834528E-2</v>
      </c>
      <c r="G68" s="266">
        <f t="shared" ref="G68" si="7">E68*F68</f>
        <v>459341.81727843842</v>
      </c>
      <c r="H68" s="241">
        <f>'Attach 11a - TEC Cost Support'!AI16</f>
        <v>12205793.674720859</v>
      </c>
      <c r="I68" s="243">
        <f t="shared" si="5"/>
        <v>8.4139026182992266E-2</v>
      </c>
      <c r="J68" s="266">
        <f t="shared" ref="J68" si="8">H68*I68</f>
        <v>1026983.5935815397</v>
      </c>
      <c r="K68" s="965">
        <v>233311.12901046083</v>
      </c>
      <c r="L68" s="268">
        <f t="shared" si="0"/>
        <v>1719636.5398704389</v>
      </c>
      <c r="M68" s="742"/>
      <c r="N68" s="741">
        <f>H68*'Attachment H-34A '!$I$249*(M68/100)</f>
        <v>0</v>
      </c>
      <c r="O68" s="268">
        <f t="shared" si="1"/>
        <v>1719636.5398704389</v>
      </c>
      <c r="P68" s="972">
        <f>-'Attachment 12 - TEC True-up'!L23</f>
        <v>2088951.1980086421</v>
      </c>
      <c r="Q68" s="268">
        <f t="shared" si="2"/>
        <v>3808587.7378790807</v>
      </c>
    </row>
    <row r="69" spans="1:17">
      <c r="A69" s="315" t="s">
        <v>1204</v>
      </c>
      <c r="C69" s="318" t="s">
        <v>1205</v>
      </c>
      <c r="D69" s="316" t="s">
        <v>1206</v>
      </c>
      <c r="E69" s="241">
        <f>'Attach 11a - TEC Cost Support'!E17</f>
        <v>2726776.7921402277</v>
      </c>
      <c r="F69" s="243">
        <f t="shared" si="3"/>
        <v>3.5285124867834528E-2</v>
      </c>
      <c r="G69" s="266">
        <f t="shared" ref="G69" si="9">E69*F69</f>
        <v>96214.659597381207</v>
      </c>
      <c r="H69" s="241">
        <f>'Attach 11a - TEC Cost Support'!AI17</f>
        <v>2701008.7514545028</v>
      </c>
      <c r="I69" s="243">
        <f t="shared" si="5"/>
        <v>8.4139026182992266E-2</v>
      </c>
      <c r="J69" s="266">
        <f t="shared" ref="J69" si="10">H69*I69</f>
        <v>227260.24605912165</v>
      </c>
      <c r="K69" s="965">
        <v>88873.446446684713</v>
      </c>
      <c r="L69" s="268">
        <f t="shared" si="0"/>
        <v>412348.35210318759</v>
      </c>
      <c r="M69" s="742"/>
      <c r="N69" s="741">
        <f>H69*'Attachment H-34A '!$I$249*(M69/100)</f>
        <v>0</v>
      </c>
      <c r="O69" s="268">
        <f t="shared" ref="O69" si="11">L69+N69</f>
        <v>412348.35210318759</v>
      </c>
      <c r="P69" s="972">
        <f>-'Attachment 12 - TEC True-up'!L24</f>
        <v>0</v>
      </c>
      <c r="Q69" s="268">
        <f t="shared" si="2"/>
        <v>412348.35210318759</v>
      </c>
    </row>
    <row r="70" spans="1:17">
      <c r="A70" s="231"/>
      <c r="C70" s="171"/>
      <c r="D70" s="171"/>
      <c r="E70" s="171"/>
      <c r="F70" s="171"/>
      <c r="G70" s="269"/>
      <c r="H70" s="171"/>
      <c r="I70" s="171"/>
      <c r="J70" s="269"/>
      <c r="K70" s="171"/>
      <c r="L70" s="269"/>
      <c r="M70" s="269"/>
      <c r="N70" s="269"/>
      <c r="O70" s="269"/>
      <c r="P70" s="269"/>
      <c r="Q70" s="269"/>
    </row>
    <row r="71" spans="1:17">
      <c r="A71" s="231"/>
      <c r="C71" s="171"/>
      <c r="D71" s="171"/>
      <c r="E71" s="171"/>
      <c r="F71" s="171"/>
      <c r="G71" s="269"/>
      <c r="H71" s="171"/>
      <c r="I71" s="171"/>
      <c r="J71" s="269"/>
      <c r="K71" s="171"/>
      <c r="L71" s="269"/>
      <c r="M71" s="269"/>
      <c r="N71" s="269"/>
      <c r="O71" s="269"/>
      <c r="P71" s="269"/>
      <c r="Q71" s="269"/>
    </row>
    <row r="72" spans="1:17">
      <c r="A72" s="231"/>
      <c r="C72" s="171"/>
      <c r="D72" s="171"/>
      <c r="E72" s="171"/>
      <c r="F72" s="171"/>
      <c r="G72" s="269"/>
      <c r="H72" s="171"/>
      <c r="I72" s="171"/>
      <c r="J72" s="269"/>
      <c r="K72" s="171"/>
      <c r="L72" s="269"/>
      <c r="M72" s="269"/>
      <c r="N72" s="269"/>
      <c r="O72" s="269"/>
      <c r="P72" s="269"/>
      <c r="Q72" s="269"/>
    </row>
    <row r="73" spans="1:17">
      <c r="A73" s="231"/>
      <c r="C73" s="171"/>
      <c r="D73" s="171"/>
      <c r="E73" s="171"/>
      <c r="F73" s="171"/>
      <c r="G73" s="269"/>
      <c r="H73" s="171"/>
      <c r="I73" s="171"/>
      <c r="J73" s="269"/>
      <c r="K73" s="171"/>
      <c r="L73" s="269"/>
      <c r="M73" s="269"/>
      <c r="N73" s="269"/>
      <c r="O73" s="269"/>
      <c r="P73" s="269"/>
      <c r="Q73" s="269"/>
    </row>
    <row r="74" spans="1:17">
      <c r="A74" s="231"/>
      <c r="C74" s="171"/>
      <c r="D74" s="171"/>
      <c r="E74" s="171"/>
      <c r="F74" s="171"/>
      <c r="G74" s="269"/>
      <c r="H74" s="171"/>
      <c r="I74" s="171"/>
      <c r="J74" s="269"/>
      <c r="K74" s="171"/>
      <c r="L74" s="269"/>
      <c r="M74" s="269"/>
      <c r="N74" s="269"/>
      <c r="O74" s="269"/>
      <c r="P74" s="269"/>
      <c r="Q74" s="269"/>
    </row>
    <row r="75" spans="1:17">
      <c r="A75" s="231"/>
      <c r="C75" s="171"/>
      <c r="D75" s="171"/>
      <c r="E75" s="171"/>
      <c r="F75" s="171"/>
      <c r="G75" s="269"/>
      <c r="H75" s="171"/>
      <c r="I75" s="171"/>
      <c r="J75" s="269"/>
      <c r="K75" s="171"/>
      <c r="L75" s="269"/>
      <c r="M75" s="269"/>
      <c r="N75" s="269"/>
      <c r="O75" s="269"/>
      <c r="P75" s="269"/>
      <c r="Q75" s="269"/>
    </row>
    <row r="76" spans="1:17">
      <c r="A76" s="231"/>
      <c r="C76" s="171"/>
      <c r="D76" s="171"/>
      <c r="E76" s="171"/>
      <c r="F76" s="171"/>
      <c r="G76" s="269"/>
      <c r="H76" s="171"/>
      <c r="I76" s="171"/>
      <c r="J76" s="269"/>
      <c r="K76" s="171"/>
      <c r="L76" s="269"/>
      <c r="M76" s="269"/>
      <c r="N76" s="269"/>
      <c r="O76" s="269"/>
      <c r="P76" s="269"/>
      <c r="Q76" s="269"/>
    </row>
    <row r="77" spans="1:17">
      <c r="A77" s="231"/>
      <c r="C77" s="171"/>
      <c r="D77" s="171"/>
      <c r="E77" s="171"/>
      <c r="F77" s="171"/>
      <c r="G77" s="269"/>
      <c r="H77" s="171"/>
      <c r="I77" s="171"/>
      <c r="J77" s="269"/>
      <c r="K77" s="171"/>
      <c r="L77" s="269"/>
      <c r="M77" s="269"/>
      <c r="N77" s="269"/>
      <c r="O77" s="269"/>
      <c r="P77" s="269"/>
      <c r="Q77" s="269"/>
    </row>
    <row r="78" spans="1:17">
      <c r="A78" s="231"/>
      <c r="C78" s="171"/>
      <c r="D78" s="171"/>
      <c r="E78" s="171"/>
      <c r="F78" s="171"/>
      <c r="G78" s="269"/>
      <c r="H78" s="171"/>
      <c r="I78" s="171"/>
      <c r="J78" s="269"/>
      <c r="K78" s="171"/>
      <c r="L78" s="269"/>
      <c r="M78" s="269"/>
      <c r="N78" s="269"/>
      <c r="O78" s="269"/>
      <c r="P78" s="269"/>
      <c r="Q78" s="269"/>
    </row>
    <row r="79" spans="1:17">
      <c r="A79" s="231"/>
      <c r="C79" s="171"/>
      <c r="D79" s="171"/>
      <c r="E79" s="171"/>
      <c r="F79" s="171"/>
      <c r="G79" s="269"/>
      <c r="H79" s="171"/>
      <c r="I79" s="171"/>
      <c r="J79" s="269"/>
      <c r="K79" s="171"/>
      <c r="L79" s="269"/>
      <c r="M79" s="269"/>
      <c r="N79" s="269"/>
      <c r="O79" s="269"/>
      <c r="P79" s="269"/>
      <c r="Q79" s="269"/>
    </row>
    <row r="80" spans="1:17">
      <c r="A80" s="231"/>
      <c r="C80" s="171"/>
      <c r="D80" s="171"/>
      <c r="E80" s="171"/>
      <c r="F80" s="171"/>
      <c r="G80" s="269"/>
      <c r="H80" s="171"/>
      <c r="I80" s="171"/>
      <c r="J80" s="269"/>
      <c r="K80" s="171"/>
      <c r="L80" s="269"/>
      <c r="M80" s="269"/>
      <c r="N80" s="269"/>
      <c r="O80" s="269"/>
      <c r="P80" s="269"/>
      <c r="Q80" s="269"/>
    </row>
    <row r="81" spans="1:17">
      <c r="A81" s="270"/>
      <c r="B81" s="249"/>
      <c r="C81" s="271"/>
      <c r="D81" s="271"/>
      <c r="E81" s="271"/>
      <c r="F81" s="271"/>
      <c r="G81" s="272"/>
      <c r="H81" s="271"/>
      <c r="I81" s="271"/>
      <c r="J81" s="272"/>
      <c r="K81" s="271"/>
      <c r="L81" s="272"/>
      <c r="M81" s="272"/>
      <c r="N81" s="272"/>
      <c r="O81" s="272"/>
      <c r="P81" s="272"/>
      <c r="Q81" s="272"/>
    </row>
    <row r="82" spans="1:17">
      <c r="A82" s="233" t="s">
        <v>209</v>
      </c>
      <c r="C82" s="186" t="s">
        <v>1051</v>
      </c>
      <c r="D82" s="187"/>
      <c r="E82" s="244"/>
      <c r="F82" s="244"/>
      <c r="G82" s="235"/>
      <c r="H82" s="235"/>
      <c r="I82" s="235"/>
      <c r="J82" s="235"/>
      <c r="K82" s="235"/>
      <c r="L82" s="273"/>
      <c r="M82" s="273"/>
      <c r="N82" s="273"/>
      <c r="O82" s="586">
        <f>SUM(O62:O81)</f>
        <v>16818512.85758584</v>
      </c>
      <c r="P82" s="241"/>
      <c r="Q82" s="273"/>
    </row>
    <row r="83" spans="1:17">
      <c r="A83" s="274" t="s">
        <v>210</v>
      </c>
      <c r="B83" s="171"/>
      <c r="C83" s="186" t="s">
        <v>1002</v>
      </c>
      <c r="D83" s="171"/>
      <c r="E83" s="171"/>
      <c r="F83" s="171"/>
      <c r="G83" s="171"/>
      <c r="H83" s="171"/>
      <c r="I83" s="171"/>
      <c r="J83" s="171"/>
      <c r="K83" s="171"/>
      <c r="L83" s="171"/>
      <c r="M83" s="171"/>
      <c r="N83" s="186">
        <f>SUM(N62:N81)</f>
        <v>0</v>
      </c>
      <c r="O83" s="171"/>
      <c r="P83" s="171"/>
    </row>
    <row r="84" spans="1:17">
      <c r="A84" s="171"/>
      <c r="B84" s="171"/>
      <c r="C84" s="171"/>
      <c r="D84" s="171"/>
      <c r="E84" s="171"/>
      <c r="F84" s="171"/>
      <c r="G84" s="171"/>
      <c r="H84" s="171"/>
      <c r="I84" s="171"/>
      <c r="J84" s="171"/>
      <c r="K84" s="171"/>
      <c r="L84" s="171"/>
      <c r="M84" s="171"/>
      <c r="N84" s="171"/>
      <c r="O84" s="171"/>
      <c r="P84" s="171"/>
    </row>
    <row r="85" spans="1:17">
      <c r="A85" s="275" t="s">
        <v>194</v>
      </c>
      <c r="B85" s="171"/>
      <c r="C85" s="171"/>
      <c r="D85" s="171"/>
      <c r="E85" s="171"/>
      <c r="F85" s="171"/>
      <c r="G85" s="171"/>
      <c r="H85" s="171"/>
      <c r="I85" s="171"/>
      <c r="J85" s="171"/>
      <c r="K85" s="171"/>
      <c r="L85" s="171"/>
      <c r="M85" s="171"/>
    </row>
    <row r="86" spans="1:17">
      <c r="A86" s="244" t="s">
        <v>104</v>
      </c>
      <c r="C86" s="1044" t="s">
        <v>981</v>
      </c>
      <c r="D86" s="1044"/>
      <c r="E86" s="1044"/>
      <c r="F86" s="1044"/>
      <c r="G86" s="1044"/>
      <c r="H86" s="1044"/>
      <c r="I86" s="1044"/>
      <c r="J86" s="1044"/>
      <c r="K86" s="1044"/>
      <c r="L86" s="1044"/>
      <c r="M86" s="691"/>
    </row>
    <row r="87" spans="1:17">
      <c r="A87" s="244" t="s">
        <v>105</v>
      </c>
      <c r="C87" s="1044" t="s">
        <v>982</v>
      </c>
      <c r="D87" s="1044"/>
      <c r="E87" s="1044"/>
      <c r="F87" s="1044"/>
      <c r="G87" s="1044"/>
      <c r="H87" s="1044"/>
      <c r="I87" s="1044"/>
      <c r="J87" s="1044"/>
      <c r="K87" s="1044"/>
      <c r="L87" s="1044"/>
      <c r="M87" s="691"/>
    </row>
    <row r="88" spans="1:17" ht="15" customHeight="1">
      <c r="A88" s="276" t="s">
        <v>106</v>
      </c>
      <c r="C88" s="1049" t="s">
        <v>196</v>
      </c>
      <c r="D88" s="1049"/>
      <c r="E88" s="1049"/>
      <c r="F88" s="1049"/>
      <c r="G88" s="1049"/>
      <c r="H88" s="1049"/>
      <c r="I88" s="1049"/>
      <c r="J88" s="1049"/>
      <c r="K88" s="1049"/>
      <c r="L88" s="1049"/>
      <c r="M88" s="692"/>
    </row>
    <row r="89" spans="1:17">
      <c r="A89" s="276" t="s">
        <v>107</v>
      </c>
      <c r="C89" s="1049" t="s">
        <v>185</v>
      </c>
      <c r="D89" s="1049"/>
      <c r="E89" s="1049"/>
      <c r="F89" s="1049"/>
      <c r="G89" s="1049"/>
      <c r="H89" s="1049"/>
      <c r="I89" s="1049"/>
      <c r="J89" s="1049"/>
      <c r="K89" s="1049"/>
      <c r="L89" s="1049"/>
      <c r="M89" s="692"/>
    </row>
    <row r="90" spans="1:17">
      <c r="A90" s="244" t="s">
        <v>108</v>
      </c>
      <c r="C90" s="1044" t="s">
        <v>983</v>
      </c>
      <c r="D90" s="1044"/>
      <c r="E90" s="1044"/>
      <c r="F90" s="1044"/>
      <c r="G90" s="1044"/>
      <c r="H90" s="1044"/>
      <c r="I90" s="1044"/>
      <c r="J90" s="1044"/>
      <c r="K90" s="1044"/>
      <c r="L90" s="1044"/>
      <c r="M90" s="691"/>
    </row>
    <row r="91" spans="1:17">
      <c r="A91" s="244" t="s">
        <v>109</v>
      </c>
      <c r="C91" s="186" t="s">
        <v>916</v>
      </c>
    </row>
    <row r="92" spans="1:17">
      <c r="A92" s="244" t="s">
        <v>110</v>
      </c>
      <c r="C92" s="186" t="s">
        <v>910</v>
      </c>
    </row>
    <row r="93" spans="1:17">
      <c r="A93" s="244" t="s">
        <v>112</v>
      </c>
      <c r="C93" s="186" t="s">
        <v>343</v>
      </c>
      <c r="D93" s="233"/>
      <c r="E93" s="244"/>
      <c r="F93" s="244"/>
      <c r="G93" s="235"/>
      <c r="J93" s="278"/>
    </row>
    <row r="94" spans="1:17">
      <c r="A94" s="233"/>
      <c r="C94" s="295"/>
      <c r="D94" s="233"/>
      <c r="E94" s="244"/>
      <c r="F94" s="244"/>
      <c r="G94" s="235"/>
      <c r="J94" s="278"/>
    </row>
    <row r="95" spans="1:17">
      <c r="C95" s="171"/>
      <c r="D95" s="171"/>
      <c r="E95" s="171"/>
      <c r="F95" s="171"/>
      <c r="G95" s="171"/>
      <c r="H95" s="171"/>
      <c r="I95" s="171"/>
      <c r="J95" s="171"/>
      <c r="K95" s="171"/>
      <c r="L95" s="171"/>
      <c r="M95" s="171"/>
    </row>
    <row r="96" spans="1:17">
      <c r="C96" s="171"/>
      <c r="D96" s="171"/>
      <c r="E96" s="171"/>
      <c r="F96" s="171"/>
      <c r="G96" s="171"/>
      <c r="H96" s="171"/>
      <c r="I96" s="171"/>
      <c r="J96" s="171"/>
      <c r="K96" s="171"/>
      <c r="L96" s="171"/>
      <c r="M96" s="171"/>
    </row>
    <row r="97" spans="3:13">
      <c r="C97" s="171"/>
      <c r="D97" s="171"/>
      <c r="E97" s="171"/>
      <c r="F97" s="171"/>
      <c r="G97" s="171"/>
      <c r="H97" s="171"/>
      <c r="I97" s="171"/>
      <c r="J97" s="171"/>
      <c r="K97" s="171"/>
      <c r="L97" s="171"/>
      <c r="M97" s="171"/>
    </row>
    <row r="98" spans="3:13">
      <c r="C98" s="171"/>
      <c r="D98" s="171"/>
      <c r="E98" s="171"/>
      <c r="F98" s="171"/>
      <c r="G98" s="171"/>
      <c r="H98" s="171"/>
      <c r="I98" s="171"/>
      <c r="J98" s="171"/>
      <c r="K98" s="171"/>
      <c r="L98" s="171"/>
      <c r="M98" s="171"/>
    </row>
    <row r="99" spans="3:13">
      <c r="C99" s="171"/>
      <c r="D99" s="171"/>
      <c r="E99" s="171"/>
      <c r="F99" s="171"/>
      <c r="G99" s="171"/>
      <c r="H99" s="171"/>
      <c r="I99" s="171"/>
      <c r="J99" s="171"/>
      <c r="K99" s="171"/>
      <c r="L99" s="171"/>
      <c r="M99" s="171"/>
    </row>
    <row r="100" spans="3:13">
      <c r="C100" s="171"/>
      <c r="D100" s="171"/>
      <c r="E100" s="171"/>
      <c r="F100" s="171"/>
      <c r="G100" s="171"/>
      <c r="H100" s="171"/>
      <c r="I100" s="171"/>
      <c r="J100" s="171"/>
      <c r="K100" s="171"/>
      <c r="L100" s="171"/>
      <c r="M100" s="171"/>
    </row>
    <row r="101" spans="3:13">
      <c r="C101" s="171"/>
      <c r="D101" s="171"/>
      <c r="E101" s="171"/>
      <c r="F101" s="171"/>
      <c r="G101" s="171"/>
      <c r="H101" s="171"/>
      <c r="I101" s="171"/>
      <c r="J101" s="171"/>
      <c r="K101" s="171"/>
      <c r="L101" s="171"/>
      <c r="M101" s="171"/>
    </row>
    <row r="102" spans="3:13">
      <c r="C102" s="171"/>
      <c r="D102" s="171"/>
      <c r="E102" s="171"/>
      <c r="F102" s="171"/>
      <c r="G102" s="171"/>
      <c r="H102" s="171"/>
      <c r="I102" s="171"/>
      <c r="J102" s="171"/>
      <c r="K102" s="171"/>
      <c r="L102" s="171"/>
      <c r="M102" s="171"/>
    </row>
    <row r="103" spans="3:13">
      <c r="C103" s="171"/>
      <c r="D103" s="171"/>
      <c r="E103" s="171"/>
      <c r="F103" s="171"/>
      <c r="G103" s="171"/>
      <c r="H103" s="171"/>
      <c r="I103" s="171"/>
      <c r="J103" s="171"/>
      <c r="K103" s="171"/>
      <c r="L103" s="171"/>
      <c r="M103" s="171"/>
    </row>
    <row r="104" spans="3:13">
      <c r="C104" s="171"/>
      <c r="D104" s="171"/>
      <c r="E104" s="171"/>
      <c r="F104" s="171"/>
      <c r="G104" s="171"/>
      <c r="H104" s="171"/>
      <c r="I104" s="171"/>
      <c r="J104" s="171"/>
      <c r="K104" s="171"/>
      <c r="L104" s="171"/>
      <c r="M104" s="171"/>
    </row>
    <row r="105" spans="3:13">
      <c r="C105" s="171"/>
      <c r="D105" s="171"/>
      <c r="E105" s="171"/>
      <c r="F105" s="171"/>
      <c r="G105" s="171"/>
      <c r="H105" s="171"/>
      <c r="I105" s="171"/>
      <c r="J105" s="171"/>
      <c r="K105" s="171"/>
      <c r="L105" s="171"/>
      <c r="M105" s="171"/>
    </row>
    <row r="106" spans="3:13">
      <c r="C106" s="171"/>
      <c r="D106" s="171"/>
      <c r="E106" s="171"/>
      <c r="F106" s="171"/>
      <c r="G106" s="171"/>
      <c r="H106" s="171"/>
      <c r="I106" s="171"/>
      <c r="J106" s="171"/>
      <c r="K106" s="171"/>
      <c r="L106" s="171"/>
      <c r="M106" s="171"/>
    </row>
    <row r="107" spans="3:13">
      <c r="C107" s="171"/>
      <c r="D107" s="171"/>
      <c r="E107" s="171"/>
      <c r="F107" s="171"/>
      <c r="G107" s="171"/>
      <c r="H107" s="171"/>
      <c r="I107" s="171"/>
      <c r="J107" s="171"/>
      <c r="K107" s="171"/>
      <c r="L107" s="171"/>
      <c r="M107" s="171"/>
    </row>
    <row r="108" spans="3:13">
      <c r="C108" s="171"/>
      <c r="D108" s="171"/>
      <c r="E108" s="171"/>
      <c r="F108" s="171"/>
      <c r="G108" s="171"/>
      <c r="H108" s="171"/>
      <c r="I108" s="171"/>
      <c r="J108" s="171"/>
      <c r="K108" s="171"/>
      <c r="L108" s="171"/>
      <c r="M108" s="171"/>
    </row>
    <row r="109" spans="3:13">
      <c r="C109" s="171"/>
      <c r="D109" s="171"/>
      <c r="E109" s="171"/>
      <c r="F109" s="171"/>
      <c r="G109" s="171"/>
      <c r="H109" s="171"/>
      <c r="I109" s="171"/>
      <c r="J109" s="171"/>
      <c r="K109" s="171"/>
      <c r="L109" s="171"/>
      <c r="M109" s="171"/>
    </row>
    <row r="110" spans="3:13">
      <c r="C110" s="171"/>
      <c r="D110" s="171"/>
      <c r="E110" s="171"/>
      <c r="F110" s="171"/>
      <c r="G110" s="171"/>
      <c r="H110" s="171"/>
      <c r="I110" s="171"/>
      <c r="J110" s="171"/>
      <c r="K110" s="171"/>
      <c r="L110" s="171"/>
      <c r="M110" s="171"/>
    </row>
    <row r="111" spans="3:13">
      <c r="C111" s="171"/>
      <c r="D111" s="171"/>
      <c r="E111" s="171"/>
      <c r="F111" s="171"/>
      <c r="G111" s="171"/>
      <c r="H111" s="171"/>
      <c r="I111" s="171"/>
      <c r="J111" s="171"/>
      <c r="K111" s="171"/>
      <c r="L111" s="171"/>
      <c r="M111" s="171"/>
    </row>
    <row r="112" spans="3:13">
      <c r="C112" s="171"/>
      <c r="D112" s="171"/>
      <c r="E112" s="171"/>
      <c r="F112" s="171"/>
      <c r="G112" s="171"/>
      <c r="H112" s="171"/>
      <c r="I112" s="171"/>
      <c r="J112" s="171"/>
      <c r="K112" s="171"/>
      <c r="L112" s="171"/>
      <c r="M112" s="171"/>
    </row>
    <row r="113" spans="3:13">
      <c r="C113" s="171"/>
      <c r="D113" s="171"/>
      <c r="E113" s="171"/>
      <c r="F113" s="171"/>
      <c r="G113" s="171"/>
      <c r="H113" s="171"/>
      <c r="I113" s="171"/>
      <c r="J113" s="171"/>
      <c r="K113" s="171"/>
      <c r="L113" s="171"/>
      <c r="M113" s="171"/>
    </row>
    <row r="114" spans="3:13">
      <c r="C114" s="171"/>
      <c r="D114" s="171"/>
      <c r="E114" s="171"/>
      <c r="F114" s="171"/>
      <c r="G114" s="171"/>
      <c r="H114" s="171"/>
      <c r="I114" s="171"/>
      <c r="J114" s="171"/>
      <c r="K114" s="171"/>
      <c r="L114" s="171"/>
      <c r="M114" s="171"/>
    </row>
    <row r="115" spans="3:13">
      <c r="C115" s="171"/>
      <c r="D115" s="171"/>
      <c r="E115" s="171"/>
      <c r="F115" s="171"/>
      <c r="G115" s="171"/>
      <c r="H115" s="171"/>
      <c r="I115" s="171"/>
      <c r="J115" s="171"/>
      <c r="K115" s="171"/>
      <c r="L115" s="171"/>
      <c r="M115" s="171"/>
    </row>
    <row r="116" spans="3:13">
      <c r="C116" s="171"/>
      <c r="D116" s="171"/>
      <c r="E116" s="171"/>
      <c r="F116" s="171"/>
      <c r="G116" s="171"/>
      <c r="H116" s="171"/>
      <c r="I116" s="171"/>
      <c r="J116" s="171"/>
      <c r="K116" s="171"/>
      <c r="L116" s="171"/>
      <c r="M116" s="171"/>
    </row>
    <row r="117" spans="3:13">
      <c r="C117" s="171"/>
      <c r="D117" s="171"/>
      <c r="E117" s="171"/>
      <c r="F117" s="171"/>
      <c r="G117" s="171"/>
      <c r="H117" s="171"/>
      <c r="I117" s="171"/>
      <c r="J117" s="171"/>
      <c r="K117" s="171"/>
      <c r="L117" s="171"/>
      <c r="M117" s="171"/>
    </row>
    <row r="118" spans="3:13">
      <c r="C118" s="171"/>
      <c r="D118" s="171"/>
      <c r="E118" s="171"/>
      <c r="F118" s="171"/>
      <c r="G118" s="171"/>
      <c r="H118" s="171"/>
      <c r="I118" s="171"/>
      <c r="J118" s="171"/>
      <c r="K118" s="171"/>
      <c r="L118" s="171"/>
      <c r="M118" s="171"/>
    </row>
    <row r="119" spans="3:13">
      <c r="C119" s="171"/>
      <c r="D119" s="171"/>
      <c r="E119" s="171"/>
      <c r="F119" s="171"/>
      <c r="G119" s="171"/>
      <c r="H119" s="171"/>
      <c r="I119" s="171"/>
      <c r="J119" s="171"/>
      <c r="K119" s="171"/>
      <c r="L119" s="171"/>
      <c r="M119" s="171"/>
    </row>
    <row r="120" spans="3:13">
      <c r="C120" s="171"/>
      <c r="D120" s="171"/>
      <c r="E120" s="171"/>
      <c r="F120" s="171"/>
      <c r="G120" s="171"/>
      <c r="H120" s="171"/>
      <c r="I120" s="171"/>
      <c r="J120" s="171"/>
      <c r="K120" s="171"/>
      <c r="L120" s="171"/>
      <c r="M120" s="171"/>
    </row>
    <row r="121" spans="3:13">
      <c r="C121" s="171"/>
      <c r="D121" s="171"/>
      <c r="E121" s="171"/>
      <c r="F121" s="171"/>
      <c r="G121" s="171"/>
      <c r="H121" s="171"/>
      <c r="I121" s="171"/>
      <c r="J121" s="171"/>
      <c r="K121" s="171"/>
      <c r="L121" s="171"/>
      <c r="M121" s="171"/>
    </row>
    <row r="122" spans="3:13">
      <c r="C122" s="171"/>
      <c r="D122" s="171"/>
      <c r="E122" s="171"/>
      <c r="F122" s="171"/>
      <c r="G122" s="171"/>
      <c r="H122" s="171"/>
      <c r="I122" s="171"/>
      <c r="J122" s="171"/>
      <c r="K122" s="171"/>
      <c r="L122" s="171"/>
      <c r="M122" s="171"/>
    </row>
    <row r="123" spans="3:13">
      <c r="C123" s="171"/>
      <c r="D123" s="171"/>
      <c r="E123" s="171"/>
      <c r="F123" s="171"/>
      <c r="G123" s="171"/>
      <c r="H123" s="171"/>
      <c r="I123" s="171"/>
      <c r="J123" s="171"/>
      <c r="K123" s="171"/>
      <c r="L123" s="171"/>
      <c r="M123" s="171"/>
    </row>
    <row r="124" spans="3:13">
      <c r="C124" s="171"/>
      <c r="D124" s="171"/>
      <c r="E124" s="171"/>
      <c r="F124" s="171"/>
      <c r="G124" s="171"/>
      <c r="H124" s="171"/>
      <c r="I124" s="171"/>
      <c r="J124" s="171"/>
      <c r="K124" s="171"/>
      <c r="L124" s="171"/>
      <c r="M124" s="171"/>
    </row>
    <row r="125" spans="3:13">
      <c r="C125" s="171"/>
      <c r="D125" s="171"/>
      <c r="E125" s="171"/>
      <c r="F125" s="171"/>
      <c r="G125" s="171"/>
      <c r="H125" s="171"/>
      <c r="I125" s="171"/>
      <c r="J125" s="171"/>
      <c r="K125" s="171"/>
      <c r="L125" s="171"/>
      <c r="M125" s="171"/>
    </row>
    <row r="126" spans="3:13">
      <c r="C126" s="171"/>
      <c r="D126" s="171"/>
      <c r="E126" s="171"/>
      <c r="F126" s="171"/>
      <c r="G126" s="171"/>
      <c r="H126" s="171"/>
      <c r="I126" s="171"/>
      <c r="J126" s="171"/>
      <c r="K126" s="171"/>
      <c r="L126" s="171"/>
      <c r="M126" s="171"/>
    </row>
    <row r="127" spans="3:13">
      <c r="C127" s="171"/>
      <c r="D127" s="171"/>
      <c r="E127" s="171"/>
      <c r="F127" s="171"/>
      <c r="G127" s="171"/>
      <c r="H127" s="171"/>
      <c r="I127" s="171"/>
      <c r="J127" s="171"/>
      <c r="K127" s="171"/>
      <c r="L127" s="171"/>
      <c r="M127" s="171"/>
    </row>
    <row r="128" spans="3:13">
      <c r="C128" s="171"/>
      <c r="D128" s="171"/>
      <c r="E128" s="171"/>
      <c r="F128" s="171"/>
      <c r="G128" s="171"/>
      <c r="H128" s="171"/>
      <c r="I128" s="171"/>
      <c r="J128" s="171"/>
      <c r="K128" s="171"/>
      <c r="L128" s="171"/>
      <c r="M128" s="171"/>
    </row>
    <row r="129" spans="3:13">
      <c r="C129" s="171"/>
      <c r="D129" s="171"/>
      <c r="E129" s="171"/>
      <c r="F129" s="171"/>
      <c r="G129" s="171"/>
      <c r="H129" s="171"/>
      <c r="I129" s="171"/>
      <c r="J129" s="171"/>
      <c r="K129" s="171"/>
      <c r="L129" s="171"/>
      <c r="M129" s="171"/>
    </row>
    <row r="130" spans="3:13">
      <c r="C130" s="171"/>
      <c r="D130" s="171"/>
      <c r="E130" s="171"/>
      <c r="F130" s="171"/>
      <c r="G130" s="171"/>
      <c r="H130" s="171"/>
      <c r="I130" s="171"/>
      <c r="J130" s="171"/>
      <c r="K130" s="171"/>
      <c r="L130" s="171"/>
      <c r="M130" s="171"/>
    </row>
    <row r="131" spans="3:13">
      <c r="C131" s="171"/>
      <c r="D131" s="171"/>
      <c r="E131" s="171"/>
      <c r="F131" s="171"/>
      <c r="G131" s="171"/>
      <c r="H131" s="171"/>
      <c r="I131" s="171"/>
      <c r="J131" s="171"/>
      <c r="K131" s="171"/>
      <c r="L131" s="171"/>
      <c r="M131" s="171"/>
    </row>
    <row r="132" spans="3:13">
      <c r="C132" s="171"/>
      <c r="D132" s="171"/>
      <c r="E132" s="171"/>
      <c r="F132" s="171"/>
      <c r="G132" s="171"/>
      <c r="H132" s="171"/>
      <c r="I132" s="171"/>
      <c r="J132" s="171"/>
      <c r="K132" s="171"/>
      <c r="L132" s="171"/>
      <c r="M132" s="171"/>
    </row>
    <row r="133" spans="3:13">
      <c r="C133" s="171"/>
      <c r="D133" s="171"/>
      <c r="E133" s="171"/>
      <c r="F133" s="171"/>
      <c r="G133" s="171"/>
      <c r="H133" s="171"/>
      <c r="I133" s="171"/>
      <c r="J133" s="171"/>
      <c r="K133" s="171"/>
      <c r="L133" s="171"/>
      <c r="M133" s="171"/>
    </row>
    <row r="134" spans="3:13">
      <c r="C134" s="171"/>
      <c r="D134" s="171"/>
      <c r="E134" s="171"/>
      <c r="F134" s="171"/>
      <c r="G134" s="171"/>
      <c r="H134" s="171"/>
      <c r="I134" s="171"/>
      <c r="J134" s="171"/>
      <c r="K134" s="171"/>
      <c r="L134" s="171"/>
      <c r="M134" s="171"/>
    </row>
    <row r="135" spans="3:13">
      <c r="C135" s="171"/>
      <c r="D135" s="171"/>
      <c r="E135" s="171"/>
      <c r="F135" s="171"/>
      <c r="G135" s="171"/>
      <c r="H135" s="171"/>
      <c r="I135" s="171"/>
      <c r="J135" s="171"/>
      <c r="K135" s="171"/>
      <c r="L135" s="171"/>
      <c r="M135" s="171"/>
    </row>
    <row r="136" spans="3:13">
      <c r="C136" s="171"/>
      <c r="D136" s="171"/>
      <c r="E136" s="171"/>
      <c r="F136" s="171"/>
      <c r="G136" s="171"/>
      <c r="H136" s="171"/>
      <c r="I136" s="171"/>
      <c r="J136" s="171"/>
      <c r="K136" s="171"/>
      <c r="L136" s="171"/>
      <c r="M136" s="171"/>
    </row>
    <row r="137" spans="3:13">
      <c r="C137" s="171"/>
      <c r="D137" s="171"/>
      <c r="E137" s="171"/>
      <c r="F137" s="171"/>
      <c r="G137" s="171"/>
      <c r="H137" s="171"/>
      <c r="I137" s="171"/>
      <c r="J137" s="171"/>
      <c r="K137" s="171"/>
      <c r="L137" s="171"/>
      <c r="M137" s="171"/>
    </row>
    <row r="138" spans="3:13">
      <c r="C138" s="171"/>
      <c r="D138" s="171"/>
      <c r="E138" s="171"/>
      <c r="F138" s="171"/>
      <c r="G138" s="171"/>
      <c r="H138" s="171"/>
      <c r="I138" s="171"/>
      <c r="J138" s="171"/>
      <c r="K138" s="171"/>
      <c r="L138" s="171"/>
      <c r="M138" s="171"/>
    </row>
    <row r="139" spans="3:13">
      <c r="C139" s="171"/>
      <c r="D139" s="171"/>
      <c r="E139" s="171"/>
      <c r="F139" s="171"/>
      <c r="G139" s="171"/>
      <c r="H139" s="171"/>
      <c r="I139" s="171"/>
      <c r="J139" s="171"/>
      <c r="K139" s="171"/>
      <c r="L139" s="171"/>
      <c r="M139" s="171"/>
    </row>
    <row r="140" spans="3:13">
      <c r="C140" s="171"/>
      <c r="D140" s="171"/>
      <c r="E140" s="171"/>
      <c r="F140" s="171"/>
      <c r="G140" s="171"/>
      <c r="H140" s="171"/>
      <c r="I140" s="171"/>
      <c r="J140" s="171"/>
      <c r="K140" s="171"/>
      <c r="L140" s="171"/>
      <c r="M140" s="171"/>
    </row>
    <row r="141" spans="3:13">
      <c r="C141" s="171"/>
      <c r="D141" s="171"/>
      <c r="E141" s="171"/>
      <c r="F141" s="171"/>
      <c r="G141" s="171"/>
      <c r="H141" s="171"/>
      <c r="I141" s="171"/>
      <c r="J141" s="171"/>
      <c r="K141" s="171"/>
      <c r="L141" s="171"/>
      <c r="M141" s="171"/>
    </row>
    <row r="142" spans="3:13">
      <c r="C142" s="171"/>
      <c r="D142" s="171"/>
      <c r="E142" s="171"/>
      <c r="F142" s="171"/>
      <c r="G142" s="171"/>
      <c r="H142" s="171"/>
      <c r="I142" s="171"/>
      <c r="J142" s="171"/>
      <c r="K142" s="171"/>
      <c r="L142" s="171"/>
      <c r="M142" s="171"/>
    </row>
    <row r="143" spans="3:13">
      <c r="C143" s="171"/>
      <c r="D143" s="171"/>
      <c r="E143" s="171"/>
      <c r="F143" s="171"/>
      <c r="G143" s="171"/>
      <c r="H143" s="171"/>
      <c r="I143" s="171"/>
      <c r="J143" s="171"/>
      <c r="K143" s="171"/>
      <c r="L143" s="171"/>
      <c r="M143" s="171"/>
    </row>
    <row r="144" spans="3:13">
      <c r="C144" s="171"/>
      <c r="D144" s="171"/>
      <c r="E144" s="171"/>
      <c r="F144" s="171"/>
      <c r="G144" s="171"/>
      <c r="H144" s="171"/>
      <c r="I144" s="171"/>
      <c r="J144" s="171"/>
      <c r="K144" s="171"/>
      <c r="L144" s="171"/>
      <c r="M144" s="171"/>
    </row>
    <row r="145" spans="3:13">
      <c r="C145" s="171"/>
      <c r="D145" s="171"/>
      <c r="E145" s="171"/>
      <c r="F145" s="171"/>
      <c r="G145" s="171"/>
      <c r="H145" s="171"/>
      <c r="I145" s="171"/>
      <c r="J145" s="171"/>
      <c r="K145" s="171"/>
      <c r="L145" s="171"/>
      <c r="M145" s="171"/>
    </row>
    <row r="146" spans="3:13">
      <c r="C146" s="171"/>
      <c r="D146" s="171"/>
      <c r="E146" s="171"/>
      <c r="F146" s="171"/>
      <c r="G146" s="171"/>
      <c r="H146" s="171"/>
      <c r="I146" s="171"/>
      <c r="J146" s="171"/>
      <c r="K146" s="171"/>
      <c r="L146" s="171"/>
      <c r="M146" s="171"/>
    </row>
    <row r="147" spans="3:13">
      <c r="C147" s="171"/>
      <c r="D147" s="171"/>
      <c r="E147" s="171"/>
      <c r="F147" s="171"/>
      <c r="G147" s="171"/>
      <c r="H147" s="171"/>
      <c r="I147" s="171"/>
      <c r="J147" s="171"/>
      <c r="K147" s="171"/>
      <c r="L147" s="171"/>
      <c r="M147" s="171"/>
    </row>
    <row r="148" spans="3:13">
      <c r="C148" s="171"/>
      <c r="D148" s="171"/>
      <c r="E148" s="171"/>
      <c r="F148" s="171"/>
      <c r="G148" s="171"/>
      <c r="H148" s="171"/>
      <c r="I148" s="171"/>
      <c r="J148" s="171"/>
      <c r="K148" s="171"/>
      <c r="L148" s="171"/>
      <c r="M148" s="171"/>
    </row>
    <row r="149" spans="3:13">
      <c r="C149" s="171"/>
      <c r="D149" s="171"/>
      <c r="E149" s="171"/>
      <c r="F149" s="171"/>
      <c r="G149" s="171"/>
      <c r="H149" s="171"/>
      <c r="I149" s="171"/>
      <c r="J149" s="171"/>
      <c r="K149" s="171"/>
      <c r="L149" s="171"/>
      <c r="M149" s="171"/>
    </row>
    <row r="150" spans="3:13">
      <c r="C150" s="171"/>
      <c r="D150" s="171"/>
      <c r="E150" s="171"/>
      <c r="F150" s="171"/>
      <c r="G150" s="171"/>
      <c r="H150" s="171"/>
      <c r="I150" s="171"/>
      <c r="J150" s="171"/>
      <c r="K150" s="171"/>
      <c r="L150" s="171"/>
      <c r="M150" s="171"/>
    </row>
    <row r="151" spans="3:13">
      <c r="C151" s="171"/>
      <c r="D151" s="171"/>
      <c r="E151" s="171"/>
      <c r="F151" s="171"/>
      <c r="G151" s="171"/>
      <c r="H151" s="171"/>
      <c r="I151" s="171"/>
      <c r="J151" s="171"/>
      <c r="K151" s="171"/>
      <c r="L151" s="171"/>
      <c r="M151" s="171"/>
    </row>
    <row r="152" spans="3:13">
      <c r="C152" s="171"/>
      <c r="D152" s="171"/>
      <c r="E152" s="171"/>
      <c r="F152" s="171"/>
      <c r="G152" s="171"/>
      <c r="H152" s="171"/>
      <c r="I152" s="171"/>
      <c r="J152" s="171"/>
      <c r="K152" s="171"/>
      <c r="L152" s="171"/>
      <c r="M152" s="171"/>
    </row>
    <row r="153" spans="3:13">
      <c r="C153" s="171"/>
      <c r="D153" s="171"/>
      <c r="E153" s="171"/>
      <c r="F153" s="171"/>
      <c r="G153" s="171"/>
      <c r="H153" s="171"/>
      <c r="I153" s="171"/>
      <c r="J153" s="171"/>
      <c r="K153" s="171"/>
      <c r="L153" s="171"/>
      <c r="M153" s="171"/>
    </row>
    <row r="154" spans="3:13">
      <c r="C154" s="171"/>
      <c r="D154" s="171"/>
      <c r="E154" s="171"/>
      <c r="F154" s="171"/>
      <c r="G154" s="171"/>
      <c r="H154" s="171"/>
      <c r="I154" s="171"/>
      <c r="J154" s="171"/>
      <c r="K154" s="171"/>
      <c r="L154" s="171"/>
      <c r="M154" s="171"/>
    </row>
    <row r="155" spans="3:13">
      <c r="C155" s="171"/>
      <c r="D155" s="171"/>
      <c r="E155" s="171"/>
      <c r="F155" s="171"/>
      <c r="G155" s="171"/>
      <c r="H155" s="171"/>
      <c r="I155" s="171"/>
      <c r="J155" s="171"/>
      <c r="K155" s="171"/>
      <c r="L155" s="171"/>
      <c r="M155" s="171"/>
    </row>
    <row r="156" spans="3:13">
      <c r="C156" s="171"/>
      <c r="D156" s="171"/>
      <c r="E156" s="171"/>
      <c r="F156" s="171"/>
      <c r="G156" s="171"/>
      <c r="H156" s="171"/>
      <c r="I156" s="171"/>
      <c r="J156" s="171"/>
      <c r="K156" s="171"/>
      <c r="L156" s="171"/>
      <c r="M156" s="171"/>
    </row>
    <row r="157" spans="3:13">
      <c r="C157" s="171"/>
      <c r="D157" s="171"/>
      <c r="E157" s="171"/>
      <c r="F157" s="171"/>
      <c r="G157" s="171"/>
      <c r="H157" s="171"/>
      <c r="I157" s="171"/>
      <c r="J157" s="171"/>
      <c r="K157" s="171"/>
      <c r="L157" s="171"/>
      <c r="M157" s="171"/>
    </row>
    <row r="158" spans="3:13">
      <c r="C158" s="171"/>
      <c r="D158" s="171"/>
      <c r="E158" s="171"/>
      <c r="F158" s="171"/>
      <c r="G158" s="171"/>
      <c r="H158" s="171"/>
      <c r="I158" s="171"/>
      <c r="J158" s="171"/>
      <c r="K158" s="171"/>
      <c r="L158" s="171"/>
      <c r="M158" s="171"/>
    </row>
    <row r="159" spans="3:13">
      <c r="C159" s="171"/>
      <c r="D159" s="171"/>
      <c r="E159" s="171"/>
      <c r="F159" s="171"/>
      <c r="G159" s="171"/>
      <c r="H159" s="171"/>
      <c r="I159" s="171"/>
      <c r="J159" s="171"/>
      <c r="K159" s="171"/>
      <c r="L159" s="171"/>
      <c r="M159" s="171"/>
    </row>
    <row r="160" spans="3:13">
      <c r="C160" s="171"/>
      <c r="D160" s="171"/>
      <c r="E160" s="171"/>
      <c r="F160" s="171"/>
      <c r="G160" s="171"/>
      <c r="H160" s="171"/>
      <c r="I160" s="171"/>
      <c r="J160" s="171"/>
      <c r="K160" s="171"/>
      <c r="L160" s="171"/>
      <c r="M160" s="171"/>
    </row>
    <row r="161" spans="3:13">
      <c r="C161" s="171"/>
      <c r="D161" s="171"/>
      <c r="E161" s="171"/>
      <c r="F161" s="171"/>
      <c r="G161" s="171"/>
      <c r="H161" s="171"/>
      <c r="I161" s="171"/>
      <c r="J161" s="171"/>
      <c r="K161" s="171"/>
      <c r="L161" s="171"/>
      <c r="M161" s="171"/>
    </row>
    <row r="162" spans="3:13">
      <c r="C162" s="171"/>
      <c r="D162" s="171"/>
      <c r="E162" s="171"/>
      <c r="F162" s="171"/>
      <c r="G162" s="171"/>
      <c r="H162" s="171"/>
      <c r="I162" s="171"/>
      <c r="J162" s="171"/>
      <c r="K162" s="171"/>
      <c r="L162" s="171"/>
      <c r="M162" s="171"/>
    </row>
    <row r="163" spans="3:13">
      <c r="C163" s="171"/>
      <c r="D163" s="171"/>
      <c r="E163" s="171"/>
      <c r="F163" s="171"/>
      <c r="G163" s="171"/>
      <c r="H163" s="171"/>
      <c r="I163" s="171"/>
      <c r="J163" s="171"/>
      <c r="K163" s="171"/>
      <c r="L163" s="171"/>
      <c r="M163" s="171"/>
    </row>
    <row r="164" spans="3:13">
      <c r="C164" s="171"/>
      <c r="D164" s="171"/>
      <c r="E164" s="171"/>
      <c r="F164" s="171"/>
      <c r="G164" s="171"/>
      <c r="H164" s="171"/>
      <c r="I164" s="171"/>
      <c r="J164" s="171"/>
      <c r="K164" s="171"/>
      <c r="L164" s="171"/>
      <c r="M164" s="171"/>
    </row>
    <row r="165" spans="3:13">
      <c r="C165" s="171"/>
      <c r="D165" s="171"/>
      <c r="E165" s="171"/>
      <c r="F165" s="171"/>
      <c r="G165" s="171"/>
      <c r="H165" s="171"/>
      <c r="I165" s="171"/>
      <c r="J165" s="171"/>
      <c r="K165" s="171"/>
      <c r="L165" s="171"/>
      <c r="M165" s="171"/>
    </row>
    <row r="166" spans="3:13">
      <c r="C166" s="171"/>
      <c r="D166" s="171"/>
      <c r="E166" s="171"/>
      <c r="F166" s="171"/>
      <c r="G166" s="171"/>
      <c r="H166" s="171"/>
      <c r="I166" s="171"/>
      <c r="J166" s="171"/>
      <c r="K166" s="171"/>
      <c r="L166" s="171"/>
      <c r="M166" s="171"/>
    </row>
    <row r="167" spans="3:13">
      <c r="C167" s="171"/>
      <c r="D167" s="171"/>
      <c r="E167" s="171"/>
      <c r="F167" s="171"/>
      <c r="G167" s="171"/>
      <c r="H167" s="171"/>
      <c r="I167" s="171"/>
      <c r="J167" s="171"/>
      <c r="K167" s="171"/>
      <c r="L167" s="171"/>
      <c r="M167" s="171"/>
    </row>
    <row r="168" spans="3:13">
      <c r="C168" s="171"/>
      <c r="D168" s="171"/>
      <c r="E168" s="171"/>
      <c r="F168" s="171"/>
      <c r="G168" s="171"/>
      <c r="H168" s="171"/>
      <c r="I168" s="171"/>
      <c r="J168" s="171"/>
      <c r="K168" s="171"/>
      <c r="L168" s="171"/>
      <c r="M168" s="171"/>
    </row>
    <row r="169" spans="3:13">
      <c r="C169" s="171"/>
      <c r="D169" s="171"/>
      <c r="E169" s="171"/>
      <c r="F169" s="171"/>
      <c r="G169" s="171"/>
      <c r="H169" s="171"/>
      <c r="I169" s="171"/>
      <c r="J169" s="171"/>
      <c r="K169" s="171"/>
      <c r="L169" s="171"/>
      <c r="M169" s="171"/>
    </row>
    <row r="170" spans="3:13">
      <c r="C170" s="171"/>
      <c r="D170" s="171"/>
      <c r="E170" s="171"/>
      <c r="F170" s="171"/>
      <c r="G170" s="171"/>
      <c r="H170" s="171"/>
      <c r="I170" s="171"/>
      <c r="J170" s="171"/>
      <c r="K170" s="171"/>
      <c r="L170" s="171"/>
      <c r="M170" s="171"/>
    </row>
    <row r="171" spans="3:13">
      <c r="C171" s="171"/>
      <c r="D171" s="171"/>
      <c r="E171" s="171"/>
      <c r="F171" s="171"/>
      <c r="G171" s="171"/>
      <c r="H171" s="171"/>
      <c r="I171" s="171"/>
      <c r="J171" s="171"/>
      <c r="K171" s="171"/>
      <c r="L171" s="171"/>
      <c r="M171" s="171"/>
    </row>
    <row r="172" spans="3:13">
      <c r="C172" s="171"/>
      <c r="D172" s="171"/>
      <c r="E172" s="171"/>
      <c r="F172" s="171"/>
      <c r="G172" s="171"/>
      <c r="H172" s="171"/>
      <c r="I172" s="171"/>
      <c r="J172" s="171"/>
      <c r="K172" s="171"/>
      <c r="L172" s="171"/>
      <c r="M172" s="171"/>
    </row>
    <row r="173" spans="3:13">
      <c r="C173" s="171"/>
      <c r="D173" s="171"/>
      <c r="E173" s="171"/>
      <c r="F173" s="171"/>
      <c r="G173" s="171"/>
      <c r="H173" s="171"/>
      <c r="I173" s="171"/>
      <c r="J173" s="171"/>
      <c r="K173" s="171"/>
      <c r="L173" s="171"/>
      <c r="M173" s="171"/>
    </row>
    <row r="174" spans="3:13">
      <c r="C174" s="171"/>
      <c r="D174" s="171"/>
      <c r="E174" s="171"/>
      <c r="F174" s="171"/>
      <c r="G174" s="171"/>
      <c r="H174" s="171"/>
      <c r="I174" s="171"/>
      <c r="J174" s="171"/>
      <c r="K174" s="171"/>
      <c r="L174" s="171"/>
      <c r="M174" s="171"/>
    </row>
    <row r="175" spans="3:13">
      <c r="C175" s="171"/>
      <c r="D175" s="171"/>
      <c r="E175" s="171"/>
      <c r="F175" s="171"/>
      <c r="G175" s="171"/>
      <c r="H175" s="171"/>
      <c r="I175" s="171"/>
      <c r="J175" s="171"/>
      <c r="K175" s="171"/>
      <c r="L175" s="171"/>
      <c r="M175" s="171"/>
    </row>
    <row r="176" spans="3:13">
      <c r="C176" s="171"/>
      <c r="D176" s="171"/>
      <c r="E176" s="171"/>
      <c r="F176" s="171"/>
      <c r="G176" s="171"/>
      <c r="H176" s="171"/>
      <c r="I176" s="171"/>
      <c r="J176" s="171"/>
      <c r="K176" s="171"/>
      <c r="L176" s="171"/>
      <c r="M176" s="171"/>
    </row>
    <row r="177" spans="3:13">
      <c r="C177" s="171"/>
      <c r="D177" s="171"/>
      <c r="E177" s="171"/>
      <c r="F177" s="171"/>
      <c r="G177" s="171"/>
      <c r="H177" s="171"/>
      <c r="I177" s="171"/>
      <c r="J177" s="171"/>
      <c r="K177" s="171"/>
      <c r="L177" s="171"/>
      <c r="M177" s="171"/>
    </row>
    <row r="178" spans="3:13">
      <c r="C178" s="171"/>
      <c r="D178" s="171"/>
      <c r="E178" s="171"/>
      <c r="F178" s="171"/>
      <c r="G178" s="171"/>
      <c r="H178" s="171"/>
      <c r="I178" s="171"/>
      <c r="J178" s="171"/>
      <c r="K178" s="171"/>
      <c r="L178" s="171"/>
      <c r="M178" s="171"/>
    </row>
    <row r="179" spans="3:13">
      <c r="C179" s="171"/>
      <c r="D179" s="171"/>
      <c r="E179" s="171"/>
      <c r="F179" s="171"/>
      <c r="G179" s="171"/>
      <c r="H179" s="171"/>
      <c r="I179" s="171"/>
      <c r="J179" s="171"/>
      <c r="K179" s="171"/>
      <c r="L179" s="171"/>
      <c r="M179" s="171"/>
    </row>
    <row r="180" spans="3:13">
      <c r="C180" s="171"/>
      <c r="D180" s="171"/>
      <c r="E180" s="171"/>
      <c r="F180" s="171"/>
      <c r="G180" s="171"/>
      <c r="H180" s="171"/>
      <c r="I180" s="171"/>
      <c r="J180" s="171"/>
      <c r="K180" s="171"/>
      <c r="L180" s="171"/>
      <c r="M180" s="171"/>
    </row>
    <row r="181" spans="3:13">
      <c r="C181" s="171"/>
      <c r="D181" s="171"/>
      <c r="E181" s="171"/>
      <c r="F181" s="171"/>
      <c r="G181" s="171"/>
      <c r="H181" s="171"/>
      <c r="I181" s="171"/>
      <c r="J181" s="171"/>
      <c r="K181" s="171"/>
      <c r="L181" s="171"/>
      <c r="M181" s="171"/>
    </row>
    <row r="182" spans="3:13">
      <c r="C182" s="171"/>
      <c r="D182" s="171"/>
      <c r="E182" s="171"/>
      <c r="F182" s="171"/>
      <c r="G182" s="171"/>
      <c r="H182" s="171"/>
      <c r="I182" s="171"/>
      <c r="J182" s="171"/>
      <c r="K182" s="171"/>
      <c r="L182" s="171"/>
      <c r="M182" s="171"/>
    </row>
    <row r="183" spans="3:13">
      <c r="C183" s="171"/>
      <c r="D183" s="171"/>
      <c r="E183" s="171"/>
      <c r="F183" s="171"/>
      <c r="G183" s="171"/>
      <c r="H183" s="171"/>
      <c r="I183" s="171"/>
      <c r="J183" s="171"/>
      <c r="K183" s="171"/>
      <c r="L183" s="171"/>
      <c r="M183" s="171"/>
    </row>
    <row r="184" spans="3:13">
      <c r="C184" s="171"/>
      <c r="D184" s="171"/>
      <c r="E184" s="171"/>
      <c r="F184" s="171"/>
      <c r="G184" s="171"/>
      <c r="H184" s="171"/>
      <c r="I184" s="171"/>
      <c r="J184" s="171"/>
      <c r="K184" s="171"/>
      <c r="L184" s="171"/>
      <c r="M184" s="171"/>
    </row>
    <row r="185" spans="3:13">
      <c r="C185" s="171"/>
      <c r="D185" s="171"/>
      <c r="E185" s="171"/>
      <c r="F185" s="171"/>
      <c r="G185" s="171"/>
      <c r="H185" s="171"/>
      <c r="I185" s="171"/>
      <c r="J185" s="171"/>
      <c r="K185" s="171"/>
      <c r="L185" s="171"/>
      <c r="M185" s="171"/>
    </row>
    <row r="186" spans="3:13">
      <c r="C186" s="171"/>
      <c r="D186" s="171"/>
      <c r="E186" s="171"/>
      <c r="F186" s="171"/>
      <c r="G186" s="171"/>
      <c r="H186" s="171"/>
      <c r="I186" s="171"/>
      <c r="J186" s="171"/>
      <c r="K186" s="171"/>
      <c r="L186" s="171"/>
      <c r="M186" s="171"/>
    </row>
    <row r="187" spans="3:13">
      <c r="C187" s="171"/>
      <c r="D187" s="171"/>
      <c r="E187" s="171"/>
      <c r="F187" s="171"/>
      <c r="G187" s="171"/>
      <c r="H187" s="171"/>
      <c r="I187" s="171"/>
      <c r="J187" s="171"/>
      <c r="K187" s="171"/>
      <c r="L187" s="171"/>
      <c r="M187" s="171"/>
    </row>
    <row r="188" spans="3:13">
      <c r="C188" s="171"/>
      <c r="D188" s="171"/>
      <c r="E188" s="171"/>
      <c r="F188" s="171"/>
      <c r="G188" s="171"/>
      <c r="H188" s="171"/>
      <c r="I188" s="171"/>
      <c r="J188" s="171"/>
      <c r="K188" s="171"/>
      <c r="L188" s="171"/>
      <c r="M188" s="171"/>
    </row>
    <row r="189" spans="3:13">
      <c r="C189" s="171"/>
      <c r="D189" s="171"/>
      <c r="E189" s="171"/>
      <c r="F189" s="171"/>
      <c r="G189" s="171"/>
      <c r="H189" s="171"/>
      <c r="I189" s="171"/>
      <c r="J189" s="171"/>
      <c r="K189" s="171"/>
      <c r="L189" s="171"/>
      <c r="M189" s="171"/>
    </row>
    <row r="190" spans="3:13">
      <c r="C190" s="171"/>
      <c r="D190" s="171"/>
      <c r="E190" s="171"/>
      <c r="F190" s="171"/>
      <c r="G190" s="171"/>
      <c r="H190" s="171"/>
      <c r="I190" s="171"/>
      <c r="J190" s="171"/>
      <c r="K190" s="171"/>
      <c r="L190" s="171"/>
      <c r="M190" s="171"/>
    </row>
    <row r="191" spans="3:13">
      <c r="C191" s="171"/>
      <c r="D191" s="171"/>
      <c r="E191" s="171"/>
      <c r="F191" s="171"/>
      <c r="G191" s="171"/>
      <c r="H191" s="171"/>
      <c r="I191" s="171"/>
      <c r="J191" s="171"/>
      <c r="K191" s="171"/>
      <c r="L191" s="171"/>
      <c r="M191" s="171"/>
    </row>
    <row r="192" spans="3:13">
      <c r="C192" s="171"/>
      <c r="D192" s="171"/>
      <c r="E192" s="171"/>
      <c r="F192" s="171"/>
      <c r="G192" s="171"/>
      <c r="H192" s="171"/>
      <c r="I192" s="171"/>
      <c r="J192" s="171"/>
      <c r="K192" s="171"/>
      <c r="L192" s="171"/>
      <c r="M192" s="171"/>
    </row>
    <row r="193" spans="3:13">
      <c r="C193" s="171"/>
      <c r="D193" s="171"/>
      <c r="E193" s="171"/>
      <c r="F193" s="171"/>
      <c r="G193" s="171"/>
      <c r="H193" s="171"/>
      <c r="I193" s="171"/>
      <c r="J193" s="171"/>
      <c r="K193" s="171"/>
      <c r="L193" s="171"/>
      <c r="M193" s="171"/>
    </row>
    <row r="194" spans="3:13">
      <c r="C194" s="171"/>
      <c r="D194" s="171"/>
      <c r="E194" s="171"/>
      <c r="F194" s="171"/>
      <c r="G194" s="171"/>
      <c r="H194" s="171"/>
      <c r="I194" s="171"/>
      <c r="J194" s="171"/>
      <c r="K194" s="171"/>
      <c r="L194" s="171"/>
      <c r="M194" s="171"/>
    </row>
    <row r="195" spans="3:13">
      <c r="C195" s="171"/>
      <c r="D195" s="171"/>
      <c r="E195" s="171"/>
      <c r="F195" s="171"/>
      <c r="G195" s="171"/>
      <c r="H195" s="171"/>
      <c r="I195" s="171"/>
      <c r="J195" s="171"/>
      <c r="K195" s="171"/>
      <c r="L195" s="171"/>
      <c r="M195" s="171"/>
    </row>
    <row r="196" spans="3:13">
      <c r="C196" s="171"/>
      <c r="D196" s="171"/>
      <c r="E196" s="171"/>
      <c r="F196" s="171"/>
      <c r="G196" s="171"/>
      <c r="H196" s="171"/>
      <c r="I196" s="171"/>
      <c r="J196" s="171"/>
      <c r="K196" s="171"/>
      <c r="L196" s="171"/>
      <c r="M196" s="171"/>
    </row>
    <row r="197" spans="3:13">
      <c r="C197" s="171"/>
      <c r="D197" s="171"/>
      <c r="E197" s="171"/>
      <c r="F197" s="171"/>
      <c r="G197" s="171"/>
      <c r="H197" s="171"/>
      <c r="I197" s="171"/>
      <c r="J197" s="171"/>
      <c r="K197" s="171"/>
      <c r="L197" s="171"/>
      <c r="M197" s="171"/>
    </row>
    <row r="198" spans="3:13">
      <c r="C198" s="171"/>
      <c r="D198" s="171"/>
      <c r="E198" s="171"/>
      <c r="F198" s="171"/>
      <c r="G198" s="171"/>
      <c r="H198" s="171"/>
      <c r="I198" s="171"/>
      <c r="J198" s="171"/>
      <c r="K198" s="171"/>
      <c r="L198" s="171"/>
      <c r="M198" s="171"/>
    </row>
    <row r="199" spans="3:13">
      <c r="C199" s="171"/>
      <c r="D199" s="171"/>
      <c r="E199" s="171"/>
      <c r="F199" s="171"/>
      <c r="G199" s="171"/>
      <c r="H199" s="171"/>
      <c r="I199" s="171"/>
      <c r="J199" s="171"/>
      <c r="K199" s="171"/>
      <c r="L199" s="171"/>
      <c r="M199" s="171"/>
    </row>
    <row r="200" spans="3:13">
      <c r="C200" s="171"/>
      <c r="D200" s="171"/>
      <c r="E200" s="171"/>
      <c r="F200" s="171"/>
      <c r="G200" s="171"/>
      <c r="H200" s="171"/>
      <c r="I200" s="171"/>
      <c r="J200" s="171"/>
      <c r="K200" s="171"/>
      <c r="L200" s="171"/>
      <c r="M200" s="171"/>
    </row>
    <row r="201" spans="3:13">
      <c r="C201" s="171"/>
      <c r="D201" s="171"/>
      <c r="E201" s="171"/>
      <c r="F201" s="171"/>
      <c r="G201" s="171"/>
      <c r="H201" s="171"/>
      <c r="I201" s="171"/>
      <c r="J201" s="171"/>
      <c r="K201" s="171"/>
      <c r="L201" s="171"/>
      <c r="M201" s="171"/>
    </row>
    <row r="202" spans="3:13">
      <c r="C202" s="171"/>
      <c r="D202" s="171"/>
      <c r="E202" s="171"/>
      <c r="F202" s="171"/>
      <c r="G202" s="171"/>
      <c r="H202" s="171"/>
      <c r="I202" s="171"/>
      <c r="J202" s="171"/>
      <c r="K202" s="171"/>
      <c r="L202" s="171"/>
      <c r="M202" s="171"/>
    </row>
  </sheetData>
  <customSheetViews>
    <customSheetView guid="{E1861F40-EBD5-44AE-868B-FDE0ED504D72}" scale="65" showPageBreaks="1" printArea="1" view="pageBreakPreview" topLeftCell="A43">
      <selection activeCell="N56" sqref="N56"/>
      <rowBreaks count="1" manualBreakCount="1">
        <brk id="41" max="13" man="1"/>
      </rowBreaks>
      <pageMargins left="0.25" right="0.25" top="0.75" bottom="0.25" header="0.4" footer="0.5"/>
      <printOptions horizontalCentered="1"/>
      <pageSetup scale="51" fitToHeight="3" orientation="landscape" r:id="rId1"/>
      <headerFooter alignWithMargins="0"/>
    </customSheetView>
  </customSheetViews>
  <mergeCells count="11">
    <mergeCell ref="A5:O5"/>
    <mergeCell ref="A6:O6"/>
    <mergeCell ref="A7:L7"/>
    <mergeCell ref="C88:L88"/>
    <mergeCell ref="C89:L89"/>
    <mergeCell ref="K11:T11"/>
    <mergeCell ref="C90:L90"/>
    <mergeCell ref="C86:L86"/>
    <mergeCell ref="C87:L87"/>
    <mergeCell ref="A54:O54"/>
    <mergeCell ref="A55:O55"/>
  </mergeCells>
  <phoneticPr fontId="21" type="noConversion"/>
  <printOptions horizontalCentered="1"/>
  <pageMargins left="0.7" right="0.7" top="0.75" bottom="0.75" header="0.3" footer="0.3"/>
  <pageSetup scale="22" fitToHeight="0" orientation="landscape" r:id="rId2"/>
  <headerFooter alignWithMargins="0"/>
  <rowBreaks count="1" manualBreakCount="1">
    <brk id="46"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dimension ref="A1:AV31"/>
  <sheetViews>
    <sheetView view="pageBreakPreview" zoomScale="60" zoomScaleNormal="100" workbookViewId="0">
      <pane xSplit="4" ySplit="9" topLeftCell="E10" activePane="bottomRight" state="frozen"/>
      <selection pane="topRight" activeCell="E1" sqref="E1"/>
      <selection pane="bottomLeft" activeCell="A10" sqref="A10"/>
      <selection pane="bottomRight" sqref="A1:N1"/>
    </sheetView>
  </sheetViews>
  <sheetFormatPr defaultRowHeight="15"/>
  <cols>
    <col min="1" max="1" width="7.5546875" customWidth="1"/>
    <col min="2" max="2" width="2.5546875" customWidth="1"/>
    <col min="3" max="3" width="31.6640625" customWidth="1"/>
    <col min="4" max="4" width="14.44140625" customWidth="1"/>
    <col min="5" max="5" width="15.109375" customWidth="1"/>
    <col min="6" max="11" width="14.44140625" bestFit="1" customWidth="1"/>
    <col min="12" max="18" width="16" bestFit="1" customWidth="1"/>
    <col min="19" max="19" width="3.88671875" customWidth="1"/>
    <col min="20" max="20" width="15.33203125" bestFit="1" customWidth="1"/>
    <col min="21" max="21" width="15.44140625" customWidth="1"/>
    <col min="22" max="29" width="12.5546875" customWidth="1"/>
    <col min="30" max="30" width="14.88671875" customWidth="1"/>
    <col min="31" max="31" width="12.88671875" bestFit="1" customWidth="1"/>
    <col min="32" max="32" width="13.6640625" bestFit="1" customWidth="1"/>
    <col min="33" max="33" width="13.21875" bestFit="1" customWidth="1"/>
    <col min="34" max="34" width="3.88671875" customWidth="1"/>
    <col min="35" max="35" width="17" customWidth="1"/>
  </cols>
  <sheetData>
    <row r="1" spans="1:48" ht="15.75">
      <c r="A1" s="1026" t="s">
        <v>563</v>
      </c>
      <c r="B1" s="1026"/>
      <c r="C1" s="1026"/>
      <c r="D1" s="1026"/>
      <c r="E1" s="1026"/>
      <c r="F1" s="1026"/>
      <c r="G1" s="1026"/>
      <c r="H1" s="1026"/>
      <c r="I1" s="1026"/>
      <c r="J1" s="1026"/>
      <c r="K1" s="1026"/>
      <c r="L1" s="1026"/>
      <c r="M1" s="1026"/>
      <c r="N1" s="1026"/>
      <c r="O1" s="18"/>
      <c r="R1" s="3"/>
      <c r="S1" s="3" t="str">
        <f>'Attachment H-34A '!K1&amp;""&amp;", Attachment 11a"</f>
        <v>Attachment H-34A, Attachment 11a</v>
      </c>
      <c r="T1" s="1026" t="str">
        <f>A1</f>
        <v>TEC Worksheet Support</v>
      </c>
      <c r="U1" s="1026"/>
      <c r="V1" s="1026"/>
      <c r="W1" s="1026"/>
      <c r="X1" s="1026"/>
      <c r="Y1" s="1026"/>
      <c r="Z1" s="1026"/>
      <c r="AA1" s="1026"/>
      <c r="AB1" s="1026"/>
      <c r="AC1" s="1026"/>
      <c r="AD1" s="1026"/>
      <c r="AE1" s="1026"/>
      <c r="AF1" s="18"/>
      <c r="AG1" s="18"/>
      <c r="AH1" s="18"/>
      <c r="AI1" s="3" t="str">
        <f>S1</f>
        <v>Attachment H-34A, Attachment 11a</v>
      </c>
    </row>
    <row r="2" spans="1:48" ht="15.75">
      <c r="A2" s="1027" t="s">
        <v>342</v>
      </c>
      <c r="B2" s="1027"/>
      <c r="C2" s="1027"/>
      <c r="D2" s="1027"/>
      <c r="E2" s="1027"/>
      <c r="F2" s="1027"/>
      <c r="G2" s="1027"/>
      <c r="H2" s="1027"/>
      <c r="I2" s="1027"/>
      <c r="J2" s="1027"/>
      <c r="K2" s="1027"/>
      <c r="L2" s="1027"/>
      <c r="M2" s="1027"/>
      <c r="N2" s="1027"/>
      <c r="O2" s="190"/>
      <c r="R2" s="3"/>
      <c r="S2" s="3" t="s">
        <v>189</v>
      </c>
      <c r="T2" s="1027" t="s">
        <v>342</v>
      </c>
      <c r="U2" s="1027"/>
      <c r="V2" s="1027"/>
      <c r="W2" s="1027"/>
      <c r="X2" s="1027"/>
      <c r="Y2" s="1027"/>
      <c r="Z2" s="1027"/>
      <c r="AA2" s="1027"/>
      <c r="AB2" s="1027"/>
      <c r="AC2" s="1027"/>
      <c r="AD2" s="1027"/>
      <c r="AE2" s="1027"/>
      <c r="AF2" s="190"/>
      <c r="AG2" s="190"/>
      <c r="AH2" s="190"/>
      <c r="AI2" s="3" t="s">
        <v>192</v>
      </c>
    </row>
    <row r="3" spans="1:48" ht="15.75">
      <c r="A3" s="190"/>
      <c r="B3" s="191"/>
      <c r="C3" s="191"/>
      <c r="D3" s="191"/>
      <c r="E3" s="191"/>
      <c r="F3" s="191"/>
      <c r="G3" s="191"/>
      <c r="H3" s="191"/>
      <c r="I3" s="191"/>
      <c r="J3" s="191"/>
      <c r="K3" s="191"/>
      <c r="L3" s="191"/>
      <c r="M3" s="3"/>
      <c r="R3" s="3"/>
      <c r="S3" s="3" t="str">
        <f>'Attachment H-34A '!K4</f>
        <v>For the 12 months ended 12/31/2026</v>
      </c>
      <c r="AI3" s="3" t="str">
        <f>S3</f>
        <v>For the 12 months ended 12/31/2026</v>
      </c>
    </row>
    <row r="4" spans="1:48" ht="15.75">
      <c r="A4" s="190"/>
      <c r="B4" s="191"/>
      <c r="C4" s="191"/>
      <c r="D4" s="191"/>
      <c r="E4" s="191"/>
      <c r="F4" s="191"/>
      <c r="G4" s="191"/>
      <c r="H4" s="191"/>
      <c r="I4" s="191"/>
      <c r="J4" s="191"/>
      <c r="K4" s="191"/>
      <c r="L4" s="191"/>
      <c r="M4" s="3"/>
    </row>
    <row r="5" spans="1:48" ht="15.75">
      <c r="A5" s="190"/>
      <c r="B5" s="191"/>
      <c r="C5" s="191"/>
      <c r="D5" s="191"/>
      <c r="E5" s="191"/>
      <c r="F5" s="191"/>
      <c r="G5" s="191"/>
      <c r="H5" s="191"/>
      <c r="I5" s="191"/>
      <c r="J5" s="191"/>
      <c r="K5" s="191"/>
      <c r="L5" s="191"/>
      <c r="M5" s="3"/>
    </row>
    <row r="6" spans="1:48" ht="50.25" customHeight="1">
      <c r="A6" s="19" t="s">
        <v>177</v>
      </c>
      <c r="B6" s="20"/>
      <c r="C6" s="30" t="s">
        <v>178</v>
      </c>
      <c r="D6" s="21" t="s">
        <v>193</v>
      </c>
      <c r="E6" s="22" t="s">
        <v>280</v>
      </c>
      <c r="F6" s="398">
        <v>46011</v>
      </c>
      <c r="G6" s="192">
        <f>F6+31</f>
        <v>46042</v>
      </c>
      <c r="H6" s="192">
        <f>G6+31</f>
        <v>46073</v>
      </c>
      <c r="I6" s="192">
        <f>H6+31</f>
        <v>46104</v>
      </c>
      <c r="J6" s="192">
        <f>I6+31</f>
        <v>46135</v>
      </c>
      <c r="K6" s="192">
        <f t="shared" ref="K6:Q6" si="0">J6+31</f>
        <v>46166</v>
      </c>
      <c r="L6" s="192">
        <f t="shared" si="0"/>
        <v>46197</v>
      </c>
      <c r="M6" s="192">
        <f t="shared" si="0"/>
        <v>46228</v>
      </c>
      <c r="N6" s="192">
        <f t="shared" si="0"/>
        <v>46259</v>
      </c>
      <c r="O6" s="192">
        <f t="shared" si="0"/>
        <v>46290</v>
      </c>
      <c r="P6" s="192">
        <f t="shared" si="0"/>
        <v>46321</v>
      </c>
      <c r="Q6" s="192">
        <f t="shared" si="0"/>
        <v>46352</v>
      </c>
      <c r="R6" s="192">
        <f>Q6+31</f>
        <v>46383</v>
      </c>
      <c r="S6" s="192"/>
      <c r="T6" s="22" t="s">
        <v>340</v>
      </c>
      <c r="U6" s="192">
        <f>F6</f>
        <v>46011</v>
      </c>
      <c r="V6" s="192">
        <f t="shared" ref="V6:AG6" si="1">G6</f>
        <v>46042</v>
      </c>
      <c r="W6" s="192">
        <f t="shared" si="1"/>
        <v>46073</v>
      </c>
      <c r="X6" s="192">
        <f t="shared" si="1"/>
        <v>46104</v>
      </c>
      <c r="Y6" s="192">
        <f t="shared" si="1"/>
        <v>46135</v>
      </c>
      <c r="Z6" s="192">
        <f t="shared" si="1"/>
        <v>46166</v>
      </c>
      <c r="AA6" s="192">
        <f t="shared" si="1"/>
        <v>46197</v>
      </c>
      <c r="AB6" s="192">
        <f t="shared" si="1"/>
        <v>46228</v>
      </c>
      <c r="AC6" s="192">
        <f t="shared" si="1"/>
        <v>46259</v>
      </c>
      <c r="AD6" s="192">
        <f t="shared" si="1"/>
        <v>46290</v>
      </c>
      <c r="AE6" s="192">
        <f t="shared" si="1"/>
        <v>46321</v>
      </c>
      <c r="AF6" s="192">
        <f t="shared" si="1"/>
        <v>46352</v>
      </c>
      <c r="AG6" s="192">
        <f t="shared" si="1"/>
        <v>46383</v>
      </c>
      <c r="AH6" s="193"/>
      <c r="AI6" s="196" t="s">
        <v>341</v>
      </c>
      <c r="AJ6" s="195"/>
      <c r="AK6" s="195"/>
      <c r="AL6" s="195"/>
      <c r="AM6" s="195"/>
      <c r="AN6" s="195"/>
      <c r="AO6" s="195"/>
      <c r="AP6" s="195"/>
      <c r="AQ6" s="195"/>
      <c r="AR6" s="195"/>
      <c r="AS6" s="195"/>
      <c r="AT6" s="195"/>
      <c r="AU6" s="195"/>
      <c r="AV6" s="195"/>
    </row>
    <row r="7" spans="1:48" ht="15.75">
      <c r="A7" s="23"/>
      <c r="B7" s="24"/>
      <c r="C7" s="24"/>
      <c r="D7" s="24"/>
      <c r="E7" s="25" t="s">
        <v>14</v>
      </c>
      <c r="F7" s="25" t="s">
        <v>17</v>
      </c>
      <c r="G7" s="25" t="s">
        <v>17</v>
      </c>
      <c r="H7" s="25" t="s">
        <v>17</v>
      </c>
      <c r="I7" s="25" t="s">
        <v>17</v>
      </c>
      <c r="J7" s="25" t="s">
        <v>17</v>
      </c>
      <c r="K7" s="25" t="s">
        <v>17</v>
      </c>
      <c r="L7" s="25" t="s">
        <v>17</v>
      </c>
      <c r="M7" s="25" t="s">
        <v>17</v>
      </c>
      <c r="N7" s="25" t="s">
        <v>17</v>
      </c>
      <c r="O7" s="25" t="s">
        <v>17</v>
      </c>
      <c r="P7" s="25" t="s">
        <v>17</v>
      </c>
      <c r="Q7" s="25" t="s">
        <v>17</v>
      </c>
      <c r="R7" s="25" t="s">
        <v>17</v>
      </c>
      <c r="S7" s="25"/>
      <c r="T7" s="25" t="s">
        <v>15</v>
      </c>
      <c r="U7" s="25" t="s">
        <v>17</v>
      </c>
      <c r="V7" s="25" t="s">
        <v>17</v>
      </c>
      <c r="W7" s="25" t="s">
        <v>17</v>
      </c>
      <c r="X7" s="25" t="s">
        <v>17</v>
      </c>
      <c r="Y7" s="25" t="s">
        <v>17</v>
      </c>
      <c r="Z7" s="25" t="s">
        <v>17</v>
      </c>
      <c r="AA7" s="25" t="s">
        <v>17</v>
      </c>
      <c r="AB7" s="25" t="s">
        <v>17</v>
      </c>
      <c r="AC7" s="25" t="s">
        <v>17</v>
      </c>
      <c r="AD7" s="25" t="s">
        <v>17</v>
      </c>
      <c r="AE7" s="25" t="s">
        <v>17</v>
      </c>
      <c r="AF7" s="25" t="s">
        <v>17</v>
      </c>
      <c r="AG7" s="25" t="s">
        <v>17</v>
      </c>
      <c r="AH7" s="194"/>
      <c r="AI7" s="62" t="s">
        <v>437</v>
      </c>
    </row>
    <row r="8" spans="1:48" ht="15.75">
      <c r="A8" s="26"/>
      <c r="B8" s="2"/>
      <c r="C8" s="2"/>
      <c r="D8" s="2"/>
      <c r="E8" s="2"/>
      <c r="F8" s="2"/>
      <c r="G8" s="2"/>
      <c r="H8" s="2"/>
      <c r="I8" s="2"/>
      <c r="J8" s="2"/>
      <c r="K8" s="2"/>
      <c r="L8" s="2"/>
      <c r="M8" s="2"/>
      <c r="N8" s="2"/>
      <c r="O8" s="2"/>
      <c r="P8" s="2"/>
      <c r="Q8" s="2"/>
      <c r="R8" s="2"/>
      <c r="S8" s="2"/>
      <c r="AH8" s="197"/>
      <c r="AI8" s="198"/>
    </row>
    <row r="9" spans="1:48" ht="15.75">
      <c r="A9" s="223"/>
      <c r="B9" s="17"/>
      <c r="C9" s="17"/>
      <c r="D9" s="27"/>
      <c r="E9" s="9"/>
      <c r="F9" s="9"/>
      <c r="G9" s="9"/>
      <c r="H9" s="9"/>
      <c r="I9" s="9"/>
      <c r="J9" s="9"/>
      <c r="K9" s="9"/>
      <c r="L9" s="9"/>
      <c r="M9" s="9"/>
      <c r="N9" s="9"/>
      <c r="O9" s="9"/>
      <c r="P9" s="9"/>
      <c r="Q9" s="9"/>
      <c r="R9" s="9"/>
      <c r="S9" s="9"/>
      <c r="U9" s="9"/>
      <c r="V9" s="9"/>
      <c r="W9" s="9"/>
      <c r="X9" s="9"/>
      <c r="Y9" s="9"/>
      <c r="Z9" s="9"/>
      <c r="AA9" s="9"/>
      <c r="AB9" s="9"/>
      <c r="AC9" s="9"/>
      <c r="AD9" s="9"/>
      <c r="AE9" s="9"/>
      <c r="AF9" s="9"/>
      <c r="AG9" s="9"/>
      <c r="AH9" s="197"/>
      <c r="AI9" s="198"/>
    </row>
    <row r="10" spans="1:48" ht="47.25">
      <c r="A10" s="618" t="str">
        <f>'Attachment 11 - TEC'!A62</f>
        <v>1a</v>
      </c>
      <c r="B10" s="619"/>
      <c r="C10" s="620" t="str">
        <f>'Attachment 11 - TEC'!C62</f>
        <v>Install a steel pole at the crossing of the Elrama to Woodville 138 kV line and the Peters to Bethel Park 138 kV line</v>
      </c>
      <c r="D10" s="621" t="str">
        <f>'Attachment 11 - TEC'!D62</f>
        <v>b1022.11</v>
      </c>
      <c r="E10" s="9">
        <f>AVERAGE(F10:R10)</f>
        <v>432714.25999999983</v>
      </c>
      <c r="F10" s="61">
        <v>432714.26</v>
      </c>
      <c r="G10" s="61">
        <v>432714.26</v>
      </c>
      <c r="H10" s="61">
        <v>432714.26</v>
      </c>
      <c r="I10" s="61">
        <v>432714.26</v>
      </c>
      <c r="J10" s="61">
        <v>432714.26</v>
      </c>
      <c r="K10" s="61">
        <v>432714.26</v>
      </c>
      <c r="L10" s="61">
        <v>432714.26</v>
      </c>
      <c r="M10" s="61">
        <v>432714.26</v>
      </c>
      <c r="N10" s="61">
        <v>432714.26</v>
      </c>
      <c r="O10" s="61">
        <v>432714.26</v>
      </c>
      <c r="P10" s="61">
        <v>432714.26</v>
      </c>
      <c r="Q10" s="61">
        <v>432714.26</v>
      </c>
      <c r="R10" s="61">
        <v>432714.26</v>
      </c>
      <c r="S10" s="9"/>
      <c r="T10" s="9">
        <f>AVERAGE(U10:AG10)</f>
        <v>126127.77225250004</v>
      </c>
      <c r="U10" s="61">
        <v>121311.84971100003</v>
      </c>
      <c r="V10" s="61">
        <v>122114.5034679167</v>
      </c>
      <c r="W10" s="61">
        <v>122917.15722483337</v>
      </c>
      <c r="X10" s="61">
        <v>123719.81098175004</v>
      </c>
      <c r="Y10" s="61">
        <v>124522.46473866671</v>
      </c>
      <c r="Z10" s="61">
        <v>125325.11849558337</v>
      </c>
      <c r="AA10" s="61">
        <v>126127.77225250004</v>
      </c>
      <c r="AB10" s="61">
        <v>126930.42600941671</v>
      </c>
      <c r="AC10" s="61">
        <v>127733.07976633338</v>
      </c>
      <c r="AD10" s="61">
        <v>128535.73352325005</v>
      </c>
      <c r="AE10" s="61">
        <v>129338.38728016672</v>
      </c>
      <c r="AF10" s="61">
        <v>130141.04103708339</v>
      </c>
      <c r="AG10" s="61">
        <v>130943.69479400005</v>
      </c>
      <c r="AH10" s="197"/>
      <c r="AI10" s="400">
        <f t="shared" ref="AI10:AI11" si="2">E10-T10</f>
        <v>306586.48774749978</v>
      </c>
    </row>
    <row r="11" spans="1:48" ht="31.5">
      <c r="A11" s="618" t="str">
        <f>'Attachment 11 - TEC'!A63</f>
        <v>1b</v>
      </c>
      <c r="B11" s="619"/>
      <c r="C11" s="620" t="str">
        <f>'Attachment 11 - TEC'!C63</f>
        <v>Add static capacitors at South Fayette 138 kV</v>
      </c>
      <c r="D11" s="621" t="str">
        <f>'Attachment 11 - TEC'!D63</f>
        <v>b1022.5</v>
      </c>
      <c r="E11" s="9">
        <f t="shared" ref="E11:E17" si="3">AVERAGE(F11:R11)</f>
        <v>553608.6100000001</v>
      </c>
      <c r="F11" s="61">
        <v>553608.61</v>
      </c>
      <c r="G11" s="61">
        <v>553608.61</v>
      </c>
      <c r="H11" s="61">
        <v>553608.61</v>
      </c>
      <c r="I11" s="61">
        <v>553608.61</v>
      </c>
      <c r="J11" s="61">
        <v>553608.61</v>
      </c>
      <c r="K11" s="61">
        <v>553608.61</v>
      </c>
      <c r="L11" s="61">
        <v>553608.61</v>
      </c>
      <c r="M11" s="61">
        <v>553608.61</v>
      </c>
      <c r="N11" s="61">
        <v>553608.61</v>
      </c>
      <c r="O11" s="61">
        <v>553608.61</v>
      </c>
      <c r="P11" s="61">
        <v>553608.61</v>
      </c>
      <c r="Q11" s="61">
        <v>553608.61</v>
      </c>
      <c r="R11" s="61">
        <v>553608.61</v>
      </c>
      <c r="S11" s="9"/>
      <c r="T11" s="9">
        <f t="shared" ref="T11:T17" si="4">AVERAGE(U11:AG11)</f>
        <v>92936.408572000233</v>
      </c>
      <c r="U11" s="61">
        <v>88618.261414000197</v>
      </c>
      <c r="V11" s="61">
        <v>89337.952607000203</v>
      </c>
      <c r="W11" s="61">
        <v>90057.643800000209</v>
      </c>
      <c r="X11" s="61">
        <v>90777.334993000215</v>
      </c>
      <c r="Y11" s="61">
        <v>91497.026186000221</v>
      </c>
      <c r="Z11" s="61">
        <v>92216.717379000227</v>
      </c>
      <c r="AA11" s="61">
        <v>92936.408572000233</v>
      </c>
      <c r="AB11" s="61">
        <v>93656.099765000239</v>
      </c>
      <c r="AC11" s="61">
        <v>94375.790958000245</v>
      </c>
      <c r="AD11" s="61">
        <v>95095.482151000251</v>
      </c>
      <c r="AE11" s="61">
        <v>95815.173344000257</v>
      </c>
      <c r="AF11" s="61">
        <v>96534.864537000263</v>
      </c>
      <c r="AG11" s="61">
        <v>97254.555730000269</v>
      </c>
      <c r="AH11" s="197"/>
      <c r="AI11" s="400">
        <f t="shared" si="2"/>
        <v>460672.20142799988</v>
      </c>
    </row>
    <row r="12" spans="1:48" ht="63">
      <c r="A12" s="618" t="str">
        <f>'Attachment 11 - TEC'!A64</f>
        <v>1c</v>
      </c>
      <c r="B12" s="619"/>
      <c r="C12" s="620" t="str">
        <f>'Attachment 11 - TEC'!C64</f>
        <v>Reconductor the Charleroi –Allenport 138KV Line with 954 ACSR Conductor, Replace Breaker Risers at Charleroi and Allenport</v>
      </c>
      <c r="D12" s="621" t="str">
        <f>'Attachment 11 - TEC'!D64</f>
        <v>b2965</v>
      </c>
      <c r="E12" s="9">
        <f t="shared" si="3"/>
        <v>9900023.9099999983</v>
      </c>
      <c r="F12" s="61">
        <v>9900023.9100000001</v>
      </c>
      <c r="G12" s="61">
        <v>9900023.9100000001</v>
      </c>
      <c r="H12" s="61">
        <v>9900023.9100000001</v>
      </c>
      <c r="I12" s="61">
        <v>9900023.9100000001</v>
      </c>
      <c r="J12" s="61">
        <v>9900023.9100000001</v>
      </c>
      <c r="K12" s="61">
        <v>9900023.9100000001</v>
      </c>
      <c r="L12" s="61">
        <v>9900023.9100000001</v>
      </c>
      <c r="M12" s="61">
        <v>9900023.9100000001</v>
      </c>
      <c r="N12" s="61">
        <v>9900023.9100000001</v>
      </c>
      <c r="O12" s="61">
        <v>9900023.9100000001</v>
      </c>
      <c r="P12" s="61">
        <v>9900023.9100000001</v>
      </c>
      <c r="Q12" s="61">
        <v>9900023.9100000001</v>
      </c>
      <c r="R12" s="61">
        <v>9900023.9100000001</v>
      </c>
      <c r="T12" s="9">
        <f t="shared" si="4"/>
        <v>1127380.4505538638</v>
      </c>
      <c r="U12" s="61">
        <v>1031767.8350722495</v>
      </c>
      <c r="V12" s="61">
        <v>1047703.2709858519</v>
      </c>
      <c r="W12" s="61">
        <v>1063638.7068994544</v>
      </c>
      <c r="X12" s="61">
        <v>1079574.1428130567</v>
      </c>
      <c r="Y12" s="61">
        <v>1095509.5787266591</v>
      </c>
      <c r="Z12" s="61">
        <v>1111445.0146402614</v>
      </c>
      <c r="AA12" s="61">
        <v>1127380.4505538638</v>
      </c>
      <c r="AB12" s="61">
        <v>1143315.8864674661</v>
      </c>
      <c r="AC12" s="61">
        <v>1159251.3223810685</v>
      </c>
      <c r="AD12" s="61">
        <v>1175186.7582946708</v>
      </c>
      <c r="AE12" s="61">
        <v>1191122.1942082732</v>
      </c>
      <c r="AF12" s="61">
        <v>1207057.6301218756</v>
      </c>
      <c r="AG12" s="61">
        <v>1222993.0660354779</v>
      </c>
      <c r="AH12" s="197"/>
      <c r="AI12" s="400">
        <f t="shared" ref="AI12:AI17" si="5">E12-T12</f>
        <v>8772643.459446134</v>
      </c>
    </row>
    <row r="13" spans="1:48" ht="63">
      <c r="A13" s="618" t="str">
        <f>'Attachment 11 - TEC'!A65</f>
        <v>1d</v>
      </c>
      <c r="B13" s="619"/>
      <c r="C13" s="620" t="str">
        <f>'Attachment 11 - TEC'!C65</f>
        <v>Upgrade terminal equipment at Yukon to increase rating on Yukon to Charleroi #2 138 kV line (New Yukon to Route 51 #4 138 kV line)</v>
      </c>
      <c r="D13" s="621" t="str">
        <f>'Attachment 11 - TEC'!D65</f>
        <v>b3011.2</v>
      </c>
      <c r="E13" s="9">
        <f t="shared" si="3"/>
        <v>782722.03999999992</v>
      </c>
      <c r="F13" s="399">
        <v>782722.04</v>
      </c>
      <c r="G13" s="399">
        <v>782722.04</v>
      </c>
      <c r="H13" s="399">
        <v>782722.04</v>
      </c>
      <c r="I13" s="399">
        <v>782722.04</v>
      </c>
      <c r="J13" s="399">
        <v>782722.04</v>
      </c>
      <c r="K13" s="399">
        <v>782722.04</v>
      </c>
      <c r="L13" s="399">
        <v>782722.04</v>
      </c>
      <c r="M13" s="399">
        <v>782722.04</v>
      </c>
      <c r="N13" s="399">
        <v>782722.04</v>
      </c>
      <c r="O13" s="399">
        <v>782722.04</v>
      </c>
      <c r="P13" s="399">
        <v>782722.04</v>
      </c>
      <c r="Q13" s="399">
        <v>782722.04</v>
      </c>
      <c r="R13" s="399">
        <v>782722.04</v>
      </c>
      <c r="T13" s="9">
        <f t="shared" si="4"/>
        <v>63201.816255375095</v>
      </c>
      <c r="U13" s="399">
        <v>57096.584343375071</v>
      </c>
      <c r="V13" s="399">
        <v>58114.122995375074</v>
      </c>
      <c r="W13" s="399">
        <v>59131.661647375076</v>
      </c>
      <c r="X13" s="399">
        <v>60149.200299375079</v>
      </c>
      <c r="Y13" s="399">
        <v>61166.738951375082</v>
      </c>
      <c r="Z13" s="399">
        <v>62184.277603375085</v>
      </c>
      <c r="AA13" s="399">
        <v>63201.816255375088</v>
      </c>
      <c r="AB13" s="399">
        <v>64219.354907375091</v>
      </c>
      <c r="AC13" s="399">
        <v>65236.893559375094</v>
      </c>
      <c r="AD13" s="399">
        <v>66254.432211375097</v>
      </c>
      <c r="AE13" s="399">
        <v>67271.9708633751</v>
      </c>
      <c r="AF13" s="399">
        <v>68289.509515375103</v>
      </c>
      <c r="AG13" s="399">
        <v>69307.048167375106</v>
      </c>
      <c r="AH13" s="197"/>
      <c r="AI13" s="400">
        <f t="shared" si="5"/>
        <v>719520.22374462488</v>
      </c>
    </row>
    <row r="14" spans="1:48" ht="47.25">
      <c r="A14" s="618" t="str">
        <f>'Attachment 11 - TEC'!A66</f>
        <v>1e</v>
      </c>
      <c r="B14" s="619"/>
      <c r="C14" s="620" t="str">
        <f>'Attachment 11 - TEC'!C66</f>
        <v>Upgrade terminal equipment at Yukon to increase rating on Yukon to Route 51 #3 138 kV line</v>
      </c>
      <c r="D14" s="621" t="str">
        <f>'Attachment 11 - TEC'!D66</f>
        <v>b3011.5</v>
      </c>
      <c r="E14" s="9">
        <f t="shared" si="3"/>
        <v>952141.57000000018</v>
      </c>
      <c r="F14" s="399">
        <v>952141.57</v>
      </c>
      <c r="G14" s="399">
        <v>952141.57</v>
      </c>
      <c r="H14" s="399">
        <v>952141.57</v>
      </c>
      <c r="I14" s="399">
        <v>952141.57</v>
      </c>
      <c r="J14" s="399">
        <v>952141.57</v>
      </c>
      <c r="K14" s="399">
        <v>952141.57</v>
      </c>
      <c r="L14" s="399">
        <v>952141.57</v>
      </c>
      <c r="M14" s="399">
        <v>952141.57</v>
      </c>
      <c r="N14" s="399">
        <v>952141.57</v>
      </c>
      <c r="O14" s="399">
        <v>952141.57</v>
      </c>
      <c r="P14" s="399">
        <v>952141.57</v>
      </c>
      <c r="Q14" s="399">
        <v>952141.57</v>
      </c>
      <c r="R14" s="399">
        <v>952141.57</v>
      </c>
      <c r="T14" s="9">
        <f t="shared" si="4"/>
        <v>76972.980580250049</v>
      </c>
      <c r="U14" s="399">
        <v>69546.276334249997</v>
      </c>
      <c r="V14" s="399">
        <v>70784.060375250003</v>
      </c>
      <c r="W14" s="399">
        <v>72021.844416250009</v>
      </c>
      <c r="X14" s="399">
        <v>73259.628457250015</v>
      </c>
      <c r="Y14" s="399">
        <v>74497.412498250022</v>
      </c>
      <c r="Z14" s="399">
        <v>75735.196539250028</v>
      </c>
      <c r="AA14" s="399">
        <v>76972.980580250034</v>
      </c>
      <c r="AB14" s="399">
        <v>78210.76462125004</v>
      </c>
      <c r="AC14" s="399">
        <v>79448.548662250047</v>
      </c>
      <c r="AD14" s="399">
        <v>80686.332703250053</v>
      </c>
      <c r="AE14" s="399">
        <v>81924.116744250059</v>
      </c>
      <c r="AF14" s="399">
        <v>83161.900785250065</v>
      </c>
      <c r="AG14" s="399">
        <v>84399.684826250072</v>
      </c>
      <c r="AH14" s="197"/>
      <c r="AI14" s="400">
        <f t="shared" si="5"/>
        <v>875168.58941975015</v>
      </c>
    </row>
    <row r="15" spans="1:48" ht="47.25">
      <c r="A15" s="618" t="str">
        <f>'Attachment 11 - TEC'!A67</f>
        <v>1f</v>
      </c>
      <c r="B15" s="619"/>
      <c r="C15" s="620" t="str">
        <f>'Attachment 11 - TEC'!C67</f>
        <v>Replace four Yukon 500/138 kV transformers with three transformers with higher rating and reconfigure 500 kV bus</v>
      </c>
      <c r="D15" s="621" t="str">
        <f>'Attachment 11 - TEC'!D67</f>
        <v>b3006</v>
      </c>
      <c r="E15" s="9">
        <f t="shared" si="3"/>
        <v>101168809.49999999</v>
      </c>
      <c r="F15" s="399">
        <v>101168809.49999999</v>
      </c>
      <c r="G15" s="399">
        <v>101168809.49999999</v>
      </c>
      <c r="H15" s="399">
        <v>101168809.49999999</v>
      </c>
      <c r="I15" s="399">
        <v>101168809.49999999</v>
      </c>
      <c r="J15" s="399">
        <v>101168809.49999999</v>
      </c>
      <c r="K15" s="399">
        <v>101168809.49999999</v>
      </c>
      <c r="L15" s="399">
        <v>101168809.49999999</v>
      </c>
      <c r="M15" s="399">
        <v>101168809.49999999</v>
      </c>
      <c r="N15" s="399">
        <v>101168809.49999999</v>
      </c>
      <c r="O15" s="399">
        <v>101168809.49999999</v>
      </c>
      <c r="P15" s="399">
        <v>101168809.49999999</v>
      </c>
      <c r="Q15" s="399">
        <v>101168809.49999999</v>
      </c>
      <c r="R15" s="399">
        <v>101168809.49999999</v>
      </c>
      <c r="T15" s="9">
        <f t="shared" si="4"/>
        <v>7245941.5534010492</v>
      </c>
      <c r="U15" s="399">
        <v>6448219.8651056858</v>
      </c>
      <c r="V15" s="399">
        <v>6581173.4798215795</v>
      </c>
      <c r="W15" s="399">
        <v>6714127.0945374733</v>
      </c>
      <c r="X15" s="399">
        <v>6847080.709253367</v>
      </c>
      <c r="Y15" s="399">
        <v>6980034.3239692608</v>
      </c>
      <c r="Z15" s="399">
        <v>7112987.9386851545</v>
      </c>
      <c r="AA15" s="399">
        <v>7245941.5534010483</v>
      </c>
      <c r="AB15" s="399">
        <v>7378895.168116942</v>
      </c>
      <c r="AC15" s="399">
        <v>7511848.7828328358</v>
      </c>
      <c r="AD15" s="399">
        <v>7644802.3975487296</v>
      </c>
      <c r="AE15" s="399">
        <v>7777756.0122646233</v>
      </c>
      <c r="AF15" s="399">
        <v>7910709.6269805171</v>
      </c>
      <c r="AG15" s="399">
        <v>8043663.2416964108</v>
      </c>
      <c r="AH15" s="197"/>
      <c r="AI15" s="400">
        <f t="shared" si="5"/>
        <v>93922867.946598932</v>
      </c>
    </row>
    <row r="16" spans="1:48" ht="63">
      <c r="A16" s="618" t="str">
        <f>'Attachment 11 - TEC'!A68</f>
        <v>1g</v>
      </c>
      <c r="C16" s="620" t="str">
        <f>'Attachment 11 - TEC'!C68</f>
        <v>Reconductor the Yukon – Smithton – Shepler Hill Jct 138 kV Line. Upgrade terminal equipment at Yukon and replace line relaying at Mitchell and Charleroi</v>
      </c>
      <c r="D16" s="621" t="str">
        <f>'Attachment 11 - TEC'!D68</f>
        <v>b3214</v>
      </c>
      <c r="E16" s="9">
        <f t="shared" si="3"/>
        <v>13018001.75</v>
      </c>
      <c r="F16" s="399">
        <v>13018001.75</v>
      </c>
      <c r="G16" s="399">
        <v>13018001.75</v>
      </c>
      <c r="H16" s="399">
        <v>13018001.75</v>
      </c>
      <c r="I16" s="399">
        <v>13018001.75</v>
      </c>
      <c r="J16" s="399">
        <v>13018001.75</v>
      </c>
      <c r="K16" s="399">
        <v>13018001.75</v>
      </c>
      <c r="L16" s="399">
        <v>13018001.75</v>
      </c>
      <c r="M16" s="399">
        <v>13018001.75</v>
      </c>
      <c r="N16" s="399">
        <v>13018001.75</v>
      </c>
      <c r="O16" s="399">
        <v>13018001.75</v>
      </c>
      <c r="P16" s="399">
        <v>13018001.75</v>
      </c>
      <c r="Q16" s="399">
        <v>13018001.75</v>
      </c>
      <c r="R16" s="399">
        <v>13018001.75</v>
      </c>
      <c r="T16" s="9">
        <f t="shared" si="4"/>
        <v>812208.07527914073</v>
      </c>
      <c r="U16" s="399">
        <v>695552.51077390998</v>
      </c>
      <c r="V16" s="399">
        <v>714995.10485811508</v>
      </c>
      <c r="W16" s="399">
        <v>734437.69894232019</v>
      </c>
      <c r="X16" s="399">
        <v>753880.29302652529</v>
      </c>
      <c r="Y16" s="399">
        <v>773322.8871107304</v>
      </c>
      <c r="Z16" s="399">
        <v>792765.48119493551</v>
      </c>
      <c r="AA16" s="399">
        <v>812208.07527914061</v>
      </c>
      <c r="AB16" s="399">
        <v>831650.66936334572</v>
      </c>
      <c r="AC16" s="399">
        <v>851093.26344755082</v>
      </c>
      <c r="AD16" s="399">
        <v>870535.85753175593</v>
      </c>
      <c r="AE16" s="399">
        <v>889978.45161596104</v>
      </c>
      <c r="AF16" s="399">
        <v>909421.04570016614</v>
      </c>
      <c r="AG16" s="399">
        <v>928863.63978437125</v>
      </c>
      <c r="AH16" s="197"/>
      <c r="AI16" s="400">
        <f t="shared" si="5"/>
        <v>12205793.674720859</v>
      </c>
    </row>
    <row r="17" spans="1:35" ht="33.75" customHeight="1">
      <c r="A17" s="618" t="s">
        <v>1204</v>
      </c>
      <c r="C17" s="620" t="str">
        <f>'Attachment 11 - TEC'!C69</f>
        <v>Cheswick-Springdale-138kVInsSeriesReactr</v>
      </c>
      <c r="D17" s="621" t="str">
        <f>'Attachment 11 - TEC'!D69</f>
        <v>b3717.1</v>
      </c>
      <c r="E17" s="9">
        <f t="shared" si="3"/>
        <v>2726776.7921402277</v>
      </c>
      <c r="F17" s="317">
        <v>0</v>
      </c>
      <c r="G17" s="317">
        <v>0</v>
      </c>
      <c r="H17" s="317">
        <v>0</v>
      </c>
      <c r="I17" s="317">
        <v>0</v>
      </c>
      <c r="J17" s="317">
        <v>0</v>
      </c>
      <c r="K17" s="317">
        <v>0</v>
      </c>
      <c r="L17" s="399">
        <v>5064014.0425461372</v>
      </c>
      <c r="M17" s="399">
        <v>5064014.0425461372</v>
      </c>
      <c r="N17" s="399">
        <v>5064014.0425461372</v>
      </c>
      <c r="O17" s="399">
        <v>5064014.0425461372</v>
      </c>
      <c r="P17" s="399">
        <v>5064014.0425461372</v>
      </c>
      <c r="Q17" s="399">
        <v>5064014.0425461372</v>
      </c>
      <c r="R17" s="399">
        <v>5064014.0425461372</v>
      </c>
      <c r="T17" s="9">
        <f t="shared" si="4"/>
        <v>25768.040685725151</v>
      </c>
      <c r="U17" s="399">
        <v>0</v>
      </c>
      <c r="V17" s="399">
        <v>0</v>
      </c>
      <c r="W17" s="399">
        <v>0</v>
      </c>
      <c r="X17" s="399">
        <v>0</v>
      </c>
      <c r="Y17" s="399">
        <v>0</v>
      </c>
      <c r="Z17" s="399">
        <v>0</v>
      </c>
      <c r="AA17" s="399">
        <v>6836.4189574372858</v>
      </c>
      <c r="AB17" s="399">
        <v>20509.256872311857</v>
      </c>
      <c r="AC17" s="399">
        <v>34182.094787186426</v>
      </c>
      <c r="AD17" s="399">
        <v>47854.932702061</v>
      </c>
      <c r="AE17" s="399">
        <v>61527.770616935573</v>
      </c>
      <c r="AF17" s="399">
        <v>75200.60853181014</v>
      </c>
      <c r="AG17" s="399">
        <v>88873.446446684713</v>
      </c>
      <c r="AH17" s="197"/>
      <c r="AI17" s="400">
        <f t="shared" si="5"/>
        <v>2701008.7514545028</v>
      </c>
    </row>
    <row r="18" spans="1:35" ht="15.6" customHeight="1">
      <c r="A18" s="199"/>
      <c r="U18" s="414"/>
      <c r="X18" s="594"/>
      <c r="Y18" s="594"/>
      <c r="Z18" s="594"/>
      <c r="AA18" s="594"/>
      <c r="AB18" s="594"/>
      <c r="AI18" s="198"/>
    </row>
    <row r="19" spans="1:35" ht="15.75">
      <c r="A19" s="199"/>
      <c r="X19" s="594"/>
      <c r="Y19" s="594"/>
      <c r="Z19" s="594"/>
      <c r="AA19" s="594"/>
      <c r="AB19" s="594"/>
      <c r="AI19" s="198"/>
    </row>
    <row r="20" spans="1:35" ht="15.75">
      <c r="A20" s="199"/>
      <c r="X20" s="594"/>
      <c r="Y20" s="594"/>
      <c r="Z20" s="594"/>
      <c r="AA20" s="594"/>
      <c r="AB20" s="594"/>
      <c r="AI20" s="198"/>
    </row>
    <row r="21" spans="1:35" ht="15.75">
      <c r="A21" s="199"/>
      <c r="X21" s="594"/>
      <c r="Y21" s="594"/>
      <c r="Z21" s="594"/>
      <c r="AA21" s="594"/>
      <c r="AB21" s="594"/>
      <c r="AI21" s="198"/>
    </row>
    <row r="22" spans="1:35">
      <c r="A22" s="199"/>
      <c r="AI22" s="198"/>
    </row>
    <row r="23" spans="1:35">
      <c r="A23" s="199"/>
      <c r="AI23" s="198"/>
    </row>
    <row r="24" spans="1:35">
      <c r="A24" s="199"/>
      <c r="AI24" s="198"/>
    </row>
    <row r="25" spans="1:35">
      <c r="A25" s="199"/>
      <c r="AI25" s="198"/>
    </row>
    <row r="26" spans="1:35">
      <c r="A26" s="199"/>
      <c r="AI26" s="198"/>
    </row>
    <row r="27" spans="1:35">
      <c r="A27" s="199"/>
      <c r="AI27" s="198"/>
    </row>
    <row r="28" spans="1:35">
      <c r="A28" s="200"/>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2"/>
    </row>
    <row r="30" spans="1:35" ht="15.75">
      <c r="A30" s="1" t="s">
        <v>265</v>
      </c>
      <c r="B30" s="1"/>
      <c r="C30" s="1"/>
      <c r="S30" s="28"/>
      <c r="T30" s="1" t="s">
        <v>265</v>
      </c>
      <c r="U30" s="1"/>
    </row>
    <row r="31" spans="1:35" ht="15.75" customHeight="1">
      <c r="A31" s="29"/>
      <c r="B31" s="1" t="s">
        <v>223</v>
      </c>
      <c r="C31" s="1" t="s">
        <v>792</v>
      </c>
      <c r="D31" s="1"/>
      <c r="E31" s="1"/>
      <c r="F31" s="1"/>
      <c r="G31" s="1"/>
      <c r="H31" s="1"/>
      <c r="I31" s="1"/>
      <c r="J31" s="1"/>
      <c r="K31" s="1"/>
      <c r="M31" s="1" t="s">
        <v>566</v>
      </c>
      <c r="S31" s="29"/>
      <c r="T31" s="16" t="s">
        <v>236</v>
      </c>
      <c r="U31" s="1" t="s">
        <v>506</v>
      </c>
      <c r="AA31" t="s">
        <v>566</v>
      </c>
    </row>
  </sheetData>
  <mergeCells count="4">
    <mergeCell ref="T1:AE1"/>
    <mergeCell ref="T2:AE2"/>
    <mergeCell ref="A1:N1"/>
    <mergeCell ref="A2:N2"/>
  </mergeCells>
  <pageMargins left="0.7" right="0.7" top="0.75" bottom="0.75" header="0.3" footer="0.3"/>
  <pageSetup scale="37" orientation="landscape" r:id="rId1"/>
  <colBreaks count="1" manualBreakCount="1">
    <brk id="19" max="30"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M187"/>
  <sheetViews>
    <sheetView view="pageBreakPreview" zoomScale="90" zoomScaleNormal="100" zoomScaleSheetLayoutView="90" workbookViewId="0"/>
  </sheetViews>
  <sheetFormatPr defaultColWidth="8.88671875" defaultRowHeight="15"/>
  <cols>
    <col min="1" max="1" width="6" style="186" customWidth="1"/>
    <col min="2" max="2" width="3.33203125" style="186" customWidth="1"/>
    <col min="3" max="3" width="48.21875" style="186" customWidth="1"/>
    <col min="4" max="4" width="12" style="186" customWidth="1"/>
    <col min="5" max="5" width="14.44140625" style="186" customWidth="1"/>
    <col min="6" max="6" width="13.21875" style="186" customWidth="1"/>
    <col min="7" max="7" width="14.109375" style="186" customWidth="1"/>
    <col min="8" max="8" width="14.33203125" style="186" bestFit="1" customWidth="1"/>
    <col min="9" max="9" width="13.33203125" style="186" customWidth="1"/>
    <col min="10" max="10" width="13.109375" style="186" customWidth="1"/>
    <col min="11" max="11" width="13.5546875" style="186" customWidth="1"/>
    <col min="12" max="12" width="15.33203125" style="186" customWidth="1"/>
    <col min="13" max="13" width="1.5546875" style="186" customWidth="1"/>
    <col min="14" max="16384" width="8.88671875" style="186"/>
  </cols>
  <sheetData>
    <row r="1" spans="1:13">
      <c r="M1" s="250" t="str">
        <f>'Attachment H-34A '!K1&amp;""&amp;", Attachment 12"</f>
        <v>Attachment H-34A, Attachment 12</v>
      </c>
    </row>
    <row r="2" spans="1:13" ht="14.45" customHeight="1">
      <c r="L2" s="786"/>
      <c r="M2" s="250" t="s">
        <v>186</v>
      </c>
    </row>
    <row r="3" spans="1:13">
      <c r="M3" s="250" t="str">
        <f>'Attachment H-34A '!K4</f>
        <v>For the 12 months ended 12/31/2026</v>
      </c>
    </row>
    <row r="4" spans="1:13">
      <c r="A4" s="229"/>
      <c r="G4" s="235"/>
    </row>
    <row r="5" spans="1:13">
      <c r="A5" s="229"/>
      <c r="C5" s="187"/>
      <c r="D5" s="187"/>
    </row>
    <row r="6" spans="1:13">
      <c r="A6" s="229"/>
      <c r="C6" s="187"/>
      <c r="D6" s="187"/>
      <c r="L6" s="235"/>
    </row>
    <row r="7" spans="1:13" ht="14.25" customHeight="1">
      <c r="A7" s="229"/>
    </row>
    <row r="8" spans="1:13" ht="15.75">
      <c r="A8" s="1045" t="s">
        <v>564</v>
      </c>
      <c r="B8" s="1045"/>
      <c r="C8" s="1045"/>
      <c r="D8" s="1045"/>
      <c r="E8" s="1045"/>
      <c r="F8" s="1045"/>
      <c r="G8" s="1045"/>
      <c r="H8" s="1045"/>
      <c r="I8" s="1045"/>
      <c r="J8" s="1045"/>
      <c r="K8" s="1045"/>
      <c r="L8" s="1045"/>
    </row>
    <row r="9" spans="1:13">
      <c r="A9" s="1046" t="s">
        <v>505</v>
      </c>
      <c r="B9" s="1051"/>
      <c r="C9" s="1051"/>
      <c r="D9" s="1051"/>
      <c r="E9" s="1051"/>
      <c r="F9" s="1051"/>
      <c r="G9" s="1051"/>
      <c r="H9" s="1051"/>
      <c r="I9" s="1051"/>
      <c r="J9" s="1051"/>
      <c r="K9" s="1051"/>
      <c r="L9" s="1051"/>
    </row>
    <row r="10" spans="1:13" ht="15.75">
      <c r="A10" s="229"/>
      <c r="E10" s="238"/>
      <c r="H10" s="187"/>
      <c r="I10" s="187"/>
      <c r="J10" s="187"/>
      <c r="K10" s="187"/>
      <c r="L10" s="187"/>
    </row>
    <row r="11" spans="1:13" ht="15.75">
      <c r="A11" s="229"/>
      <c r="E11" s="238"/>
      <c r="F11" s="238"/>
      <c r="H11" s="187"/>
      <c r="I11" s="187"/>
      <c r="J11" s="187"/>
      <c r="K11" s="187"/>
      <c r="L11" s="187"/>
    </row>
    <row r="12" spans="1:13" ht="15.75">
      <c r="A12" s="229"/>
      <c r="C12" s="251" t="s">
        <v>255</v>
      </c>
      <c r="D12" s="251" t="s">
        <v>256</v>
      </c>
      <c r="E12" s="251" t="s">
        <v>257</v>
      </c>
      <c r="F12" s="251" t="s">
        <v>258</v>
      </c>
      <c r="G12" s="251" t="s">
        <v>259</v>
      </c>
      <c r="H12" s="251" t="s">
        <v>260</v>
      </c>
      <c r="I12" s="251" t="s">
        <v>261</v>
      </c>
      <c r="J12" s="251" t="s">
        <v>262</v>
      </c>
      <c r="K12" s="251" t="s">
        <v>263</v>
      </c>
      <c r="L12" s="251" t="s">
        <v>264</v>
      </c>
      <c r="M12" s="251"/>
    </row>
    <row r="13" spans="1:13" s="281" customFormat="1" ht="80.099999999999994" customHeight="1">
      <c r="A13" s="252" t="s">
        <v>177</v>
      </c>
      <c r="B13" s="279"/>
      <c r="C13" s="255" t="s">
        <v>178</v>
      </c>
      <c r="D13" s="255" t="s">
        <v>193</v>
      </c>
      <c r="E13" s="256" t="s">
        <v>515</v>
      </c>
      <c r="F13" s="256" t="s">
        <v>252</v>
      </c>
      <c r="G13" s="255" t="s">
        <v>424</v>
      </c>
      <c r="H13" s="255" t="s">
        <v>425</v>
      </c>
      <c r="I13" s="256" t="s">
        <v>253</v>
      </c>
      <c r="J13" s="256" t="s">
        <v>539</v>
      </c>
      <c r="K13" s="255" t="s">
        <v>540</v>
      </c>
      <c r="L13" s="256" t="s">
        <v>769</v>
      </c>
      <c r="M13" s="280"/>
    </row>
    <row r="14" spans="1:13" ht="66.75" customHeight="1">
      <c r="A14" s="259"/>
      <c r="B14" s="260"/>
      <c r="C14" s="260"/>
      <c r="D14" s="260"/>
      <c r="E14" s="282" t="s">
        <v>696</v>
      </c>
      <c r="F14" s="282" t="s">
        <v>760</v>
      </c>
      <c r="G14" s="282" t="s">
        <v>568</v>
      </c>
      <c r="H14" s="282" t="s">
        <v>426</v>
      </c>
      <c r="I14" s="282" t="s">
        <v>761</v>
      </c>
      <c r="J14" s="261" t="s">
        <v>813</v>
      </c>
      <c r="K14" s="282" t="s">
        <v>814</v>
      </c>
      <c r="L14" s="282" t="s">
        <v>434</v>
      </c>
      <c r="M14" s="283"/>
    </row>
    <row r="15" spans="1:13">
      <c r="A15" s="284">
        <v>1</v>
      </c>
      <c r="B15" s="187" t="s">
        <v>223</v>
      </c>
      <c r="C15" s="187" t="s">
        <v>432</v>
      </c>
      <c r="D15" s="187"/>
      <c r="E15" s="966">
        <f>'Attachment 13b - PJM Billings'!L37</f>
        <v>15286944.338638371</v>
      </c>
      <c r="F15" s="285"/>
      <c r="G15" s="285"/>
      <c r="H15" s="286"/>
      <c r="I15" s="285"/>
      <c r="J15" s="285"/>
      <c r="K15" s="285"/>
      <c r="L15" s="285"/>
      <c r="M15" s="287"/>
    </row>
    <row r="16" spans="1:13">
      <c r="A16" s="288"/>
      <c r="B16" s="187"/>
      <c r="C16" s="187"/>
      <c r="D16" s="187"/>
      <c r="E16" s="187"/>
      <c r="F16" s="187"/>
      <c r="G16" s="187"/>
      <c r="H16" s="187"/>
      <c r="I16" s="187"/>
      <c r="J16" s="187"/>
      <c r="K16" s="187"/>
      <c r="L16" s="187"/>
      <c r="M16" s="289"/>
    </row>
    <row r="17" spans="1:13" ht="30">
      <c r="A17" s="315" t="s">
        <v>460</v>
      </c>
      <c r="B17" s="244"/>
      <c r="C17" s="318" t="s">
        <v>1183</v>
      </c>
      <c r="D17" s="316" t="s">
        <v>1184</v>
      </c>
      <c r="E17" s="273"/>
      <c r="F17" s="967">
        <v>53479.765123033729</v>
      </c>
      <c r="G17" s="273">
        <f>IF($F$34=0,0,F17/$F$34)</f>
        <v>3.5016519941021003E-3</v>
      </c>
      <c r="H17" s="969">
        <f>IF($E$15=0,0,$E$15*G17)</f>
        <v>53529.559127120861</v>
      </c>
      <c r="I17" s="967">
        <v>54139.668539018705</v>
      </c>
      <c r="J17" s="969">
        <f>H17-I17</f>
        <v>-610.10941189784353</v>
      </c>
      <c r="K17" s="970">
        <f>J17/$J$34*$L$36</f>
        <v>-107.46146971095456</v>
      </c>
      <c r="L17" s="969">
        <f>J17+K17</f>
        <v>-717.57088160879812</v>
      </c>
      <c r="M17" s="290"/>
    </row>
    <row r="18" spans="1:13">
      <c r="A18" s="315" t="s">
        <v>461</v>
      </c>
      <c r="B18" s="244"/>
      <c r="C18" s="318" t="s">
        <v>1185</v>
      </c>
      <c r="D18" s="316" t="s">
        <v>1186</v>
      </c>
      <c r="E18" s="273"/>
      <c r="F18" s="967">
        <v>69774.749084609357</v>
      </c>
      <c r="G18" s="273">
        <f t="shared" ref="G18:G19" si="0">IF($F$34=0,0,F18/$F$34)</f>
        <v>4.5685856829775886E-3</v>
      </c>
      <c r="H18" s="969">
        <f>IF($E$15=0,0,$E$15*G18)</f>
        <v>69839.715041978561</v>
      </c>
      <c r="I18" s="967">
        <v>70265.646732179492</v>
      </c>
      <c r="J18" s="969">
        <f t="shared" ref="J18:J19" si="1">H18-I18</f>
        <v>-425.93169020093046</v>
      </c>
      <c r="K18" s="970">
        <f>J18/$J$34*$L$36</f>
        <v>-75.021372450367792</v>
      </c>
      <c r="L18" s="969">
        <f t="shared" ref="L18:L19" si="2">J18+K18</f>
        <v>-500.95306265129824</v>
      </c>
      <c r="M18" s="290"/>
    </row>
    <row r="19" spans="1:13" ht="45">
      <c r="A19" s="315" t="s">
        <v>462</v>
      </c>
      <c r="B19" s="244"/>
      <c r="C19" s="318" t="s">
        <v>1187</v>
      </c>
      <c r="D19" s="316" t="s">
        <v>1188</v>
      </c>
      <c r="E19" s="273"/>
      <c r="F19" s="967">
        <v>1339082.4098307022</v>
      </c>
      <c r="G19" s="273">
        <f t="shared" si="0"/>
        <v>8.767803261408065E-2</v>
      </c>
      <c r="H19" s="969">
        <f>IF($E$15=0,0,$E$15*G19)</f>
        <v>1340329.2042927707</v>
      </c>
      <c r="I19" s="967">
        <v>1340005.9900494434</v>
      </c>
      <c r="J19" s="969">
        <f t="shared" si="1"/>
        <v>323.21424332726747</v>
      </c>
      <c r="K19" s="970">
        <f>J19/$J$34*$L$36</f>
        <v>56.929260460708882</v>
      </c>
      <c r="L19" s="969">
        <f t="shared" si="2"/>
        <v>380.14350378797633</v>
      </c>
      <c r="M19" s="290"/>
    </row>
    <row r="20" spans="1:13" ht="45">
      <c r="A20" s="315" t="s">
        <v>518</v>
      </c>
      <c r="B20" s="244"/>
      <c r="C20" s="318" t="s">
        <v>1189</v>
      </c>
      <c r="D20" s="316" t="s">
        <v>1190</v>
      </c>
      <c r="E20" s="273"/>
      <c r="F20" s="967">
        <v>104334.8985694235</v>
      </c>
      <c r="G20" s="273">
        <f t="shared" ref="G20:G24" si="3">IF($F$34=0,0,F20/$F$34)</f>
        <v>6.831453069952028E-3</v>
      </c>
      <c r="H20" s="969">
        <f t="shared" ref="H20:H24" si="4">IF($E$15=0,0,$E$15*G20)</f>
        <v>104432.04283237687</v>
      </c>
      <c r="I20" s="967">
        <v>104580.1369469721</v>
      </c>
      <c r="J20" s="969">
        <f t="shared" ref="J20:J24" si="5">H20-I20</f>
        <v>-148.0941145952238</v>
      </c>
      <c r="K20" s="970">
        <f t="shared" ref="K20:K24" si="6">J20/$J$34*$L$36</f>
        <v>-26.084520087046258</v>
      </c>
      <c r="L20" s="969">
        <f t="shared" ref="L20:L24" si="7">J20+K20</f>
        <v>-174.17863468227006</v>
      </c>
      <c r="M20" s="290"/>
    </row>
    <row r="21" spans="1:13" ht="30">
      <c r="A21" s="315" t="s">
        <v>763</v>
      </c>
      <c r="B21" s="244"/>
      <c r="C21" s="318" t="s">
        <v>1191</v>
      </c>
      <c r="D21" s="316" t="s">
        <v>1192</v>
      </c>
      <c r="E21" s="273"/>
      <c r="F21" s="967">
        <v>126910.51034173415</v>
      </c>
      <c r="G21" s="273">
        <f t="shared" si="3"/>
        <v>8.3096184246188292E-3</v>
      </c>
      <c r="H21" s="969">
        <f t="shared" si="4"/>
        <v>127028.67433247191</v>
      </c>
      <c r="I21" s="967">
        <v>127209.4207699234</v>
      </c>
      <c r="J21" s="969">
        <f t="shared" si="5"/>
        <v>-180.74643745148205</v>
      </c>
      <c r="K21" s="970">
        <f t="shared" si="6"/>
        <v>-31.835728862362817</v>
      </c>
      <c r="L21" s="969">
        <f t="shared" si="7"/>
        <v>-212.58216631384488</v>
      </c>
      <c r="M21" s="290"/>
    </row>
    <row r="22" spans="1:13" ht="30">
      <c r="A22" s="315" t="s">
        <v>764</v>
      </c>
      <c r="B22" s="244"/>
      <c r="C22" s="318" t="s">
        <v>1193</v>
      </c>
      <c r="D22" s="316" t="s">
        <v>1194</v>
      </c>
      <c r="E22" s="174"/>
      <c r="F22" s="967">
        <v>13579141.859263409</v>
      </c>
      <c r="G22" s="273">
        <f t="shared" si="3"/>
        <v>0.88911065821426882</v>
      </c>
      <c r="H22" s="969">
        <f t="shared" si="4"/>
        <v>13591785.143011652</v>
      </c>
      <c r="I22" s="967">
        <v>13607476.443933381</v>
      </c>
      <c r="J22" s="969">
        <f t="shared" si="5"/>
        <v>-15691.300921728835</v>
      </c>
      <c r="K22" s="970">
        <f t="shared" si="6"/>
        <v>-2763.7833900654118</v>
      </c>
      <c r="L22" s="969">
        <f t="shared" si="7"/>
        <v>-18455.084311794246</v>
      </c>
      <c r="M22" s="291"/>
    </row>
    <row r="23" spans="1:13" ht="45">
      <c r="A23" s="315" t="s">
        <v>1195</v>
      </c>
      <c r="B23" s="244"/>
      <c r="C23" s="318" t="s">
        <v>1197</v>
      </c>
      <c r="D23" s="316" t="s">
        <v>1196</v>
      </c>
      <c r="E23" s="174"/>
      <c r="F23" s="967">
        <v>0</v>
      </c>
      <c r="G23" s="273">
        <f t="shared" si="3"/>
        <v>0</v>
      </c>
      <c r="H23" s="969">
        <f t="shared" si="4"/>
        <v>0</v>
      </c>
      <c r="I23" s="967">
        <v>1776115.5302775623</v>
      </c>
      <c r="J23" s="969">
        <f t="shared" si="5"/>
        <v>-1776115.5302775623</v>
      </c>
      <c r="K23" s="970">
        <f t="shared" si="6"/>
        <v>-312835.6677310798</v>
      </c>
      <c r="L23" s="969">
        <f t="shared" si="7"/>
        <v>-2088951.1980086421</v>
      </c>
      <c r="M23" s="291"/>
    </row>
    <row r="24" spans="1:13">
      <c r="A24" s="315" t="s">
        <v>1204</v>
      </c>
      <c r="C24" s="318" t="s">
        <v>1205</v>
      </c>
      <c r="D24" s="316" t="s">
        <v>1206</v>
      </c>
      <c r="E24" s="174"/>
      <c r="F24" s="967">
        <v>0</v>
      </c>
      <c r="G24" s="273">
        <f t="shared" si="3"/>
        <v>0</v>
      </c>
      <c r="H24" s="969">
        <f t="shared" si="4"/>
        <v>0</v>
      </c>
      <c r="I24" s="967">
        <v>0</v>
      </c>
      <c r="J24" s="969">
        <f t="shared" si="5"/>
        <v>0</v>
      </c>
      <c r="K24" s="970">
        <f t="shared" si="6"/>
        <v>0</v>
      </c>
      <c r="L24" s="969">
        <f t="shared" si="7"/>
        <v>0</v>
      </c>
      <c r="M24" s="291"/>
    </row>
    <row r="25" spans="1:13">
      <c r="A25" s="231"/>
      <c r="C25" s="171"/>
      <c r="D25" s="171"/>
      <c r="E25" s="174"/>
      <c r="F25" s="174"/>
      <c r="G25" s="174"/>
      <c r="H25" s="174"/>
      <c r="I25" s="174"/>
      <c r="J25" s="174"/>
      <c r="K25" s="174"/>
      <c r="L25" s="174"/>
      <c r="M25" s="291"/>
    </row>
    <row r="26" spans="1:13">
      <c r="A26" s="231"/>
      <c r="C26" s="171"/>
      <c r="D26" s="171"/>
      <c r="E26" s="174"/>
      <c r="F26" s="174"/>
      <c r="G26" s="174"/>
      <c r="H26" s="174"/>
      <c r="I26" s="174"/>
      <c r="J26" s="174"/>
      <c r="K26" s="174"/>
      <c r="L26" s="174"/>
      <c r="M26" s="291"/>
    </row>
    <row r="27" spans="1:13">
      <c r="A27" s="231"/>
      <c r="C27" s="171"/>
      <c r="D27" s="171"/>
      <c r="E27" s="174"/>
      <c r="F27" s="174"/>
      <c r="G27" s="174"/>
      <c r="H27" s="174"/>
      <c r="I27" s="174"/>
      <c r="J27" s="174"/>
      <c r="K27" s="174"/>
      <c r="L27" s="174"/>
      <c r="M27" s="291"/>
    </row>
    <row r="28" spans="1:13">
      <c r="A28" s="231"/>
      <c r="C28" s="171"/>
      <c r="D28" s="171"/>
      <c r="E28" s="174"/>
      <c r="F28" s="174"/>
      <c r="G28" s="174"/>
      <c r="H28" s="174"/>
      <c r="I28" s="174"/>
      <c r="J28" s="174"/>
      <c r="K28" s="174"/>
      <c r="L28" s="174"/>
      <c r="M28" s="291"/>
    </row>
    <row r="29" spans="1:13">
      <c r="A29" s="231"/>
      <c r="C29" s="171"/>
      <c r="D29" s="171"/>
      <c r="E29" s="174"/>
      <c r="F29" s="174"/>
      <c r="G29" s="174"/>
      <c r="H29" s="174"/>
      <c r="I29" s="174"/>
      <c r="J29" s="174"/>
      <c r="K29" s="174"/>
      <c r="L29" s="174"/>
      <c r="M29" s="291"/>
    </row>
    <row r="30" spans="1:13">
      <c r="A30" s="231"/>
      <c r="C30" s="171"/>
      <c r="D30" s="171"/>
      <c r="E30" s="174"/>
      <c r="F30" s="174"/>
      <c r="G30" s="174"/>
      <c r="H30" s="174"/>
      <c r="I30" s="174"/>
      <c r="J30" s="174"/>
      <c r="K30" s="174"/>
      <c r="L30" s="174"/>
      <c r="M30" s="291"/>
    </row>
    <row r="31" spans="1:13">
      <c r="A31" s="231"/>
      <c r="C31" s="171"/>
      <c r="D31" s="171"/>
      <c r="E31" s="174"/>
      <c r="F31" s="174"/>
      <c r="G31" s="174"/>
      <c r="H31" s="174"/>
      <c r="I31" s="174"/>
      <c r="J31" s="174"/>
      <c r="K31" s="174"/>
      <c r="L31" s="174"/>
      <c r="M31" s="291"/>
    </row>
    <row r="32" spans="1:13">
      <c r="A32" s="231"/>
      <c r="C32" s="171"/>
      <c r="D32" s="171"/>
      <c r="E32" s="174"/>
      <c r="F32" s="174"/>
      <c r="G32" s="174"/>
      <c r="H32" s="174"/>
      <c r="I32" s="174"/>
      <c r="J32" s="174"/>
      <c r="K32" s="174"/>
      <c r="L32" s="174"/>
      <c r="M32" s="291"/>
    </row>
    <row r="33" spans="1:13">
      <c r="A33" s="270"/>
      <c r="B33" s="249"/>
      <c r="C33" s="271"/>
      <c r="D33" s="271"/>
      <c r="E33" s="292"/>
      <c r="F33" s="292"/>
      <c r="G33" s="292"/>
      <c r="H33" s="292"/>
      <c r="I33" s="292"/>
      <c r="J33" s="292"/>
      <c r="K33" s="292"/>
      <c r="L33" s="292"/>
      <c r="M33" s="293"/>
    </row>
    <row r="34" spans="1:13">
      <c r="A34" s="233" t="s">
        <v>209</v>
      </c>
      <c r="B34" s="294"/>
      <c r="C34" s="186" t="s">
        <v>254</v>
      </c>
      <c r="D34" s="187"/>
      <c r="E34" s="244"/>
      <c r="F34" s="968">
        <f>SUM(F17:F33)</f>
        <v>15272724.192212911</v>
      </c>
      <c r="G34" s="968"/>
      <c r="H34" s="968"/>
      <c r="I34" s="968">
        <f>SUM(I17:I33)</f>
        <v>17079792.837248482</v>
      </c>
      <c r="J34" s="968">
        <f>SUM(J17:J33)</f>
        <v>-1792848.4986101093</v>
      </c>
      <c r="K34" s="969"/>
      <c r="L34" s="969">
        <f>SUM(L17:L33)</f>
        <v>-2108631.4235619046</v>
      </c>
      <c r="M34" s="273"/>
    </row>
    <row r="35" spans="1:13">
      <c r="A35" s="171"/>
      <c r="B35" s="171"/>
      <c r="E35" s="171"/>
    </row>
    <row r="36" spans="1:13">
      <c r="A36" s="233" t="s">
        <v>210</v>
      </c>
      <c r="B36" s="171"/>
      <c r="C36" s="186" t="s">
        <v>1078</v>
      </c>
      <c r="E36" s="171"/>
      <c r="J36" s="273"/>
      <c r="L36" s="969">
        <f>'Attachment 13a - TEC True-Up'!G73</f>
        <v>-315782.9249517952</v>
      </c>
      <c r="M36" s="273"/>
    </row>
    <row r="37" spans="1:13">
      <c r="A37" s="277"/>
      <c r="B37" s="171"/>
      <c r="E37" s="171"/>
    </row>
    <row r="38" spans="1:13">
      <c r="A38" s="171" t="s">
        <v>265</v>
      </c>
      <c r="B38" s="171"/>
      <c r="C38" s="171"/>
      <c r="D38" s="171"/>
      <c r="E38" s="171"/>
      <c r="F38" s="171"/>
      <c r="G38" s="171"/>
      <c r="H38" s="171"/>
      <c r="I38" s="171"/>
      <c r="J38" s="171"/>
      <c r="K38" s="171"/>
      <c r="L38" s="171"/>
      <c r="M38" s="171"/>
    </row>
    <row r="39" spans="1:13">
      <c r="A39" s="275"/>
      <c r="B39" s="171" t="s">
        <v>223</v>
      </c>
      <c r="C39" s="171" t="s">
        <v>423</v>
      </c>
      <c r="D39" s="171"/>
      <c r="E39" s="171"/>
      <c r="F39" s="171"/>
      <c r="G39" s="171"/>
      <c r="H39" s="171"/>
      <c r="I39" s="171"/>
      <c r="J39" s="171"/>
      <c r="K39" s="171"/>
      <c r="L39" s="171"/>
      <c r="M39" s="171"/>
    </row>
    <row r="40" spans="1:13">
      <c r="A40" s="295"/>
      <c r="C40" s="233"/>
      <c r="D40" s="233"/>
      <c r="E40" s="244"/>
      <c r="F40" s="244"/>
      <c r="G40" s="235"/>
      <c r="J40" s="278"/>
    </row>
    <row r="41" spans="1:13">
      <c r="A41" s="990"/>
      <c r="B41" s="990"/>
      <c r="C41" s="990"/>
      <c r="D41" s="990"/>
      <c r="E41" s="990"/>
      <c r="F41" s="990"/>
      <c r="G41" s="990"/>
      <c r="H41" s="990"/>
      <c r="I41" s="990"/>
      <c r="J41" s="990"/>
      <c r="K41" s="990"/>
      <c r="L41" s="990"/>
    </row>
    <row r="42" spans="1:13">
      <c r="A42" s="990"/>
      <c r="B42" s="990"/>
      <c r="C42" s="990"/>
      <c r="D42" s="990"/>
      <c r="E42" s="990"/>
      <c r="F42" s="990"/>
      <c r="G42" s="990"/>
      <c r="H42" s="990"/>
      <c r="I42" s="990"/>
      <c r="J42" s="990"/>
      <c r="K42" s="990"/>
      <c r="L42" s="993"/>
    </row>
    <row r="43" spans="1:13">
      <c r="A43" s="990"/>
      <c r="B43" s="990"/>
      <c r="C43" s="990"/>
      <c r="D43" s="990"/>
      <c r="E43" s="990"/>
      <c r="F43" s="990"/>
      <c r="G43" s="990"/>
      <c r="H43" s="990"/>
      <c r="I43" s="990"/>
      <c r="J43" s="990"/>
      <c r="K43" s="990"/>
      <c r="L43" s="990"/>
    </row>
    <row r="44" spans="1:13">
      <c r="A44" s="991"/>
      <c r="B44" s="990"/>
      <c r="C44" s="990"/>
      <c r="D44" s="990"/>
      <c r="E44" s="990"/>
      <c r="F44" s="990"/>
      <c r="G44" s="992"/>
      <c r="H44" s="990"/>
      <c r="I44" s="990"/>
      <c r="J44" s="990"/>
      <c r="K44" s="990"/>
      <c r="L44" s="990"/>
    </row>
    <row r="45" spans="1:13">
      <c r="C45" s="171"/>
      <c r="D45" s="171"/>
      <c r="E45" s="171"/>
      <c r="F45" s="171"/>
      <c r="G45" s="171"/>
      <c r="H45" s="171"/>
      <c r="I45" s="171"/>
      <c r="J45" s="171"/>
      <c r="K45" s="171"/>
      <c r="L45" s="171"/>
    </row>
    <row r="46" spans="1:13">
      <c r="C46" s="171"/>
      <c r="D46" s="171"/>
      <c r="E46" s="171"/>
      <c r="F46" s="171"/>
      <c r="G46" s="171"/>
      <c r="H46" s="171"/>
      <c r="I46" s="171"/>
      <c r="J46" s="171"/>
      <c r="K46" s="171"/>
      <c r="L46" s="171"/>
    </row>
    <row r="47" spans="1:13">
      <c r="C47" s="171"/>
      <c r="D47" s="171"/>
      <c r="E47" s="171"/>
      <c r="F47" s="171"/>
      <c r="G47" s="171"/>
      <c r="H47" s="171"/>
      <c r="I47" s="171"/>
      <c r="J47" s="171"/>
      <c r="K47" s="171"/>
      <c r="L47" s="171"/>
    </row>
    <row r="48" spans="1:13">
      <c r="C48" s="171"/>
      <c r="D48" s="171"/>
      <c r="E48" s="171"/>
      <c r="F48" s="171"/>
      <c r="G48" s="171"/>
      <c r="H48" s="171"/>
      <c r="I48" s="171"/>
      <c r="J48" s="171"/>
      <c r="K48" s="171"/>
      <c r="L48" s="171"/>
    </row>
    <row r="49" spans="3:12">
      <c r="C49" s="171"/>
      <c r="D49" s="171"/>
      <c r="E49" s="171"/>
      <c r="F49" s="171"/>
      <c r="G49" s="171"/>
      <c r="H49" s="171"/>
      <c r="I49" s="171"/>
      <c r="J49" s="171"/>
      <c r="K49" s="171"/>
      <c r="L49" s="171"/>
    </row>
    <row r="50" spans="3:12">
      <c r="C50" s="171"/>
      <c r="D50" s="171"/>
      <c r="E50" s="171"/>
      <c r="F50" s="171"/>
      <c r="G50" s="171"/>
      <c r="H50" s="171"/>
      <c r="I50" s="171"/>
      <c r="J50" s="171"/>
      <c r="K50" s="171"/>
      <c r="L50" s="171"/>
    </row>
    <row r="51" spans="3:12">
      <c r="C51" s="171"/>
      <c r="D51" s="171"/>
      <c r="E51" s="171"/>
      <c r="F51" s="171"/>
      <c r="G51" s="171"/>
      <c r="H51" s="171"/>
      <c r="I51" s="171"/>
      <c r="J51" s="171"/>
      <c r="K51" s="171"/>
      <c r="L51" s="171"/>
    </row>
    <row r="52" spans="3:12">
      <c r="C52" s="171"/>
      <c r="D52" s="171"/>
      <c r="E52" s="171"/>
      <c r="F52" s="171"/>
      <c r="G52" s="171"/>
      <c r="H52" s="171"/>
      <c r="I52" s="171"/>
      <c r="J52" s="171"/>
      <c r="K52" s="171"/>
      <c r="L52" s="171"/>
    </row>
    <row r="53" spans="3:12">
      <c r="C53" s="171"/>
      <c r="D53" s="171"/>
      <c r="E53" s="171"/>
      <c r="F53" s="171"/>
      <c r="G53" s="171"/>
      <c r="H53" s="171"/>
      <c r="I53" s="171"/>
      <c r="J53" s="171"/>
      <c r="K53" s="171"/>
      <c r="L53" s="171"/>
    </row>
    <row r="54" spans="3:12">
      <c r="C54" s="171"/>
      <c r="D54" s="171"/>
      <c r="E54" s="171"/>
      <c r="F54" s="171"/>
      <c r="G54" s="171"/>
      <c r="H54" s="171"/>
      <c r="I54" s="171"/>
      <c r="J54" s="171"/>
      <c r="K54" s="171"/>
      <c r="L54" s="171"/>
    </row>
    <row r="55" spans="3:12">
      <c r="C55" s="171"/>
      <c r="D55" s="171"/>
      <c r="E55" s="171"/>
      <c r="F55" s="171"/>
      <c r="G55" s="171"/>
      <c r="H55" s="171"/>
      <c r="I55" s="171"/>
      <c r="J55" s="171"/>
      <c r="K55" s="171"/>
      <c r="L55" s="171"/>
    </row>
    <row r="56" spans="3:12">
      <c r="C56" s="171"/>
      <c r="D56" s="171"/>
      <c r="E56" s="171"/>
      <c r="F56" s="171"/>
      <c r="G56" s="171"/>
      <c r="H56" s="171"/>
      <c r="I56" s="171"/>
      <c r="J56" s="171"/>
      <c r="K56" s="171"/>
      <c r="L56" s="171"/>
    </row>
    <row r="57" spans="3:12">
      <c r="C57" s="171"/>
      <c r="D57" s="171"/>
      <c r="E57" s="171"/>
      <c r="F57" s="171"/>
      <c r="G57" s="171"/>
      <c r="H57" s="171"/>
      <c r="I57" s="171"/>
      <c r="J57" s="171"/>
      <c r="K57" s="171"/>
      <c r="L57" s="171"/>
    </row>
    <row r="58" spans="3:12">
      <c r="C58" s="171"/>
      <c r="D58" s="171"/>
      <c r="E58" s="171"/>
      <c r="F58" s="171"/>
      <c r="G58" s="171"/>
      <c r="H58" s="171"/>
      <c r="I58" s="171"/>
      <c r="J58" s="171"/>
      <c r="K58" s="171"/>
      <c r="L58" s="171"/>
    </row>
    <row r="59" spans="3:12">
      <c r="C59" s="171"/>
      <c r="D59" s="171"/>
      <c r="E59" s="171"/>
      <c r="F59" s="171"/>
      <c r="G59" s="171"/>
      <c r="H59" s="171"/>
      <c r="I59" s="171"/>
      <c r="J59" s="171"/>
      <c r="K59" s="171"/>
      <c r="L59" s="171"/>
    </row>
    <row r="60" spans="3:12">
      <c r="C60" s="171"/>
      <c r="D60" s="171"/>
      <c r="E60" s="171"/>
      <c r="F60" s="171"/>
      <c r="G60" s="171"/>
      <c r="H60" s="171"/>
      <c r="I60" s="171"/>
      <c r="J60" s="171"/>
      <c r="K60" s="171"/>
      <c r="L60" s="171"/>
    </row>
    <row r="61" spans="3:12">
      <c r="C61" s="171"/>
      <c r="D61" s="171"/>
      <c r="E61" s="171"/>
      <c r="F61" s="171"/>
      <c r="G61" s="171"/>
      <c r="H61" s="171"/>
      <c r="I61" s="171"/>
      <c r="J61" s="171"/>
      <c r="K61" s="171"/>
      <c r="L61" s="171"/>
    </row>
    <row r="62" spans="3:12">
      <c r="C62" s="171"/>
      <c r="D62" s="171"/>
      <c r="E62" s="171"/>
      <c r="F62" s="171"/>
      <c r="G62" s="171"/>
      <c r="H62" s="171"/>
      <c r="I62" s="171"/>
      <c r="J62" s="171"/>
      <c r="K62" s="171"/>
      <c r="L62" s="171"/>
    </row>
    <row r="63" spans="3:12">
      <c r="C63" s="171"/>
      <c r="D63" s="171"/>
      <c r="E63" s="171"/>
      <c r="F63" s="171"/>
      <c r="G63" s="171"/>
      <c r="H63" s="171"/>
      <c r="I63" s="171"/>
      <c r="J63" s="171"/>
      <c r="K63" s="171"/>
      <c r="L63" s="171"/>
    </row>
    <row r="64" spans="3:12">
      <c r="C64" s="171"/>
      <c r="D64" s="171"/>
      <c r="E64" s="171"/>
      <c r="F64" s="171"/>
      <c r="G64" s="171"/>
      <c r="H64" s="171"/>
      <c r="I64" s="171"/>
      <c r="J64" s="171"/>
      <c r="K64" s="171"/>
      <c r="L64" s="171"/>
    </row>
    <row r="65" spans="3:12">
      <c r="C65" s="171"/>
      <c r="D65" s="171"/>
      <c r="E65" s="171"/>
      <c r="F65" s="171"/>
      <c r="G65" s="171"/>
      <c r="H65" s="171"/>
      <c r="I65" s="171"/>
      <c r="J65" s="171"/>
      <c r="K65" s="171"/>
      <c r="L65" s="171"/>
    </row>
    <row r="66" spans="3:12">
      <c r="C66" s="171"/>
      <c r="D66" s="171"/>
      <c r="E66" s="171"/>
      <c r="F66" s="171"/>
      <c r="G66" s="171"/>
      <c r="H66" s="171"/>
      <c r="I66" s="171"/>
      <c r="J66" s="171"/>
      <c r="K66" s="171"/>
      <c r="L66" s="171"/>
    </row>
    <row r="67" spans="3:12">
      <c r="C67" s="171"/>
      <c r="D67" s="171"/>
      <c r="E67" s="171"/>
      <c r="F67" s="171"/>
      <c r="G67" s="171"/>
      <c r="H67" s="171"/>
      <c r="I67" s="171"/>
      <c r="J67" s="171"/>
      <c r="K67" s="171"/>
      <c r="L67" s="171"/>
    </row>
    <row r="68" spans="3:12">
      <c r="C68" s="171"/>
      <c r="D68" s="171"/>
      <c r="E68" s="171"/>
      <c r="F68" s="171"/>
      <c r="G68" s="171"/>
      <c r="H68" s="171"/>
      <c r="I68" s="171"/>
      <c r="J68" s="171"/>
      <c r="K68" s="171"/>
      <c r="L68" s="171"/>
    </row>
    <row r="69" spans="3:12">
      <c r="C69" s="171"/>
      <c r="D69" s="171"/>
      <c r="E69" s="171"/>
      <c r="F69" s="171"/>
      <c r="G69" s="171"/>
      <c r="H69" s="171"/>
      <c r="I69" s="171"/>
      <c r="J69" s="171"/>
      <c r="K69" s="171"/>
      <c r="L69" s="171"/>
    </row>
    <row r="70" spans="3:12">
      <c r="C70" s="171"/>
      <c r="D70" s="171"/>
      <c r="E70" s="171"/>
      <c r="F70" s="171"/>
      <c r="G70" s="171"/>
      <c r="H70" s="171"/>
      <c r="I70" s="171"/>
      <c r="J70" s="171"/>
      <c r="K70" s="171"/>
      <c r="L70" s="171"/>
    </row>
    <row r="71" spans="3:12">
      <c r="C71" s="171"/>
      <c r="D71" s="171"/>
      <c r="E71" s="171"/>
      <c r="F71" s="171"/>
      <c r="G71" s="171"/>
      <c r="H71" s="171"/>
      <c r="I71" s="171"/>
      <c r="J71" s="171"/>
      <c r="K71" s="171"/>
      <c r="L71" s="171"/>
    </row>
    <row r="72" spans="3:12">
      <c r="C72" s="171"/>
      <c r="D72" s="171"/>
      <c r="E72" s="171"/>
      <c r="F72" s="171"/>
      <c r="G72" s="171"/>
      <c r="H72" s="171"/>
      <c r="I72" s="171"/>
      <c r="J72" s="171"/>
      <c r="K72" s="171"/>
      <c r="L72" s="171"/>
    </row>
    <row r="73" spans="3:12">
      <c r="C73" s="171"/>
      <c r="D73" s="171"/>
      <c r="E73" s="171"/>
      <c r="F73" s="171"/>
      <c r="G73" s="171"/>
      <c r="H73" s="171"/>
      <c r="I73" s="171"/>
      <c r="J73" s="171"/>
      <c r="K73" s="171"/>
      <c r="L73" s="171"/>
    </row>
    <row r="74" spans="3:12">
      <c r="C74" s="171"/>
      <c r="D74" s="171"/>
      <c r="E74" s="171"/>
      <c r="F74" s="171"/>
      <c r="G74" s="171"/>
      <c r="H74" s="171"/>
      <c r="I74" s="171"/>
      <c r="J74" s="171"/>
      <c r="K74" s="171"/>
      <c r="L74" s="171"/>
    </row>
    <row r="75" spans="3:12">
      <c r="C75" s="171"/>
      <c r="D75" s="171"/>
      <c r="E75" s="171"/>
      <c r="F75" s="171"/>
      <c r="G75" s="171"/>
      <c r="H75" s="171"/>
      <c r="I75" s="171"/>
      <c r="J75" s="171"/>
      <c r="K75" s="171"/>
      <c r="L75" s="171"/>
    </row>
    <row r="76" spans="3:12">
      <c r="C76" s="171"/>
      <c r="D76" s="171"/>
      <c r="E76" s="171"/>
      <c r="F76" s="171"/>
      <c r="G76" s="171"/>
      <c r="H76" s="171"/>
      <c r="I76" s="171"/>
      <c r="J76" s="171"/>
      <c r="K76" s="171"/>
      <c r="L76" s="171"/>
    </row>
    <row r="77" spans="3:12">
      <c r="C77" s="171"/>
      <c r="D77" s="171"/>
      <c r="E77" s="171"/>
      <c r="F77" s="171"/>
      <c r="G77" s="171"/>
      <c r="H77" s="171"/>
      <c r="I77" s="171"/>
      <c r="J77" s="171"/>
      <c r="K77" s="171"/>
      <c r="L77" s="171"/>
    </row>
    <row r="78" spans="3:12">
      <c r="C78" s="171"/>
      <c r="D78" s="171"/>
      <c r="E78" s="171"/>
      <c r="F78" s="171"/>
      <c r="G78" s="171"/>
      <c r="H78" s="171"/>
      <c r="I78" s="171"/>
      <c r="J78" s="171"/>
      <c r="K78" s="171"/>
      <c r="L78" s="171"/>
    </row>
    <row r="79" spans="3:12">
      <c r="C79" s="171"/>
      <c r="D79" s="171"/>
      <c r="E79" s="171"/>
      <c r="F79" s="171"/>
      <c r="G79" s="171"/>
      <c r="H79" s="171"/>
      <c r="I79" s="171"/>
      <c r="J79" s="171"/>
      <c r="K79" s="171"/>
      <c r="L79" s="171"/>
    </row>
    <row r="80" spans="3:12">
      <c r="C80" s="171"/>
      <c r="D80" s="171"/>
      <c r="E80" s="171"/>
      <c r="F80" s="171"/>
      <c r="G80" s="171"/>
      <c r="H80" s="171"/>
      <c r="I80" s="171"/>
      <c r="J80" s="171"/>
      <c r="K80" s="171"/>
      <c r="L80" s="171"/>
    </row>
    <row r="81" spans="3:12">
      <c r="C81" s="171"/>
      <c r="D81" s="171"/>
      <c r="E81" s="171"/>
      <c r="F81" s="171"/>
      <c r="G81" s="171"/>
      <c r="H81" s="171"/>
      <c r="I81" s="171"/>
      <c r="J81" s="171"/>
      <c r="K81" s="171"/>
      <c r="L81" s="171"/>
    </row>
    <row r="82" spans="3:12">
      <c r="C82" s="171"/>
      <c r="D82" s="171"/>
      <c r="E82" s="171"/>
      <c r="F82" s="171"/>
      <c r="G82" s="171"/>
      <c r="H82" s="171"/>
      <c r="I82" s="171"/>
      <c r="J82" s="171"/>
      <c r="K82" s="171"/>
      <c r="L82" s="171"/>
    </row>
    <row r="83" spans="3:12">
      <c r="C83" s="171"/>
      <c r="D83" s="171"/>
      <c r="E83" s="171"/>
      <c r="F83" s="171"/>
      <c r="G83" s="171"/>
      <c r="H83" s="171"/>
      <c r="I83" s="171"/>
      <c r="J83" s="171"/>
      <c r="K83" s="171"/>
      <c r="L83" s="171"/>
    </row>
    <row r="84" spans="3:12">
      <c r="C84" s="171"/>
      <c r="D84" s="171"/>
      <c r="E84" s="171"/>
      <c r="F84" s="171"/>
      <c r="G84" s="171"/>
      <c r="H84" s="171"/>
      <c r="I84" s="171"/>
      <c r="J84" s="171"/>
      <c r="K84" s="171"/>
      <c r="L84" s="171"/>
    </row>
    <row r="85" spans="3:12">
      <c r="C85" s="171"/>
      <c r="D85" s="171"/>
      <c r="E85" s="171"/>
      <c r="F85" s="171"/>
      <c r="G85" s="171"/>
      <c r="H85" s="171"/>
      <c r="I85" s="171"/>
      <c r="J85" s="171"/>
      <c r="K85" s="171"/>
      <c r="L85" s="171"/>
    </row>
    <row r="86" spans="3:12">
      <c r="C86" s="171"/>
      <c r="D86" s="171"/>
      <c r="E86" s="171"/>
      <c r="F86" s="171"/>
      <c r="G86" s="171"/>
      <c r="H86" s="171"/>
      <c r="I86" s="171"/>
      <c r="J86" s="171"/>
      <c r="K86" s="171"/>
      <c r="L86" s="171"/>
    </row>
    <row r="87" spans="3:12">
      <c r="C87" s="171"/>
      <c r="D87" s="171"/>
      <c r="E87" s="171"/>
      <c r="F87" s="171"/>
      <c r="G87" s="171"/>
      <c r="H87" s="171"/>
      <c r="I87" s="171"/>
      <c r="J87" s="171"/>
      <c r="K87" s="171"/>
      <c r="L87" s="171"/>
    </row>
    <row r="88" spans="3:12">
      <c r="C88" s="171"/>
      <c r="D88" s="171"/>
      <c r="E88" s="171"/>
      <c r="F88" s="171"/>
      <c r="G88" s="171"/>
      <c r="H88" s="171"/>
      <c r="I88" s="171"/>
      <c r="J88" s="171"/>
      <c r="K88" s="171"/>
      <c r="L88" s="171"/>
    </row>
    <row r="89" spans="3:12">
      <c r="C89" s="171"/>
      <c r="D89" s="171"/>
      <c r="E89" s="171"/>
      <c r="F89" s="171"/>
      <c r="G89" s="171"/>
      <c r="H89" s="171"/>
      <c r="I89" s="171"/>
      <c r="J89" s="171"/>
      <c r="K89" s="171"/>
      <c r="L89" s="171"/>
    </row>
    <row r="90" spans="3:12">
      <c r="C90" s="171"/>
      <c r="D90" s="171"/>
      <c r="E90" s="171"/>
      <c r="F90" s="171"/>
      <c r="G90" s="171"/>
      <c r="H90" s="171"/>
      <c r="I90" s="171"/>
      <c r="J90" s="171"/>
      <c r="K90" s="171"/>
      <c r="L90" s="171"/>
    </row>
    <row r="91" spans="3:12">
      <c r="C91" s="171"/>
      <c r="D91" s="171"/>
      <c r="E91" s="171"/>
      <c r="F91" s="171"/>
      <c r="G91" s="171"/>
      <c r="H91" s="171"/>
      <c r="I91" s="171"/>
      <c r="J91" s="171"/>
      <c r="K91" s="171"/>
      <c r="L91" s="171"/>
    </row>
    <row r="92" spans="3:12">
      <c r="C92" s="171"/>
      <c r="D92" s="171"/>
      <c r="E92" s="171"/>
      <c r="F92" s="171"/>
      <c r="G92" s="171"/>
      <c r="H92" s="171"/>
      <c r="I92" s="171"/>
      <c r="J92" s="171"/>
      <c r="K92" s="171"/>
      <c r="L92" s="171"/>
    </row>
    <row r="93" spans="3:12">
      <c r="C93" s="171"/>
      <c r="D93" s="171"/>
      <c r="E93" s="171"/>
      <c r="F93" s="171"/>
      <c r="G93" s="171"/>
      <c r="H93" s="171"/>
      <c r="I93" s="171"/>
      <c r="J93" s="171"/>
      <c r="K93" s="171"/>
      <c r="L93" s="171"/>
    </row>
    <row r="94" spans="3:12">
      <c r="C94" s="171"/>
      <c r="D94" s="171"/>
      <c r="E94" s="171"/>
      <c r="F94" s="171"/>
      <c r="G94" s="171"/>
      <c r="H94" s="171"/>
      <c r="I94" s="171"/>
      <c r="J94" s="171"/>
      <c r="K94" s="171"/>
      <c r="L94" s="171"/>
    </row>
    <row r="95" spans="3:12">
      <c r="C95" s="171"/>
      <c r="D95" s="171"/>
      <c r="E95" s="171"/>
      <c r="F95" s="171"/>
      <c r="G95" s="171"/>
      <c r="H95" s="171"/>
      <c r="I95" s="171"/>
      <c r="J95" s="171"/>
      <c r="K95" s="171"/>
      <c r="L95" s="171"/>
    </row>
    <row r="96" spans="3:12">
      <c r="C96" s="171"/>
      <c r="D96" s="171"/>
      <c r="E96" s="171"/>
      <c r="F96" s="171"/>
      <c r="G96" s="171"/>
      <c r="H96" s="171"/>
      <c r="I96" s="171"/>
      <c r="J96" s="171"/>
      <c r="K96" s="171"/>
      <c r="L96" s="171"/>
    </row>
    <row r="97" spans="3:12">
      <c r="C97" s="171"/>
      <c r="D97" s="171"/>
      <c r="E97" s="171"/>
      <c r="F97" s="171"/>
      <c r="G97" s="171"/>
      <c r="H97" s="171"/>
      <c r="I97" s="171"/>
      <c r="J97" s="171"/>
      <c r="K97" s="171"/>
      <c r="L97" s="171"/>
    </row>
    <row r="98" spans="3:12">
      <c r="C98" s="171"/>
      <c r="D98" s="171"/>
      <c r="E98" s="171"/>
      <c r="F98" s="171"/>
      <c r="G98" s="171"/>
      <c r="H98" s="171"/>
      <c r="I98" s="171"/>
      <c r="J98" s="171"/>
      <c r="K98" s="171"/>
      <c r="L98" s="171"/>
    </row>
    <row r="99" spans="3:12">
      <c r="C99" s="171"/>
      <c r="D99" s="171"/>
      <c r="E99" s="171"/>
      <c r="F99" s="171"/>
      <c r="G99" s="171"/>
      <c r="H99" s="171"/>
      <c r="I99" s="171"/>
      <c r="J99" s="171"/>
      <c r="K99" s="171"/>
      <c r="L99" s="171"/>
    </row>
    <row r="100" spans="3:12">
      <c r="C100" s="171"/>
      <c r="D100" s="171"/>
      <c r="E100" s="171"/>
      <c r="F100" s="171"/>
      <c r="G100" s="171"/>
      <c r="H100" s="171"/>
      <c r="I100" s="171"/>
      <c r="J100" s="171"/>
      <c r="K100" s="171"/>
      <c r="L100" s="171"/>
    </row>
    <row r="101" spans="3:12">
      <c r="C101" s="171"/>
      <c r="D101" s="171"/>
      <c r="E101" s="171"/>
      <c r="F101" s="171"/>
      <c r="G101" s="171"/>
      <c r="H101" s="171"/>
      <c r="I101" s="171"/>
      <c r="J101" s="171"/>
      <c r="K101" s="171"/>
      <c r="L101" s="171"/>
    </row>
    <row r="102" spans="3:12">
      <c r="C102" s="171"/>
      <c r="D102" s="171"/>
      <c r="E102" s="171"/>
      <c r="F102" s="171"/>
      <c r="G102" s="171"/>
      <c r="H102" s="171"/>
      <c r="I102" s="171"/>
      <c r="J102" s="171"/>
      <c r="K102" s="171"/>
      <c r="L102" s="171"/>
    </row>
    <row r="103" spans="3:12">
      <c r="C103" s="171"/>
      <c r="D103" s="171"/>
      <c r="E103" s="171"/>
      <c r="F103" s="171"/>
      <c r="G103" s="171"/>
      <c r="H103" s="171"/>
      <c r="I103" s="171"/>
      <c r="J103" s="171"/>
      <c r="K103" s="171"/>
      <c r="L103" s="171"/>
    </row>
    <row r="104" spans="3:12">
      <c r="C104" s="171"/>
      <c r="D104" s="171"/>
      <c r="E104" s="171"/>
      <c r="F104" s="171"/>
      <c r="G104" s="171"/>
      <c r="H104" s="171"/>
      <c r="I104" s="171"/>
      <c r="J104" s="171"/>
      <c r="K104" s="171"/>
      <c r="L104" s="171"/>
    </row>
    <row r="105" spans="3:12">
      <c r="C105" s="171"/>
      <c r="D105" s="171"/>
      <c r="E105" s="171"/>
      <c r="F105" s="171"/>
      <c r="G105" s="171"/>
      <c r="H105" s="171"/>
      <c r="I105" s="171"/>
      <c r="J105" s="171"/>
      <c r="K105" s="171"/>
      <c r="L105" s="171"/>
    </row>
    <row r="106" spans="3:12">
      <c r="C106" s="171"/>
      <c r="D106" s="171"/>
      <c r="E106" s="171"/>
      <c r="F106" s="171"/>
      <c r="G106" s="171"/>
      <c r="H106" s="171"/>
      <c r="I106" s="171"/>
      <c r="J106" s="171"/>
      <c r="K106" s="171"/>
      <c r="L106" s="171"/>
    </row>
    <row r="107" spans="3:12">
      <c r="C107" s="171"/>
      <c r="D107" s="171"/>
      <c r="E107" s="171"/>
      <c r="F107" s="171"/>
      <c r="G107" s="171"/>
      <c r="H107" s="171"/>
      <c r="I107" s="171"/>
      <c r="J107" s="171"/>
      <c r="K107" s="171"/>
      <c r="L107" s="171"/>
    </row>
    <row r="108" spans="3:12">
      <c r="C108" s="171"/>
      <c r="D108" s="171"/>
      <c r="E108" s="171"/>
      <c r="F108" s="171"/>
      <c r="G108" s="171"/>
      <c r="H108" s="171"/>
      <c r="I108" s="171"/>
      <c r="J108" s="171"/>
      <c r="K108" s="171"/>
      <c r="L108" s="171"/>
    </row>
    <row r="109" spans="3:12">
      <c r="C109" s="171"/>
      <c r="D109" s="171"/>
      <c r="E109" s="171"/>
      <c r="F109" s="171"/>
      <c r="G109" s="171"/>
      <c r="H109" s="171"/>
      <c r="I109" s="171"/>
      <c r="J109" s="171"/>
      <c r="K109" s="171"/>
      <c r="L109" s="171"/>
    </row>
    <row r="110" spans="3:12">
      <c r="C110" s="171"/>
      <c r="D110" s="171"/>
      <c r="E110" s="171"/>
      <c r="F110" s="171"/>
      <c r="G110" s="171"/>
      <c r="H110" s="171"/>
      <c r="I110" s="171"/>
      <c r="J110" s="171"/>
      <c r="K110" s="171"/>
      <c r="L110" s="171"/>
    </row>
    <row r="111" spans="3:12">
      <c r="C111" s="171"/>
      <c r="D111" s="171"/>
      <c r="E111" s="171"/>
      <c r="F111" s="171"/>
      <c r="G111" s="171"/>
      <c r="H111" s="171"/>
      <c r="I111" s="171"/>
      <c r="J111" s="171"/>
      <c r="K111" s="171"/>
      <c r="L111" s="171"/>
    </row>
    <row r="112" spans="3:12">
      <c r="C112" s="171"/>
      <c r="D112" s="171"/>
      <c r="E112" s="171"/>
      <c r="F112" s="171"/>
      <c r="G112" s="171"/>
      <c r="H112" s="171"/>
      <c r="I112" s="171"/>
      <c r="J112" s="171"/>
      <c r="K112" s="171"/>
      <c r="L112" s="171"/>
    </row>
    <row r="113" spans="3:12">
      <c r="C113" s="171"/>
      <c r="D113" s="171"/>
      <c r="E113" s="171"/>
      <c r="F113" s="171"/>
      <c r="G113" s="171"/>
      <c r="H113" s="171"/>
      <c r="I113" s="171"/>
      <c r="J113" s="171"/>
      <c r="K113" s="171"/>
      <c r="L113" s="171"/>
    </row>
    <row r="114" spans="3:12">
      <c r="C114" s="171"/>
      <c r="D114" s="171"/>
      <c r="E114" s="171"/>
      <c r="F114" s="171"/>
      <c r="G114" s="171"/>
      <c r="H114" s="171"/>
      <c r="I114" s="171"/>
      <c r="J114" s="171"/>
      <c r="K114" s="171"/>
      <c r="L114" s="171"/>
    </row>
    <row r="115" spans="3:12">
      <c r="C115" s="171"/>
      <c r="D115" s="171"/>
      <c r="E115" s="171"/>
      <c r="F115" s="171"/>
      <c r="G115" s="171"/>
      <c r="H115" s="171"/>
      <c r="I115" s="171"/>
      <c r="J115" s="171"/>
      <c r="K115" s="171"/>
      <c r="L115" s="171"/>
    </row>
    <row r="116" spans="3:12">
      <c r="C116" s="171"/>
      <c r="D116" s="171"/>
      <c r="E116" s="171"/>
      <c r="F116" s="171"/>
      <c r="G116" s="171"/>
      <c r="H116" s="171"/>
      <c r="I116" s="171"/>
      <c r="J116" s="171"/>
      <c r="K116" s="171"/>
      <c r="L116" s="171"/>
    </row>
    <row r="117" spans="3:12">
      <c r="C117" s="171"/>
      <c r="D117" s="171"/>
      <c r="E117" s="171"/>
      <c r="F117" s="171"/>
      <c r="G117" s="171"/>
      <c r="H117" s="171"/>
      <c r="I117" s="171"/>
      <c r="J117" s="171"/>
      <c r="K117" s="171"/>
      <c r="L117" s="171"/>
    </row>
    <row r="118" spans="3:12">
      <c r="C118" s="171"/>
      <c r="D118" s="171"/>
      <c r="E118" s="171"/>
      <c r="F118" s="171"/>
      <c r="G118" s="171"/>
      <c r="H118" s="171"/>
      <c r="I118" s="171"/>
      <c r="J118" s="171"/>
      <c r="K118" s="171"/>
      <c r="L118" s="171"/>
    </row>
    <row r="119" spans="3:12">
      <c r="C119" s="171"/>
      <c r="D119" s="171"/>
      <c r="E119" s="171"/>
      <c r="F119" s="171"/>
      <c r="G119" s="171"/>
      <c r="H119" s="171"/>
      <c r="I119" s="171"/>
      <c r="J119" s="171"/>
      <c r="K119" s="171"/>
      <c r="L119" s="171"/>
    </row>
    <row r="120" spans="3:12">
      <c r="C120" s="171"/>
      <c r="D120" s="171"/>
      <c r="E120" s="171"/>
      <c r="F120" s="171"/>
      <c r="G120" s="171"/>
      <c r="H120" s="171"/>
      <c r="I120" s="171"/>
      <c r="J120" s="171"/>
      <c r="K120" s="171"/>
      <c r="L120" s="171"/>
    </row>
    <row r="121" spans="3:12">
      <c r="C121" s="171"/>
      <c r="D121" s="171"/>
      <c r="E121" s="171"/>
      <c r="F121" s="171"/>
      <c r="G121" s="171"/>
      <c r="H121" s="171"/>
      <c r="I121" s="171"/>
      <c r="J121" s="171"/>
      <c r="K121" s="171"/>
      <c r="L121" s="171"/>
    </row>
    <row r="122" spans="3:12">
      <c r="C122" s="171"/>
      <c r="D122" s="171"/>
      <c r="E122" s="171"/>
      <c r="F122" s="171"/>
      <c r="G122" s="171"/>
      <c r="H122" s="171"/>
      <c r="I122" s="171"/>
      <c r="J122" s="171"/>
      <c r="K122" s="171"/>
      <c r="L122" s="171"/>
    </row>
    <row r="123" spans="3:12">
      <c r="C123" s="171"/>
      <c r="D123" s="171"/>
      <c r="E123" s="171"/>
      <c r="F123" s="171"/>
      <c r="G123" s="171"/>
      <c r="H123" s="171"/>
      <c r="I123" s="171"/>
      <c r="J123" s="171"/>
      <c r="K123" s="171"/>
      <c r="L123" s="171"/>
    </row>
    <row r="124" spans="3:12">
      <c r="C124" s="171"/>
      <c r="D124" s="171"/>
      <c r="E124" s="171"/>
      <c r="F124" s="171"/>
      <c r="G124" s="171"/>
      <c r="H124" s="171"/>
      <c r="I124" s="171"/>
      <c r="J124" s="171"/>
      <c r="K124" s="171"/>
      <c r="L124" s="171"/>
    </row>
    <row r="125" spans="3:12">
      <c r="C125" s="171"/>
      <c r="D125" s="171"/>
      <c r="E125" s="171"/>
      <c r="F125" s="171"/>
      <c r="G125" s="171"/>
      <c r="H125" s="171"/>
      <c r="I125" s="171"/>
      <c r="J125" s="171"/>
      <c r="K125" s="171"/>
      <c r="L125" s="171"/>
    </row>
    <row r="126" spans="3:12">
      <c r="C126" s="171"/>
      <c r="D126" s="171"/>
      <c r="E126" s="171"/>
      <c r="F126" s="171"/>
      <c r="G126" s="171"/>
      <c r="H126" s="171"/>
      <c r="I126" s="171"/>
      <c r="J126" s="171"/>
      <c r="K126" s="171"/>
      <c r="L126" s="171"/>
    </row>
    <row r="127" spans="3:12">
      <c r="C127" s="171"/>
      <c r="D127" s="171"/>
      <c r="E127" s="171"/>
      <c r="F127" s="171"/>
      <c r="G127" s="171"/>
      <c r="H127" s="171"/>
      <c r="I127" s="171"/>
      <c r="J127" s="171"/>
      <c r="K127" s="171"/>
      <c r="L127" s="171"/>
    </row>
    <row r="128" spans="3:12">
      <c r="C128" s="171"/>
      <c r="D128" s="171"/>
      <c r="E128" s="171"/>
      <c r="F128" s="171"/>
      <c r="G128" s="171"/>
      <c r="H128" s="171"/>
      <c r="I128" s="171"/>
      <c r="J128" s="171"/>
      <c r="K128" s="171"/>
      <c r="L128" s="171"/>
    </row>
    <row r="129" spans="3:12">
      <c r="C129" s="171"/>
      <c r="D129" s="171"/>
      <c r="E129" s="171"/>
      <c r="F129" s="171"/>
      <c r="G129" s="171"/>
      <c r="H129" s="171"/>
      <c r="I129" s="171"/>
      <c r="J129" s="171"/>
      <c r="K129" s="171"/>
      <c r="L129" s="171"/>
    </row>
    <row r="130" spans="3:12">
      <c r="C130" s="171"/>
      <c r="D130" s="171"/>
      <c r="E130" s="171"/>
      <c r="F130" s="171"/>
      <c r="G130" s="171"/>
      <c r="H130" s="171"/>
      <c r="I130" s="171"/>
      <c r="J130" s="171"/>
      <c r="K130" s="171"/>
      <c r="L130" s="171"/>
    </row>
    <row r="131" spans="3:12">
      <c r="C131" s="171"/>
      <c r="D131" s="171"/>
      <c r="E131" s="171"/>
      <c r="F131" s="171"/>
      <c r="G131" s="171"/>
      <c r="H131" s="171"/>
      <c r="I131" s="171"/>
      <c r="J131" s="171"/>
      <c r="K131" s="171"/>
      <c r="L131" s="171"/>
    </row>
    <row r="132" spans="3:12">
      <c r="C132" s="171"/>
      <c r="D132" s="171"/>
      <c r="E132" s="171"/>
      <c r="F132" s="171"/>
      <c r="G132" s="171"/>
      <c r="H132" s="171"/>
      <c r="I132" s="171"/>
      <c r="J132" s="171"/>
      <c r="K132" s="171"/>
      <c r="L132" s="171"/>
    </row>
    <row r="133" spans="3:12">
      <c r="C133" s="171"/>
      <c r="D133" s="171"/>
      <c r="E133" s="171"/>
      <c r="F133" s="171"/>
      <c r="G133" s="171"/>
      <c r="H133" s="171"/>
      <c r="I133" s="171"/>
      <c r="J133" s="171"/>
      <c r="K133" s="171"/>
      <c r="L133" s="171"/>
    </row>
    <row r="134" spans="3:12">
      <c r="C134" s="171"/>
      <c r="D134" s="171"/>
      <c r="E134" s="171"/>
      <c r="F134" s="171"/>
      <c r="G134" s="171"/>
      <c r="H134" s="171"/>
      <c r="I134" s="171"/>
      <c r="J134" s="171"/>
      <c r="K134" s="171"/>
      <c r="L134" s="171"/>
    </row>
    <row r="135" spans="3:12">
      <c r="C135" s="171"/>
      <c r="D135" s="171"/>
      <c r="E135" s="171"/>
      <c r="F135" s="171"/>
      <c r="G135" s="171"/>
      <c r="H135" s="171"/>
      <c r="I135" s="171"/>
      <c r="J135" s="171"/>
      <c r="K135" s="171"/>
      <c r="L135" s="171"/>
    </row>
    <row r="136" spans="3:12">
      <c r="C136" s="171"/>
      <c r="D136" s="171"/>
      <c r="E136" s="171"/>
      <c r="F136" s="171"/>
      <c r="G136" s="171"/>
      <c r="H136" s="171"/>
      <c r="I136" s="171"/>
      <c r="J136" s="171"/>
      <c r="K136" s="171"/>
      <c r="L136" s="171"/>
    </row>
    <row r="137" spans="3:12">
      <c r="C137" s="171"/>
      <c r="D137" s="171"/>
      <c r="E137" s="171"/>
      <c r="F137" s="171"/>
      <c r="G137" s="171"/>
      <c r="H137" s="171"/>
      <c r="I137" s="171"/>
      <c r="J137" s="171"/>
      <c r="K137" s="171"/>
      <c r="L137" s="171"/>
    </row>
    <row r="138" spans="3:12">
      <c r="C138" s="171"/>
      <c r="D138" s="171"/>
      <c r="E138" s="171"/>
      <c r="F138" s="171"/>
      <c r="G138" s="171"/>
      <c r="H138" s="171"/>
      <c r="I138" s="171"/>
      <c r="J138" s="171"/>
      <c r="K138" s="171"/>
      <c r="L138" s="171"/>
    </row>
    <row r="139" spans="3:12">
      <c r="C139" s="171"/>
      <c r="D139" s="171"/>
      <c r="E139" s="171"/>
      <c r="F139" s="171"/>
      <c r="G139" s="171"/>
      <c r="H139" s="171"/>
      <c r="I139" s="171"/>
      <c r="J139" s="171"/>
      <c r="K139" s="171"/>
      <c r="L139" s="171"/>
    </row>
    <row r="140" spans="3:12">
      <c r="C140" s="171"/>
      <c r="D140" s="171"/>
      <c r="E140" s="171"/>
      <c r="F140" s="171"/>
      <c r="G140" s="171"/>
      <c r="H140" s="171"/>
      <c r="I140" s="171"/>
      <c r="J140" s="171"/>
      <c r="K140" s="171"/>
      <c r="L140" s="171"/>
    </row>
    <row r="141" spans="3:12">
      <c r="C141" s="171"/>
      <c r="D141" s="171"/>
      <c r="E141" s="171"/>
      <c r="F141" s="171"/>
      <c r="G141" s="171"/>
      <c r="H141" s="171"/>
      <c r="I141" s="171"/>
      <c r="J141" s="171"/>
      <c r="K141" s="171"/>
      <c r="L141" s="171"/>
    </row>
    <row r="142" spans="3:12">
      <c r="C142" s="171"/>
      <c r="D142" s="171"/>
      <c r="E142" s="171"/>
      <c r="F142" s="171"/>
      <c r="G142" s="171"/>
      <c r="H142" s="171"/>
      <c r="I142" s="171"/>
      <c r="J142" s="171"/>
      <c r="K142" s="171"/>
      <c r="L142" s="171"/>
    </row>
    <row r="143" spans="3:12">
      <c r="C143" s="171"/>
      <c r="D143" s="171"/>
      <c r="E143" s="171"/>
      <c r="F143" s="171"/>
      <c r="G143" s="171"/>
      <c r="H143" s="171"/>
      <c r="I143" s="171"/>
      <c r="J143" s="171"/>
      <c r="K143" s="171"/>
      <c r="L143" s="171"/>
    </row>
    <row r="144" spans="3:12">
      <c r="C144" s="171"/>
      <c r="D144" s="171"/>
      <c r="E144" s="171"/>
      <c r="F144" s="171"/>
      <c r="G144" s="171"/>
      <c r="H144" s="171"/>
      <c r="I144" s="171"/>
      <c r="J144" s="171"/>
      <c r="K144" s="171"/>
      <c r="L144" s="171"/>
    </row>
    <row r="145" spans="3:12">
      <c r="C145" s="171"/>
      <c r="D145" s="171"/>
      <c r="E145" s="171"/>
      <c r="F145" s="171"/>
      <c r="G145" s="171"/>
      <c r="H145" s="171"/>
      <c r="I145" s="171"/>
      <c r="J145" s="171"/>
      <c r="K145" s="171"/>
      <c r="L145" s="171"/>
    </row>
    <row r="146" spans="3:12">
      <c r="C146" s="171"/>
      <c r="D146" s="171"/>
      <c r="E146" s="171"/>
      <c r="F146" s="171"/>
      <c r="G146" s="171"/>
      <c r="H146" s="171"/>
      <c r="I146" s="171"/>
      <c r="J146" s="171"/>
      <c r="K146" s="171"/>
      <c r="L146" s="171"/>
    </row>
    <row r="147" spans="3:12">
      <c r="C147" s="171"/>
      <c r="D147" s="171"/>
      <c r="E147" s="171"/>
      <c r="F147" s="171"/>
      <c r="G147" s="171"/>
      <c r="H147" s="171"/>
      <c r="I147" s="171"/>
      <c r="J147" s="171"/>
      <c r="K147" s="171"/>
      <c r="L147" s="171"/>
    </row>
    <row r="148" spans="3:12">
      <c r="C148" s="171"/>
      <c r="D148" s="171"/>
      <c r="E148" s="171"/>
      <c r="F148" s="171"/>
      <c r="G148" s="171"/>
      <c r="H148" s="171"/>
      <c r="I148" s="171"/>
      <c r="J148" s="171"/>
      <c r="K148" s="171"/>
      <c r="L148" s="171"/>
    </row>
    <row r="149" spans="3:12">
      <c r="C149" s="171"/>
      <c r="D149" s="171"/>
      <c r="E149" s="171"/>
      <c r="F149" s="171"/>
      <c r="G149" s="171"/>
      <c r="H149" s="171"/>
      <c r="I149" s="171"/>
      <c r="J149" s="171"/>
      <c r="K149" s="171"/>
      <c r="L149" s="171"/>
    </row>
    <row r="150" spans="3:12">
      <c r="C150" s="171"/>
      <c r="D150" s="171"/>
      <c r="E150" s="171"/>
      <c r="F150" s="171"/>
      <c r="G150" s="171"/>
      <c r="H150" s="171"/>
      <c r="I150" s="171"/>
      <c r="J150" s="171"/>
      <c r="K150" s="171"/>
      <c r="L150" s="171"/>
    </row>
    <row r="151" spans="3:12">
      <c r="C151" s="171"/>
      <c r="D151" s="171"/>
      <c r="E151" s="171"/>
      <c r="F151" s="171"/>
      <c r="G151" s="171"/>
      <c r="H151" s="171"/>
      <c r="I151" s="171"/>
      <c r="J151" s="171"/>
      <c r="K151" s="171"/>
      <c r="L151" s="171"/>
    </row>
    <row r="152" spans="3:12">
      <c r="C152" s="171"/>
      <c r="D152" s="171"/>
      <c r="E152" s="171"/>
      <c r="F152" s="171"/>
      <c r="G152" s="171"/>
      <c r="H152" s="171"/>
      <c r="I152" s="171"/>
      <c r="J152" s="171"/>
      <c r="K152" s="171"/>
      <c r="L152" s="171"/>
    </row>
    <row r="153" spans="3:12">
      <c r="C153" s="171"/>
      <c r="D153" s="171"/>
      <c r="E153" s="171"/>
      <c r="F153" s="171"/>
      <c r="G153" s="171"/>
      <c r="H153" s="171"/>
      <c r="I153" s="171"/>
      <c r="J153" s="171"/>
      <c r="K153" s="171"/>
      <c r="L153" s="171"/>
    </row>
    <row r="154" spans="3:12">
      <c r="C154" s="171"/>
      <c r="D154" s="171"/>
      <c r="E154" s="171"/>
      <c r="F154" s="171"/>
      <c r="G154" s="171"/>
      <c r="H154" s="171"/>
      <c r="I154" s="171"/>
      <c r="J154" s="171"/>
      <c r="K154" s="171"/>
      <c r="L154" s="171"/>
    </row>
    <row r="155" spans="3:12">
      <c r="C155" s="171"/>
      <c r="D155" s="171"/>
      <c r="E155" s="171"/>
      <c r="F155" s="171"/>
      <c r="G155" s="171"/>
      <c r="H155" s="171"/>
      <c r="I155" s="171"/>
      <c r="J155" s="171"/>
      <c r="K155" s="171"/>
      <c r="L155" s="171"/>
    </row>
    <row r="156" spans="3:12">
      <c r="C156" s="171"/>
      <c r="D156" s="171"/>
      <c r="E156" s="171"/>
      <c r="F156" s="171"/>
      <c r="G156" s="171"/>
      <c r="H156" s="171"/>
      <c r="I156" s="171"/>
      <c r="J156" s="171"/>
      <c r="K156" s="171"/>
      <c r="L156" s="171"/>
    </row>
    <row r="157" spans="3:12">
      <c r="C157" s="171"/>
      <c r="D157" s="171"/>
      <c r="E157" s="171"/>
      <c r="F157" s="171"/>
      <c r="G157" s="171"/>
      <c r="H157" s="171"/>
      <c r="I157" s="171"/>
      <c r="J157" s="171"/>
      <c r="K157" s="171"/>
      <c r="L157" s="171"/>
    </row>
    <row r="158" spans="3:12">
      <c r="C158" s="171"/>
      <c r="D158" s="171"/>
      <c r="E158" s="171"/>
      <c r="F158" s="171"/>
      <c r="G158" s="171"/>
      <c r="H158" s="171"/>
      <c r="I158" s="171"/>
      <c r="J158" s="171"/>
      <c r="K158" s="171"/>
      <c r="L158" s="171"/>
    </row>
    <row r="159" spans="3:12">
      <c r="C159" s="171"/>
      <c r="D159" s="171"/>
      <c r="E159" s="171"/>
      <c r="F159" s="171"/>
      <c r="G159" s="171"/>
      <c r="H159" s="171"/>
      <c r="I159" s="171"/>
      <c r="J159" s="171"/>
      <c r="K159" s="171"/>
      <c r="L159" s="171"/>
    </row>
    <row r="160" spans="3:12">
      <c r="C160" s="171"/>
      <c r="D160" s="171"/>
      <c r="E160" s="171"/>
      <c r="F160" s="171"/>
      <c r="G160" s="171"/>
      <c r="H160" s="171"/>
      <c r="I160" s="171"/>
      <c r="J160" s="171"/>
      <c r="K160" s="171"/>
      <c r="L160" s="171"/>
    </row>
    <row r="161" spans="3:12">
      <c r="C161" s="171"/>
      <c r="D161" s="171"/>
      <c r="E161" s="171"/>
      <c r="F161" s="171"/>
      <c r="G161" s="171"/>
      <c r="H161" s="171"/>
      <c r="I161" s="171"/>
      <c r="J161" s="171"/>
      <c r="K161" s="171"/>
      <c r="L161" s="171"/>
    </row>
    <row r="162" spans="3:12">
      <c r="C162" s="171"/>
      <c r="D162" s="171"/>
      <c r="E162" s="171"/>
      <c r="F162" s="171"/>
      <c r="G162" s="171"/>
      <c r="H162" s="171"/>
      <c r="I162" s="171"/>
      <c r="J162" s="171"/>
      <c r="K162" s="171"/>
      <c r="L162" s="171"/>
    </row>
    <row r="163" spans="3:12">
      <c r="C163" s="171"/>
      <c r="D163" s="171"/>
      <c r="E163" s="171"/>
      <c r="F163" s="171"/>
      <c r="G163" s="171"/>
      <c r="H163" s="171"/>
      <c r="I163" s="171"/>
      <c r="J163" s="171"/>
      <c r="K163" s="171"/>
      <c r="L163" s="171"/>
    </row>
    <row r="164" spans="3:12">
      <c r="C164" s="171"/>
      <c r="D164" s="171"/>
      <c r="E164" s="171"/>
      <c r="F164" s="171"/>
      <c r="G164" s="171"/>
      <c r="H164" s="171"/>
      <c r="I164" s="171"/>
      <c r="J164" s="171"/>
      <c r="K164" s="171"/>
      <c r="L164" s="171"/>
    </row>
    <row r="165" spans="3:12">
      <c r="C165" s="171"/>
      <c r="D165" s="171"/>
      <c r="E165" s="171"/>
      <c r="F165" s="171"/>
      <c r="G165" s="171"/>
      <c r="H165" s="171"/>
      <c r="I165" s="171"/>
      <c r="J165" s="171"/>
      <c r="K165" s="171"/>
      <c r="L165" s="171"/>
    </row>
    <row r="166" spans="3:12">
      <c r="C166" s="171"/>
      <c r="D166" s="171"/>
      <c r="E166" s="171"/>
      <c r="F166" s="171"/>
      <c r="G166" s="171"/>
      <c r="H166" s="171"/>
      <c r="I166" s="171"/>
      <c r="J166" s="171"/>
      <c r="K166" s="171"/>
      <c r="L166" s="171"/>
    </row>
    <row r="167" spans="3:12">
      <c r="C167" s="171"/>
      <c r="D167" s="171"/>
      <c r="E167" s="171"/>
      <c r="F167" s="171"/>
      <c r="G167" s="171"/>
      <c r="H167" s="171"/>
      <c r="I167" s="171"/>
      <c r="J167" s="171"/>
      <c r="K167" s="171"/>
      <c r="L167" s="171"/>
    </row>
    <row r="168" spans="3:12">
      <c r="C168" s="171"/>
      <c r="D168" s="171"/>
      <c r="E168" s="171"/>
      <c r="F168" s="171"/>
      <c r="G168" s="171"/>
      <c r="H168" s="171"/>
      <c r="I168" s="171"/>
      <c r="J168" s="171"/>
      <c r="K168" s="171"/>
      <c r="L168" s="171"/>
    </row>
    <row r="169" spans="3:12">
      <c r="C169" s="171"/>
      <c r="D169" s="171"/>
      <c r="E169" s="171"/>
      <c r="F169" s="171"/>
      <c r="G169" s="171"/>
      <c r="H169" s="171"/>
      <c r="I169" s="171"/>
      <c r="J169" s="171"/>
      <c r="K169" s="171"/>
      <c r="L169" s="171"/>
    </row>
    <row r="170" spans="3:12">
      <c r="C170" s="171"/>
      <c r="D170" s="171"/>
      <c r="E170" s="171"/>
      <c r="F170" s="171"/>
      <c r="G170" s="171"/>
      <c r="H170" s="171"/>
      <c r="I170" s="171"/>
      <c r="J170" s="171"/>
      <c r="K170" s="171"/>
      <c r="L170" s="171"/>
    </row>
    <row r="171" spans="3:12">
      <c r="C171" s="171"/>
      <c r="D171" s="171"/>
      <c r="E171" s="171"/>
      <c r="F171" s="171"/>
      <c r="G171" s="171"/>
      <c r="H171" s="171"/>
      <c r="I171" s="171"/>
      <c r="J171" s="171"/>
      <c r="K171" s="171"/>
      <c r="L171" s="171"/>
    </row>
    <row r="172" spans="3:12">
      <c r="C172" s="171"/>
      <c r="D172" s="171"/>
      <c r="E172" s="171"/>
      <c r="F172" s="171"/>
      <c r="G172" s="171"/>
      <c r="H172" s="171"/>
      <c r="I172" s="171"/>
      <c r="J172" s="171"/>
      <c r="K172" s="171"/>
      <c r="L172" s="171"/>
    </row>
    <row r="173" spans="3:12">
      <c r="C173" s="171"/>
      <c r="D173" s="171"/>
      <c r="E173" s="171"/>
      <c r="F173" s="171"/>
      <c r="G173" s="171"/>
      <c r="H173" s="171"/>
      <c r="I173" s="171"/>
      <c r="J173" s="171"/>
      <c r="K173" s="171"/>
      <c r="L173" s="171"/>
    </row>
    <row r="174" spans="3:12">
      <c r="C174" s="171"/>
      <c r="D174" s="171"/>
      <c r="E174" s="171"/>
      <c r="F174" s="171"/>
      <c r="G174" s="171"/>
      <c r="H174" s="171"/>
      <c r="I174" s="171"/>
      <c r="J174" s="171"/>
      <c r="K174" s="171"/>
      <c r="L174" s="171"/>
    </row>
    <row r="175" spans="3:12">
      <c r="C175" s="171"/>
      <c r="D175" s="171"/>
      <c r="E175" s="171"/>
      <c r="F175" s="171"/>
      <c r="G175" s="171"/>
      <c r="H175" s="171"/>
      <c r="I175" s="171"/>
      <c r="J175" s="171"/>
      <c r="K175" s="171"/>
      <c r="L175" s="171"/>
    </row>
    <row r="176" spans="3:12">
      <c r="C176" s="171"/>
      <c r="D176" s="171"/>
      <c r="E176" s="171"/>
      <c r="F176" s="171"/>
      <c r="G176" s="171"/>
      <c r="H176" s="171"/>
      <c r="I176" s="171"/>
      <c r="J176" s="171"/>
      <c r="K176" s="171"/>
      <c r="L176" s="171"/>
    </row>
    <row r="177" spans="3:12">
      <c r="C177" s="171"/>
      <c r="D177" s="171"/>
      <c r="E177" s="171"/>
      <c r="F177" s="171"/>
      <c r="G177" s="171"/>
      <c r="H177" s="171"/>
      <c r="I177" s="171"/>
      <c r="J177" s="171"/>
      <c r="K177" s="171"/>
      <c r="L177" s="171"/>
    </row>
    <row r="178" spans="3:12">
      <c r="C178" s="171"/>
      <c r="D178" s="171"/>
      <c r="E178" s="171"/>
      <c r="F178" s="171"/>
      <c r="G178" s="171"/>
      <c r="H178" s="171"/>
      <c r="I178" s="171"/>
      <c r="J178" s="171"/>
      <c r="K178" s="171"/>
      <c r="L178" s="171"/>
    </row>
    <row r="179" spans="3:12">
      <c r="C179" s="171"/>
      <c r="D179" s="171"/>
      <c r="E179" s="171"/>
      <c r="F179" s="171"/>
      <c r="G179" s="171"/>
      <c r="H179" s="171"/>
      <c r="I179" s="171"/>
      <c r="J179" s="171"/>
      <c r="K179" s="171"/>
      <c r="L179" s="171"/>
    </row>
    <row r="180" spans="3:12">
      <c r="C180" s="171"/>
      <c r="D180" s="171"/>
      <c r="E180" s="171"/>
      <c r="F180" s="171"/>
      <c r="G180" s="171"/>
      <c r="H180" s="171"/>
      <c r="I180" s="171"/>
      <c r="J180" s="171"/>
      <c r="K180" s="171"/>
      <c r="L180" s="171"/>
    </row>
    <row r="181" spans="3:12">
      <c r="C181" s="171"/>
      <c r="D181" s="171"/>
      <c r="E181" s="171"/>
      <c r="F181" s="171"/>
      <c r="G181" s="171"/>
      <c r="H181" s="171"/>
      <c r="I181" s="171"/>
      <c r="J181" s="171"/>
      <c r="K181" s="171"/>
      <c r="L181" s="171"/>
    </row>
    <row r="182" spans="3:12">
      <c r="C182" s="171"/>
      <c r="D182" s="171"/>
      <c r="E182" s="171"/>
      <c r="F182" s="171"/>
      <c r="G182" s="171"/>
      <c r="H182" s="171"/>
      <c r="I182" s="171"/>
      <c r="J182" s="171"/>
      <c r="K182" s="171"/>
      <c r="L182" s="171"/>
    </row>
    <row r="183" spans="3:12">
      <c r="C183" s="171"/>
      <c r="D183" s="171"/>
      <c r="E183" s="171"/>
      <c r="F183" s="171"/>
      <c r="G183" s="171"/>
      <c r="H183" s="171"/>
      <c r="I183" s="171"/>
      <c r="J183" s="171"/>
      <c r="K183" s="171"/>
      <c r="L183" s="171"/>
    </row>
    <row r="184" spans="3:12">
      <c r="C184" s="171"/>
      <c r="D184" s="171"/>
      <c r="E184" s="171"/>
      <c r="F184" s="171"/>
      <c r="G184" s="171"/>
      <c r="H184" s="171"/>
      <c r="I184" s="171"/>
      <c r="J184" s="171"/>
      <c r="K184" s="171"/>
      <c r="L184" s="171"/>
    </row>
    <row r="185" spans="3:12">
      <c r="C185" s="171"/>
      <c r="D185" s="171"/>
      <c r="E185" s="171"/>
      <c r="F185" s="171"/>
      <c r="G185" s="171"/>
      <c r="H185" s="171"/>
      <c r="I185" s="171"/>
      <c r="J185" s="171"/>
      <c r="K185" s="171"/>
      <c r="L185" s="171"/>
    </row>
    <row r="186" spans="3:12">
      <c r="C186" s="171"/>
      <c r="D186" s="171"/>
      <c r="E186" s="171"/>
      <c r="F186" s="171"/>
      <c r="G186" s="171"/>
      <c r="H186" s="171"/>
      <c r="I186" s="171"/>
      <c r="J186" s="171"/>
      <c r="K186" s="171"/>
      <c r="L186" s="171"/>
    </row>
    <row r="187" spans="3:12">
      <c r="C187" s="171"/>
      <c r="D187" s="171"/>
      <c r="E187" s="171"/>
      <c r="F187" s="171"/>
      <c r="G187" s="171"/>
      <c r="H187" s="171"/>
      <c r="I187" s="171"/>
      <c r="J187" s="171"/>
      <c r="K187" s="171"/>
      <c r="L187" s="171"/>
    </row>
  </sheetData>
  <customSheetViews>
    <customSheetView guid="{E1861F40-EBD5-44AE-868B-FDE0ED504D72}" scale="65" showPageBreaks="1" printArea="1" view="pageBreakPreview">
      <selection activeCell="D40" sqref="D40"/>
      <pageMargins left="0.25" right="0.25" top="0.75" bottom="0.25" header="0.4" footer="0.5"/>
      <printOptions horizontalCentered="1"/>
      <pageSetup scale="51" fitToHeight="3" orientation="landscape" r:id="rId1"/>
      <headerFooter alignWithMargins="0"/>
    </customSheetView>
  </customSheetViews>
  <mergeCells count="2">
    <mergeCell ref="A8:L8"/>
    <mergeCell ref="A9:L9"/>
  </mergeCells>
  <printOptions horizontalCentered="1"/>
  <pageMargins left="0.7" right="0.7" top="0.75" bottom="0.75" header="0.3" footer="0.3"/>
  <pageSetup scale="42"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J18"/>
  <sheetViews>
    <sheetView view="pageBreakPreview" zoomScale="90" zoomScaleNormal="100" zoomScaleSheetLayoutView="90" workbookViewId="0"/>
  </sheetViews>
  <sheetFormatPr defaultColWidth="7.109375" defaultRowHeight="12.75"/>
  <cols>
    <col min="1" max="1" width="47.77734375" style="5" customWidth="1"/>
    <col min="2" max="2" width="7.109375" style="5" customWidth="1"/>
    <col min="3" max="3" width="2.5546875" style="5" customWidth="1"/>
    <col min="4" max="4" width="17.33203125" style="5" customWidth="1"/>
    <col min="5" max="8" width="7.109375" style="5" customWidth="1"/>
    <col min="9" max="9" width="13.44140625" style="5" customWidth="1"/>
    <col min="10" max="10" width="47.77734375" style="5" customWidth="1"/>
    <col min="11" max="16384" width="7.109375" style="5"/>
  </cols>
  <sheetData>
    <row r="1" spans="2:10" ht="16.5" customHeight="1">
      <c r="G1" s="2"/>
      <c r="H1" s="1"/>
      <c r="J1" s="3" t="str">
        <f>'Attachment H-34A '!K1&amp;""&amp;", Attachment 1"</f>
        <v>Attachment H-34A, Attachment 1</v>
      </c>
    </row>
    <row r="2" spans="2:10" ht="16.5" customHeight="1">
      <c r="G2" s="2"/>
      <c r="H2" s="2"/>
      <c r="J2" s="3" t="s">
        <v>186</v>
      </c>
    </row>
    <row r="3" spans="2:10" ht="16.5" customHeight="1">
      <c r="G3" s="1"/>
      <c r="H3" s="2"/>
      <c r="J3" s="3" t="str">
        <f>'Attachment H-34A '!K4</f>
        <v>For the 12 months ended 12/31/2026</v>
      </c>
    </row>
    <row r="4" spans="2:10" ht="15.75">
      <c r="G4" s="1"/>
      <c r="H4" s="2"/>
      <c r="I4" s="3"/>
    </row>
    <row r="5" spans="2:10" ht="15.75">
      <c r="G5" s="1"/>
      <c r="H5" s="2"/>
      <c r="I5" s="3"/>
    </row>
    <row r="6" spans="2:10" ht="15.75" customHeight="1">
      <c r="B6" s="1018" t="s">
        <v>187</v>
      </c>
      <c r="C6" s="1018"/>
      <c r="D6" s="1018"/>
      <c r="E6" s="1018"/>
      <c r="F6" s="1018"/>
      <c r="G6" s="1018"/>
      <c r="H6" s="1018"/>
      <c r="I6" s="1018"/>
    </row>
    <row r="7" spans="2:10" ht="15.75">
      <c r="B7" s="4"/>
      <c r="C7" s="4"/>
      <c r="D7" s="7"/>
      <c r="E7" s="7"/>
      <c r="F7" s="6"/>
      <c r="G7" s="6" t="s">
        <v>3</v>
      </c>
      <c r="H7" s="6"/>
      <c r="I7" s="6"/>
      <c r="J7" s="999"/>
    </row>
    <row r="8" spans="2:10" ht="15.75">
      <c r="B8" s="4"/>
      <c r="C8" s="4">
        <v>1</v>
      </c>
      <c r="D8" s="9">
        <f>'Attachment H-34A '!I216</f>
        <v>1306670.21</v>
      </c>
      <c r="E8" s="4" t="s">
        <v>942</v>
      </c>
      <c r="F8" s="4"/>
      <c r="G8" s="8"/>
      <c r="H8" s="8"/>
      <c r="I8" s="8"/>
      <c r="J8" s="997"/>
    </row>
    <row r="9" spans="2:10" ht="15.75">
      <c r="B9" s="4"/>
      <c r="C9" s="4">
        <v>2</v>
      </c>
      <c r="D9" s="83"/>
      <c r="E9" s="10" t="s">
        <v>153</v>
      </c>
      <c r="F9" s="8"/>
      <c r="G9" s="8"/>
      <c r="H9" s="8"/>
      <c r="I9" s="8"/>
      <c r="J9" s="997"/>
    </row>
    <row r="10" spans="2:10" ht="15.75">
      <c r="B10" s="4"/>
      <c r="C10" s="4">
        <v>3</v>
      </c>
      <c r="D10" s="11">
        <f>D8-D9</f>
        <v>1306670.21</v>
      </c>
      <c r="E10" s="8" t="s">
        <v>154</v>
      </c>
      <c r="F10" s="4"/>
      <c r="G10" s="8"/>
      <c r="H10" s="8"/>
      <c r="I10" s="8"/>
      <c r="J10" s="997"/>
    </row>
    <row r="11" spans="2:10" ht="7.5" customHeight="1">
      <c r="B11" s="4"/>
      <c r="C11" s="4"/>
      <c r="D11" s="4"/>
      <c r="E11" s="8"/>
      <c r="F11" s="8"/>
      <c r="G11" s="8"/>
      <c r="H11" s="8"/>
      <c r="I11" s="8"/>
      <c r="J11" s="1000"/>
    </row>
    <row r="12" spans="2:10" ht="15.75">
      <c r="B12" s="4"/>
      <c r="C12" s="4">
        <v>4</v>
      </c>
      <c r="D12" s="82">
        <v>50168339.549321644</v>
      </c>
      <c r="E12" s="8" t="s">
        <v>808</v>
      </c>
      <c r="F12" s="8"/>
      <c r="G12" s="8"/>
      <c r="H12" s="8"/>
      <c r="I12" s="8"/>
      <c r="J12" s="1000"/>
    </row>
    <row r="13" spans="2:10" ht="15.75">
      <c r="B13" s="8"/>
      <c r="C13" s="4">
        <v>5</v>
      </c>
      <c r="D13" s="12">
        <f>(D10/D12)+0.0101</f>
        <v>3.614571372579279E-2</v>
      </c>
      <c r="E13" s="8" t="s">
        <v>195</v>
      </c>
      <c r="F13" s="8"/>
      <c r="G13" s="8"/>
      <c r="H13" s="8"/>
      <c r="I13" s="8"/>
      <c r="J13" s="998"/>
    </row>
    <row r="14" spans="2:10" ht="15.75">
      <c r="B14" s="8"/>
      <c r="C14" s="8"/>
      <c r="D14" s="8"/>
      <c r="E14" s="8"/>
      <c r="F14" s="8"/>
      <c r="G14" s="8"/>
      <c r="H14" s="8"/>
      <c r="I14" s="8"/>
    </row>
    <row r="15" spans="2:10" ht="15.75">
      <c r="B15" s="15" t="s">
        <v>155</v>
      </c>
      <c r="D15" s="8"/>
      <c r="E15" s="8"/>
      <c r="F15" s="8"/>
      <c r="G15" s="8"/>
      <c r="H15" s="8"/>
      <c r="I15" s="8"/>
    </row>
    <row r="16" spans="2:10" ht="64.5" customHeight="1">
      <c r="B16" s="31" t="s">
        <v>104</v>
      </c>
      <c r="C16" s="1016" t="s">
        <v>1005</v>
      </c>
      <c r="D16" s="1017"/>
      <c r="E16" s="1017"/>
      <c r="F16" s="1017"/>
      <c r="G16" s="1017"/>
      <c r="H16" s="1017"/>
      <c r="I16" s="1017"/>
    </row>
    <row r="17" spans="2:9" ht="12" customHeight="1">
      <c r="B17" s="31"/>
      <c r="C17" s="13"/>
      <c r="D17" s="14"/>
      <c r="E17" s="14"/>
      <c r="F17" s="14"/>
      <c r="G17" s="14"/>
      <c r="H17" s="14"/>
      <c r="I17" s="14"/>
    </row>
    <row r="18" spans="2:9" ht="49.5" customHeight="1">
      <c r="B18" s="31" t="s">
        <v>105</v>
      </c>
      <c r="C18" s="1016" t="s">
        <v>1011</v>
      </c>
      <c r="D18" s="1016"/>
      <c r="E18" s="1016"/>
      <c r="F18" s="1016"/>
      <c r="G18" s="1016"/>
      <c r="H18" s="1016"/>
      <c r="I18" s="1016"/>
    </row>
  </sheetData>
  <customSheetViews>
    <customSheetView guid="{E1861F40-EBD5-44AE-868B-FDE0ED504D72}" showPageBreaks="1" printArea="1" view="pageBreakPreview">
      <selection activeCell="H4" sqref="H4"/>
      <pageMargins left="0.75" right="0.75" top="1" bottom="1" header="0.5" footer="0.5"/>
      <printOptions horizontalCentered="1"/>
      <pageSetup scale="76" orientation="portrait" r:id="rId1"/>
      <headerFooter alignWithMargins="0"/>
    </customSheetView>
  </customSheetViews>
  <mergeCells count="3">
    <mergeCell ref="C16:I16"/>
    <mergeCell ref="C18:I18"/>
    <mergeCell ref="B6:I6"/>
  </mergeCells>
  <phoneticPr fontId="55" type="noConversion"/>
  <printOptions horizontalCentered="1"/>
  <pageMargins left="0.7" right="0.7" top="0.75" bottom="0.75" header="0.3" footer="0.3"/>
  <pageSetup scale="45" fitToWidth="0" fitToHeight="0"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9DDE3-9CB0-4382-88C5-D67882237B0E}">
  <dimension ref="A1:K78"/>
  <sheetViews>
    <sheetView view="pageBreakPreview" zoomScale="60" zoomScaleNormal="100" workbookViewId="0">
      <selection activeCell="D10" sqref="D10"/>
    </sheetView>
  </sheetViews>
  <sheetFormatPr defaultColWidth="8.88671875" defaultRowHeight="15.75"/>
  <cols>
    <col min="1" max="1" width="7.6640625" style="64" customWidth="1"/>
    <col min="2" max="2" width="24.88671875" style="66" customWidth="1"/>
    <col min="3" max="3" width="7.109375" style="66" customWidth="1"/>
    <col min="4" max="4" width="25.5546875" style="64" customWidth="1"/>
    <col min="5" max="5" width="9" style="64" customWidth="1"/>
    <col min="6" max="6" width="34.21875" style="64" bestFit="1" customWidth="1"/>
    <col min="7" max="9" width="15.88671875" style="64" customWidth="1"/>
    <col min="10" max="10" width="18.88671875" style="64" customWidth="1"/>
    <col min="11" max="16384" width="8.88671875" style="64"/>
  </cols>
  <sheetData>
    <row r="1" spans="1:10" ht="16.5" customHeight="1">
      <c r="B1" s="63"/>
      <c r="C1" s="63"/>
      <c r="J1" s="65" t="str">
        <f>'Attachment H-34A '!K1&amp;""&amp;", Attachment 13"</f>
        <v>Attachment H-34A, Attachment 13</v>
      </c>
    </row>
    <row r="2" spans="1:10" ht="16.5" customHeight="1">
      <c r="B2" s="63"/>
      <c r="C2" s="63"/>
      <c r="J2" s="65" t="s">
        <v>186</v>
      </c>
    </row>
    <row r="3" spans="1:10" ht="16.5" customHeight="1">
      <c r="B3" s="63"/>
      <c r="C3" s="63"/>
      <c r="J3" s="65" t="str">
        <f>'Attachment H-34A '!K4</f>
        <v>For the 12 months ended 12/31/2026</v>
      </c>
    </row>
    <row r="4" spans="1:10" ht="20.100000000000001" customHeight="1">
      <c r="B4" s="63"/>
      <c r="C4" s="63"/>
    </row>
    <row r="5" spans="1:10" ht="20.100000000000001" customHeight="1">
      <c r="B5" s="1054" t="s">
        <v>1026</v>
      </c>
      <c r="C5" s="1054"/>
      <c r="D5" s="1054"/>
      <c r="E5" s="1054"/>
      <c r="F5" s="1054"/>
      <c r="G5" s="1054"/>
      <c r="H5" s="1054"/>
      <c r="I5" s="1054"/>
    </row>
    <row r="6" spans="1:10" ht="20.100000000000001" customHeight="1">
      <c r="B6" s="1054"/>
      <c r="C6" s="1054"/>
      <c r="D6" s="1054"/>
      <c r="E6" s="1054"/>
      <c r="F6" s="1054"/>
      <c r="G6" s="1054"/>
      <c r="H6" s="1054"/>
      <c r="I6" s="1054"/>
    </row>
    <row r="7" spans="1:10" ht="20.100000000000001" customHeight="1" thickBot="1"/>
    <row r="8" spans="1:10" s="68" customFormat="1" ht="98.25" customHeight="1">
      <c r="B8" s="314" t="s">
        <v>1301</v>
      </c>
      <c r="C8" s="853"/>
      <c r="D8" s="314" t="s">
        <v>1302</v>
      </c>
      <c r="E8" s="853"/>
      <c r="F8" s="854" t="s">
        <v>277</v>
      </c>
      <c r="H8" s="855"/>
      <c r="I8" s="855"/>
    </row>
    <row r="9" spans="1:10" ht="20.100000000000001" customHeight="1">
      <c r="B9" s="856" t="s">
        <v>1122</v>
      </c>
      <c r="C9" s="857"/>
      <c r="D9" s="856" t="s">
        <v>1122</v>
      </c>
      <c r="E9" s="857"/>
      <c r="F9" s="858"/>
      <c r="H9" s="859"/>
      <c r="I9" s="859"/>
    </row>
    <row r="10" spans="1:10" ht="20.100000000000001" customHeight="1" thickBot="1">
      <c r="A10" s="224" t="s">
        <v>263</v>
      </c>
      <c r="B10" s="321">
        <v>63929341.948955581</v>
      </c>
      <c r="C10" s="860" t="str">
        <f>"-"</f>
        <v>-</v>
      </c>
      <c r="D10" s="321">
        <f>'Attachment 13b - PJM Billings'!L20</f>
        <v>68447934.181347013</v>
      </c>
      <c r="E10" s="860" t="str">
        <f>"="</f>
        <v>=</v>
      </c>
      <c r="F10" s="861">
        <f>IF(B10=0,0,D10-B10)</f>
        <v>4518592.2323914319</v>
      </c>
      <c r="H10" s="859"/>
      <c r="I10" s="859"/>
    </row>
    <row r="11" spans="1:10" ht="20.100000000000001" customHeight="1" thickBot="1">
      <c r="A11" s="224"/>
      <c r="B11" s="862"/>
      <c r="C11" s="863"/>
      <c r="D11" s="862"/>
      <c r="E11" s="863"/>
      <c r="F11" s="862"/>
      <c r="G11" s="864"/>
      <c r="H11" s="864"/>
      <c r="I11" s="864"/>
    </row>
    <row r="12" spans="1:10" ht="20.100000000000001" customHeight="1">
      <c r="A12" s="224"/>
      <c r="B12" s="878"/>
      <c r="C12" s="866"/>
      <c r="D12" s="878"/>
      <c r="E12" s="866"/>
      <c r="F12" s="878"/>
      <c r="G12" s="859"/>
      <c r="H12" s="859"/>
      <c r="I12" s="859"/>
    </row>
    <row r="13" spans="1:10" ht="20.100000000000001" customHeight="1">
      <c r="A13" s="224"/>
      <c r="B13" s="598" t="s">
        <v>1303</v>
      </c>
      <c r="C13" s="599"/>
      <c r="D13" s="600"/>
      <c r="E13" s="404"/>
      <c r="F13" s="601"/>
      <c r="G13" s="601"/>
      <c r="H13" s="859"/>
      <c r="I13" s="859"/>
    </row>
    <row r="14" spans="1:10" ht="20.100000000000001" customHeight="1">
      <c r="A14" s="224"/>
      <c r="B14" s="878"/>
      <c r="C14" s="866"/>
      <c r="D14" s="878"/>
      <c r="E14" s="866"/>
      <c r="F14" s="878"/>
      <c r="G14" s="859"/>
      <c r="H14" s="859"/>
      <c r="I14" s="859"/>
    </row>
    <row r="15" spans="1:10" ht="20.100000000000001" customHeight="1">
      <c r="A15" s="224"/>
      <c r="B15" s="865" t="s">
        <v>692</v>
      </c>
      <c r="C15" s="866"/>
      <c r="D15" s="865" t="s">
        <v>809</v>
      </c>
      <c r="E15" s="866"/>
      <c r="F15" s="865" t="s">
        <v>810</v>
      </c>
      <c r="G15" s="867" t="s">
        <v>811</v>
      </c>
      <c r="H15" s="867" t="s">
        <v>800</v>
      </c>
      <c r="I15" s="867" t="s">
        <v>1027</v>
      </c>
    </row>
    <row r="16" spans="1:10" ht="20.100000000000001" customHeight="1">
      <c r="A16" s="868" t="s">
        <v>5</v>
      </c>
      <c r="B16" s="869" t="s">
        <v>694</v>
      </c>
      <c r="C16" s="849"/>
      <c r="D16" s="860" t="s">
        <v>1028</v>
      </c>
      <c r="E16" s="870"/>
      <c r="F16" s="869" t="s">
        <v>279</v>
      </c>
      <c r="G16" s="860" t="s">
        <v>1029</v>
      </c>
      <c r="H16" s="869" t="s">
        <v>409</v>
      </c>
      <c r="I16" s="860" t="s">
        <v>1030</v>
      </c>
    </row>
    <row r="17" spans="1:9" ht="20.100000000000001" customHeight="1">
      <c r="A17" s="224">
        <v>1</v>
      </c>
      <c r="B17" s="871">
        <v>45312</v>
      </c>
      <c r="C17" s="866"/>
      <c r="D17" s="872">
        <v>6.8300000000000001E-3</v>
      </c>
      <c r="E17" s="866"/>
      <c r="F17" s="873">
        <f>D17</f>
        <v>6.8300000000000001E-3</v>
      </c>
      <c r="G17" s="874">
        <f>1/12</f>
        <v>8.3333333333333329E-2</v>
      </c>
      <c r="H17" s="874">
        <f>F17*G17</f>
        <v>5.6916666666666661E-4</v>
      </c>
      <c r="I17" s="874">
        <v>0</v>
      </c>
    </row>
    <row r="18" spans="1:9" ht="20.100000000000001" customHeight="1">
      <c r="A18" s="224">
        <f>IF(ISBLANK(G18)=TRUE,"",MAX($A$17:A17)+1)</f>
        <v>2</v>
      </c>
      <c r="B18" s="875">
        <f>EOMONTH(B17,1)</f>
        <v>45351</v>
      </c>
      <c r="C18" s="866"/>
      <c r="D18" s="873">
        <f>D17</f>
        <v>6.8300000000000001E-3</v>
      </c>
      <c r="E18" s="866"/>
      <c r="F18" s="873">
        <f t="shared" ref="F18:F28" si="0">D18</f>
        <v>6.8300000000000001E-3</v>
      </c>
      <c r="G18" s="874">
        <f>G17+1/12</f>
        <v>0.16666666666666666</v>
      </c>
      <c r="H18" s="874">
        <f t="shared" ref="H18:H28" si="1">F18*G18</f>
        <v>1.1383333333333332E-3</v>
      </c>
      <c r="I18" s="874">
        <v>0</v>
      </c>
    </row>
    <row r="19" spans="1:9" ht="20.100000000000001" customHeight="1">
      <c r="A19" s="224">
        <f>IF(ISBLANK(G19)=TRUE,"",MAX($A$17:A18)+1)</f>
        <v>3</v>
      </c>
      <c r="B19" s="875">
        <f t="shared" ref="B19:B27" si="2">EOMONTH(B18,1)</f>
        <v>45382</v>
      </c>
      <c r="C19" s="866"/>
      <c r="D19" s="873">
        <f>D18</f>
        <v>6.8300000000000001E-3</v>
      </c>
      <c r="E19" s="866"/>
      <c r="F19" s="873">
        <f t="shared" si="0"/>
        <v>6.8300000000000001E-3</v>
      </c>
      <c r="G19" s="876">
        <f t="shared" ref="G19:G28" si="3">G18+1/12</f>
        <v>0.25</v>
      </c>
      <c r="H19" s="874">
        <f t="shared" si="1"/>
        <v>1.7075E-3</v>
      </c>
      <c r="I19" s="874">
        <f>I18+SUM(H17:H19)</f>
        <v>3.4149999999999996E-3</v>
      </c>
    </row>
    <row r="20" spans="1:9" ht="20.100000000000001" customHeight="1">
      <c r="A20" s="224">
        <f>IF(ISBLANK(G20)=TRUE,"",MAX($A$17:A19)+1)</f>
        <v>4</v>
      </c>
      <c r="B20" s="875">
        <f t="shared" si="2"/>
        <v>45412</v>
      </c>
      <c r="C20" s="866"/>
      <c r="D20" s="873">
        <f>D19</f>
        <v>6.8300000000000001E-3</v>
      </c>
      <c r="E20" s="866"/>
      <c r="F20" s="873">
        <f t="shared" si="0"/>
        <v>6.8300000000000001E-3</v>
      </c>
      <c r="G20" s="874">
        <f>G19+1/12+I19</f>
        <v>0.33674833333333332</v>
      </c>
      <c r="H20" s="874">
        <f t="shared" si="1"/>
        <v>2.2999911166666667E-3</v>
      </c>
      <c r="I20" s="874">
        <v>0</v>
      </c>
    </row>
    <row r="21" spans="1:9" ht="20.100000000000001" customHeight="1">
      <c r="A21" s="224">
        <f>IF(ISBLANK(G21)=TRUE,"",MAX($A$17:A20)+1)</f>
        <v>5</v>
      </c>
      <c r="B21" s="875">
        <f t="shared" si="2"/>
        <v>45443</v>
      </c>
      <c r="C21" s="866"/>
      <c r="D21" s="873">
        <f>D20</f>
        <v>6.8300000000000001E-3</v>
      </c>
      <c r="E21" s="866"/>
      <c r="F21" s="873">
        <f t="shared" si="0"/>
        <v>6.8300000000000001E-3</v>
      </c>
      <c r="G21" s="874">
        <f t="shared" si="3"/>
        <v>0.42008166666666663</v>
      </c>
      <c r="H21" s="874">
        <f t="shared" si="1"/>
        <v>2.8691577833333333E-3</v>
      </c>
      <c r="I21" s="874">
        <v>0</v>
      </c>
    </row>
    <row r="22" spans="1:9" ht="20.100000000000001" customHeight="1">
      <c r="A22" s="224">
        <f>IF(ISBLANK(G22)=TRUE,"",MAX($A$17:A21)+1)</f>
        <v>6</v>
      </c>
      <c r="B22" s="875">
        <f t="shared" si="2"/>
        <v>45473</v>
      </c>
      <c r="C22" s="866"/>
      <c r="D22" s="873">
        <f>D21</f>
        <v>6.8300000000000001E-3</v>
      </c>
      <c r="E22" s="866"/>
      <c r="F22" s="873">
        <f t="shared" si="0"/>
        <v>6.8300000000000001E-3</v>
      </c>
      <c r="G22" s="876">
        <f t="shared" si="3"/>
        <v>0.50341499999999995</v>
      </c>
      <c r="H22" s="874">
        <f t="shared" si="1"/>
        <v>3.4383244499999995E-3</v>
      </c>
      <c r="I22" s="874">
        <f>I21+SUM(H20:H22)</f>
        <v>8.6074733499999986E-3</v>
      </c>
    </row>
    <row r="23" spans="1:9" ht="20.100000000000001" customHeight="1">
      <c r="A23" s="224">
        <f>IF(ISBLANK(G23)=TRUE,"",MAX($A$17:A22)+1)</f>
        <v>7</v>
      </c>
      <c r="B23" s="875">
        <f t="shared" si="2"/>
        <v>45504</v>
      </c>
      <c r="C23" s="866"/>
      <c r="D23" s="873">
        <f t="shared" ref="D23:D28" si="4">D22</f>
        <v>6.8300000000000001E-3</v>
      </c>
      <c r="E23" s="866"/>
      <c r="F23" s="873">
        <f t="shared" si="0"/>
        <v>6.8300000000000001E-3</v>
      </c>
      <c r="G23" s="874">
        <f>G22+1/12+I22</f>
        <v>0.59535580668333332</v>
      </c>
      <c r="H23" s="874">
        <f t="shared" si="1"/>
        <v>4.0662801596471664E-3</v>
      </c>
      <c r="I23" s="874">
        <v>0</v>
      </c>
    </row>
    <row r="24" spans="1:9" ht="20.100000000000001" customHeight="1">
      <c r="A24" s="224">
        <f>IF(ISBLANK(G24)=TRUE,"",MAX($A$17:A23)+1)</f>
        <v>8</v>
      </c>
      <c r="B24" s="875">
        <f t="shared" si="2"/>
        <v>45535</v>
      </c>
      <c r="C24" s="866"/>
      <c r="D24" s="873">
        <f t="shared" si="4"/>
        <v>6.8300000000000001E-3</v>
      </c>
      <c r="E24" s="866"/>
      <c r="F24" s="873">
        <f t="shared" si="0"/>
        <v>6.8300000000000001E-3</v>
      </c>
      <c r="G24" s="874">
        <f t="shared" si="3"/>
        <v>0.67868914001666669</v>
      </c>
      <c r="H24" s="874">
        <f t="shared" si="1"/>
        <v>4.6354468263138339E-3</v>
      </c>
      <c r="I24" s="874">
        <v>0</v>
      </c>
    </row>
    <row r="25" spans="1:9" ht="20.100000000000001" customHeight="1">
      <c r="A25" s="224">
        <f>IF(ISBLANK(G25)=TRUE,"",MAX($A$17:A24)+1)</f>
        <v>9</v>
      </c>
      <c r="B25" s="875">
        <f t="shared" si="2"/>
        <v>45565</v>
      </c>
      <c r="C25" s="866"/>
      <c r="D25" s="873">
        <f t="shared" si="4"/>
        <v>6.8300000000000001E-3</v>
      </c>
      <c r="E25" s="866"/>
      <c r="F25" s="873">
        <f t="shared" si="0"/>
        <v>6.8300000000000001E-3</v>
      </c>
      <c r="G25" s="876">
        <f t="shared" si="3"/>
        <v>0.76202247335000006</v>
      </c>
      <c r="H25" s="874">
        <f t="shared" si="1"/>
        <v>5.2046134929805005E-3</v>
      </c>
      <c r="I25" s="874">
        <f>I24+SUM(H23:H25)</f>
        <v>1.3906340478941501E-2</v>
      </c>
    </row>
    <row r="26" spans="1:9" ht="20.100000000000001" customHeight="1">
      <c r="A26" s="224">
        <f>IF(ISBLANK(G26)=TRUE,"",MAX($A$17:A25)+1)</f>
        <v>10</v>
      </c>
      <c r="B26" s="875">
        <f t="shared" si="2"/>
        <v>45596</v>
      </c>
      <c r="C26" s="866"/>
      <c r="D26" s="873">
        <f t="shared" si="4"/>
        <v>6.8300000000000001E-3</v>
      </c>
      <c r="E26" s="866"/>
      <c r="F26" s="873">
        <f t="shared" si="0"/>
        <v>6.8300000000000001E-3</v>
      </c>
      <c r="G26" s="874">
        <f>G25+1/12+I25</f>
        <v>0.85926214716227489</v>
      </c>
      <c r="H26" s="874">
        <f t="shared" si="1"/>
        <v>5.8687604651183377E-3</v>
      </c>
      <c r="I26" s="874">
        <v>0</v>
      </c>
    </row>
    <row r="27" spans="1:9" ht="20.100000000000001" customHeight="1">
      <c r="A27" s="224">
        <f>IF(ISBLANK(G27)=TRUE,"",MAX($A$17:A26)+1)</f>
        <v>11</v>
      </c>
      <c r="B27" s="875">
        <f t="shared" si="2"/>
        <v>45626</v>
      </c>
      <c r="C27" s="866"/>
      <c r="D27" s="873">
        <f t="shared" si="4"/>
        <v>6.8300000000000001E-3</v>
      </c>
      <c r="E27" s="866"/>
      <c r="F27" s="873">
        <f t="shared" si="0"/>
        <v>6.8300000000000001E-3</v>
      </c>
      <c r="G27" s="874">
        <f t="shared" si="3"/>
        <v>0.94259548049560826</v>
      </c>
      <c r="H27" s="874">
        <f t="shared" si="1"/>
        <v>6.4379271317850043E-3</v>
      </c>
      <c r="I27" s="874">
        <v>0</v>
      </c>
    </row>
    <row r="28" spans="1:9" ht="20.100000000000001" customHeight="1">
      <c r="A28" s="224">
        <f>IF(ISBLANK(G28)=TRUE,"",MAX($A$17:A27)+1)</f>
        <v>12</v>
      </c>
      <c r="B28" s="875">
        <f>EOMONTH(B27,1)</f>
        <v>45657</v>
      </c>
      <c r="C28" s="866"/>
      <c r="D28" s="873">
        <f t="shared" si="4"/>
        <v>6.8300000000000001E-3</v>
      </c>
      <c r="E28" s="866"/>
      <c r="F28" s="873">
        <f t="shared" si="0"/>
        <v>6.8300000000000001E-3</v>
      </c>
      <c r="G28" s="876">
        <f t="shared" si="3"/>
        <v>1.0259288138289415</v>
      </c>
      <c r="H28" s="874">
        <f t="shared" si="1"/>
        <v>7.0070937984516709E-3</v>
      </c>
      <c r="I28" s="874">
        <f>I27+SUM(H26:H28)</f>
        <v>1.9313781395355015E-2</v>
      </c>
    </row>
    <row r="29" spans="1:9" ht="20.100000000000001" customHeight="1">
      <c r="A29" s="224" t="str">
        <f>IF(ISBLANK(G29)=TRUE,"",MAX($A$17:A28)+1)</f>
        <v/>
      </c>
      <c r="B29" s="877"/>
      <c r="C29" s="866"/>
      <c r="D29" s="878"/>
      <c r="E29" s="866"/>
      <c r="F29" s="878"/>
      <c r="G29" s="859"/>
      <c r="H29" s="859"/>
      <c r="I29" s="859"/>
    </row>
    <row r="30" spans="1:9" ht="20.100000000000001" customHeight="1">
      <c r="A30" s="224">
        <f>IF(ISBLANK(G30)=TRUE,"",MAX($A$17:A29)+1)</f>
        <v>13</v>
      </c>
      <c r="B30" s="877"/>
      <c r="C30" s="866"/>
      <c r="E30" s="878" t="s">
        <v>1031</v>
      </c>
      <c r="F30" s="878"/>
      <c r="G30" s="874">
        <f>G28+I28</f>
        <v>1.0452425952242965</v>
      </c>
      <c r="H30" s="859"/>
      <c r="I30" s="859"/>
    </row>
    <row r="31" spans="1:9" ht="20.100000000000001" customHeight="1">
      <c r="A31" s="224" t="str">
        <f>IF(ISBLANK(G31)=TRUE,"",MAX($A$17:A30)+1)</f>
        <v/>
      </c>
      <c r="B31" s="877"/>
      <c r="C31" s="866"/>
      <c r="D31" s="878"/>
      <c r="E31" s="866"/>
      <c r="F31" s="878"/>
      <c r="G31" s="859"/>
      <c r="H31" s="859"/>
      <c r="I31" s="859"/>
    </row>
    <row r="32" spans="1:9" ht="20.100000000000001" customHeight="1">
      <c r="A32" s="224">
        <f>IF(ISBLANK(G32)=TRUE,"",MAX($A$17:A31)+1)</f>
        <v>14</v>
      </c>
      <c r="B32" s="875">
        <f>EOMONTH(B28,1)</f>
        <v>45688</v>
      </c>
      <c r="C32" s="866"/>
      <c r="D32" s="873">
        <f>D28</f>
        <v>6.8300000000000001E-3</v>
      </c>
      <c r="E32" s="866"/>
      <c r="F32" s="873">
        <f>D32</f>
        <v>6.8300000000000001E-3</v>
      </c>
      <c r="G32" s="874">
        <f>G30</f>
        <v>1.0452425952242965</v>
      </c>
      <c r="H32" s="874">
        <f>F32*G32</f>
        <v>7.1390069253819454E-3</v>
      </c>
      <c r="I32" s="874">
        <v>0</v>
      </c>
    </row>
    <row r="33" spans="1:11" ht="20.100000000000001" customHeight="1">
      <c r="A33" s="224">
        <f>IF(ISBLANK(G33)=TRUE,"",MAX($A$17:A32)+1)</f>
        <v>15</v>
      </c>
      <c r="B33" s="875">
        <f>EOMONTH(B32,1)</f>
        <v>45716</v>
      </c>
      <c r="C33" s="866"/>
      <c r="D33" s="873">
        <f>D32</f>
        <v>6.8300000000000001E-3</v>
      </c>
      <c r="E33" s="866"/>
      <c r="F33" s="873">
        <f t="shared" ref="F33:F42" si="5">D33</f>
        <v>6.8300000000000001E-3</v>
      </c>
      <c r="G33" s="874">
        <f>G32</f>
        <v>1.0452425952242965</v>
      </c>
      <c r="H33" s="874">
        <f t="shared" ref="H33:H43" si="6">F33*G33</f>
        <v>7.1390069253819454E-3</v>
      </c>
      <c r="I33" s="874">
        <v>0</v>
      </c>
    </row>
    <row r="34" spans="1:11" ht="20.100000000000001" customHeight="1">
      <c r="A34" s="224">
        <f>IF(ISBLANK(G34)=TRUE,"",MAX($A$17:A33)+1)</f>
        <v>16</v>
      </c>
      <c r="B34" s="875">
        <f t="shared" ref="B34:B42" si="7">EOMONTH(B33,1)</f>
        <v>45747</v>
      </c>
      <c r="C34" s="866"/>
      <c r="D34" s="873">
        <f t="shared" ref="D34:D43" si="8">D33</f>
        <v>6.8300000000000001E-3</v>
      </c>
      <c r="E34" s="866"/>
      <c r="F34" s="873">
        <f t="shared" si="5"/>
        <v>6.8300000000000001E-3</v>
      </c>
      <c r="G34" s="876">
        <f>G33</f>
        <v>1.0452425952242965</v>
      </c>
      <c r="H34" s="874">
        <f t="shared" si="6"/>
        <v>7.1390069253819454E-3</v>
      </c>
      <c r="I34" s="874">
        <f>I33+SUM(H32:H34)</f>
        <v>2.1417020776145837E-2</v>
      </c>
    </row>
    <row r="35" spans="1:11" ht="20.100000000000001" customHeight="1">
      <c r="A35" s="224">
        <f>IF(ISBLANK(G35)=TRUE,"",MAX($A$17:A34)+1)</f>
        <v>17</v>
      </c>
      <c r="B35" s="875">
        <f t="shared" si="7"/>
        <v>45777</v>
      </c>
      <c r="C35" s="866"/>
      <c r="D35" s="873">
        <f t="shared" si="8"/>
        <v>6.8300000000000001E-3</v>
      </c>
      <c r="E35" s="866"/>
      <c r="F35" s="873">
        <f t="shared" si="5"/>
        <v>6.8300000000000001E-3</v>
      </c>
      <c r="G35" s="874">
        <f>G34+I34</f>
        <v>1.0666596160004425</v>
      </c>
      <c r="H35" s="874">
        <f t="shared" si="6"/>
        <v>7.2852851772830223E-3</v>
      </c>
      <c r="I35" s="874">
        <v>0</v>
      </c>
    </row>
    <row r="36" spans="1:11" ht="20.100000000000001" customHeight="1">
      <c r="A36" s="224">
        <f>IF(ISBLANK(G36)=TRUE,"",MAX($A$17:A35)+1)</f>
        <v>18</v>
      </c>
      <c r="B36" s="875">
        <f t="shared" si="7"/>
        <v>45808</v>
      </c>
      <c r="C36" s="866"/>
      <c r="D36" s="873">
        <f t="shared" si="8"/>
        <v>6.8300000000000001E-3</v>
      </c>
      <c r="E36" s="866"/>
      <c r="F36" s="873">
        <f t="shared" si="5"/>
        <v>6.8300000000000001E-3</v>
      </c>
      <c r="G36" s="874">
        <f>G35</f>
        <v>1.0666596160004425</v>
      </c>
      <c r="H36" s="874">
        <f t="shared" si="6"/>
        <v>7.2852851772830223E-3</v>
      </c>
      <c r="I36" s="874">
        <v>0</v>
      </c>
    </row>
    <row r="37" spans="1:11" ht="20.100000000000001" customHeight="1">
      <c r="A37" s="224">
        <f>IF(ISBLANK(G37)=TRUE,"",MAX($A$17:A36)+1)</f>
        <v>19</v>
      </c>
      <c r="B37" s="875">
        <f t="shared" si="7"/>
        <v>45838</v>
      </c>
      <c r="C37" s="866"/>
      <c r="D37" s="873">
        <f t="shared" si="8"/>
        <v>6.8300000000000001E-3</v>
      </c>
      <c r="E37" s="866"/>
      <c r="F37" s="873">
        <f t="shared" si="5"/>
        <v>6.8300000000000001E-3</v>
      </c>
      <c r="G37" s="876">
        <f>G36</f>
        <v>1.0666596160004425</v>
      </c>
      <c r="H37" s="874">
        <f t="shared" si="6"/>
        <v>7.2852851772830223E-3</v>
      </c>
      <c r="I37" s="874">
        <f>I36+SUM(H35:H37)</f>
        <v>2.1855855531849065E-2</v>
      </c>
    </row>
    <row r="38" spans="1:11" ht="20.100000000000001" customHeight="1">
      <c r="A38" s="224">
        <f>IF(ISBLANK(G38)=TRUE,"",MAX($A$17:A37)+1)</f>
        <v>20</v>
      </c>
      <c r="B38" s="875">
        <f t="shared" si="7"/>
        <v>45869</v>
      </c>
      <c r="C38" s="866"/>
      <c r="D38" s="873">
        <f t="shared" si="8"/>
        <v>6.8300000000000001E-3</v>
      </c>
      <c r="E38" s="866"/>
      <c r="F38" s="873">
        <f t="shared" si="5"/>
        <v>6.8300000000000001E-3</v>
      </c>
      <c r="G38" s="874">
        <f>G37+I37</f>
        <v>1.0885154715322916</v>
      </c>
      <c r="H38" s="874">
        <f t="shared" si="6"/>
        <v>7.4345606705655517E-3</v>
      </c>
      <c r="I38" s="874">
        <v>0</v>
      </c>
    </row>
    <row r="39" spans="1:11" ht="20.100000000000001" customHeight="1">
      <c r="A39" s="224">
        <f>IF(ISBLANK(G39)=TRUE,"",MAX($A$17:A38)+1)</f>
        <v>21</v>
      </c>
      <c r="B39" s="875">
        <f t="shared" si="7"/>
        <v>45900</v>
      </c>
      <c r="C39" s="866"/>
      <c r="D39" s="873">
        <f t="shared" si="8"/>
        <v>6.8300000000000001E-3</v>
      </c>
      <c r="E39" s="866"/>
      <c r="F39" s="873">
        <f>D39</f>
        <v>6.8300000000000001E-3</v>
      </c>
      <c r="G39" s="874">
        <f>G38</f>
        <v>1.0885154715322916</v>
      </c>
      <c r="H39" s="874">
        <f t="shared" si="6"/>
        <v>7.4345606705655517E-3</v>
      </c>
      <c r="I39" s="874">
        <v>0</v>
      </c>
    </row>
    <row r="40" spans="1:11" ht="20.100000000000001" customHeight="1">
      <c r="A40" s="224">
        <f>IF(ISBLANK(G40)=TRUE,"",MAX($A$17:A39)+1)</f>
        <v>22</v>
      </c>
      <c r="B40" s="875">
        <f t="shared" si="7"/>
        <v>45930</v>
      </c>
      <c r="C40" s="866"/>
      <c r="D40" s="873">
        <f t="shared" si="8"/>
        <v>6.8300000000000001E-3</v>
      </c>
      <c r="E40" s="866"/>
      <c r="F40" s="873">
        <f t="shared" si="5"/>
        <v>6.8300000000000001E-3</v>
      </c>
      <c r="G40" s="876">
        <f>G39</f>
        <v>1.0885154715322916</v>
      </c>
      <c r="H40" s="874">
        <f t="shared" si="6"/>
        <v>7.4345606705655517E-3</v>
      </c>
      <c r="I40" s="874">
        <f>I39+SUM(H38:H40)</f>
        <v>2.2303682011696656E-2</v>
      </c>
    </row>
    <row r="41" spans="1:11" ht="20.100000000000001" customHeight="1">
      <c r="A41" s="224">
        <f>IF(ISBLANK(G41)=TRUE,"",MAX($A$17:A40)+1)</f>
        <v>23</v>
      </c>
      <c r="B41" s="875">
        <f t="shared" si="7"/>
        <v>45961</v>
      </c>
      <c r="C41" s="866"/>
      <c r="D41" s="873">
        <f t="shared" si="8"/>
        <v>6.8300000000000001E-3</v>
      </c>
      <c r="E41" s="866"/>
      <c r="F41" s="873">
        <f t="shared" si="5"/>
        <v>6.8300000000000001E-3</v>
      </c>
      <c r="G41" s="874">
        <f>G40+I40</f>
        <v>1.1108191535439882</v>
      </c>
      <c r="H41" s="874">
        <f t="shared" si="6"/>
        <v>7.5868948187054397E-3</v>
      </c>
      <c r="I41" s="874">
        <v>0</v>
      </c>
    </row>
    <row r="42" spans="1:11" ht="20.100000000000001" customHeight="1">
      <c r="A42" s="224">
        <f>IF(ISBLANK(G42)=TRUE,"",MAX($A$17:A41)+1)</f>
        <v>24</v>
      </c>
      <c r="B42" s="875">
        <f t="shared" si="7"/>
        <v>45991</v>
      </c>
      <c r="C42" s="866"/>
      <c r="D42" s="873">
        <f t="shared" si="8"/>
        <v>6.8300000000000001E-3</v>
      </c>
      <c r="E42" s="866"/>
      <c r="F42" s="873">
        <f t="shared" si="5"/>
        <v>6.8300000000000001E-3</v>
      </c>
      <c r="G42" s="874">
        <f>G41</f>
        <v>1.1108191535439882</v>
      </c>
      <c r="H42" s="874">
        <f t="shared" si="6"/>
        <v>7.5868948187054397E-3</v>
      </c>
      <c r="I42" s="874">
        <v>0</v>
      </c>
    </row>
    <row r="43" spans="1:11" ht="20.100000000000001" customHeight="1">
      <c r="A43" s="224">
        <f>IF(ISBLANK(G43)=TRUE,"",MAX($A$17:A42)+1)</f>
        <v>25</v>
      </c>
      <c r="B43" s="875">
        <f>EOMONTH(B42,1)</f>
        <v>46022</v>
      </c>
      <c r="C43" s="866"/>
      <c r="D43" s="873">
        <f t="shared" si="8"/>
        <v>6.8300000000000001E-3</v>
      </c>
      <c r="E43" s="866"/>
      <c r="F43" s="873">
        <f>D43</f>
        <v>6.8300000000000001E-3</v>
      </c>
      <c r="G43" s="876">
        <f>G42</f>
        <v>1.1108191535439882</v>
      </c>
      <c r="H43" s="874">
        <f t="shared" si="6"/>
        <v>7.5868948187054397E-3</v>
      </c>
      <c r="I43" s="874">
        <f>I42+SUM(H41:H43)</f>
        <v>2.2760684456116318E-2</v>
      </c>
    </row>
    <row r="44" spans="1:11" ht="20.100000000000001" customHeight="1">
      <c r="A44" s="224" t="str">
        <f>IF(ISBLANK(G44)=TRUE,"",MAX($A$17:A43)+1)</f>
        <v/>
      </c>
      <c r="B44" s="877"/>
      <c r="C44" s="866"/>
      <c r="D44" s="878"/>
      <c r="E44" s="866"/>
      <c r="F44" s="878"/>
      <c r="G44" s="859"/>
      <c r="H44" s="859"/>
      <c r="I44" s="859"/>
    </row>
    <row r="45" spans="1:11" ht="20.100000000000001" customHeight="1">
      <c r="A45" s="224">
        <f>IF(ISBLANK(G45)=TRUE,"",MAX($A$17:A44)+1)</f>
        <v>26</v>
      </c>
      <c r="B45" s="877"/>
      <c r="C45" s="866"/>
      <c r="D45" s="878"/>
      <c r="E45" s="878" t="s">
        <v>1032</v>
      </c>
      <c r="F45" s="878"/>
      <c r="G45" s="874">
        <f>G43+I43</f>
        <v>1.1335798380001045</v>
      </c>
      <c r="H45" s="859"/>
      <c r="I45" s="859"/>
    </row>
    <row r="46" spans="1:11" ht="20.100000000000001" customHeight="1">
      <c r="A46" s="224" t="str">
        <f>IF(ISBLANK(G46)=TRUE,"",MAX($A$17:A45)+1)</f>
        <v/>
      </c>
      <c r="B46" s="877"/>
      <c r="C46" s="866"/>
      <c r="D46" s="878"/>
      <c r="E46" s="878"/>
      <c r="F46" s="878"/>
      <c r="G46" s="874"/>
      <c r="H46" s="859"/>
      <c r="I46" s="859"/>
    </row>
    <row r="47" spans="1:11" ht="20.100000000000001" customHeight="1">
      <c r="A47" s="224">
        <f>IF(ISBLANK(G47)=TRUE,"",MAX($A$17:A46)+1)</f>
        <v>27</v>
      </c>
      <c r="B47" s="877"/>
      <c r="C47" s="866"/>
      <c r="D47" s="878"/>
      <c r="E47" s="843"/>
      <c r="F47" s="879" t="s">
        <v>1033</v>
      </c>
      <c r="G47" s="880">
        <f>G45/12</f>
        <v>9.4464986500008716E-2</v>
      </c>
      <c r="H47" s="859"/>
      <c r="I47" s="859"/>
    </row>
    <row r="48" spans="1:11" ht="20.100000000000001" customHeight="1" thickBot="1">
      <c r="A48" s="224">
        <f>IF(ISBLANK(G48)=TRUE,"",MAX($A$17:A47)+1)</f>
        <v>28</v>
      </c>
      <c r="B48" s="877"/>
      <c r="C48" s="866"/>
      <c r="D48" s="878"/>
      <c r="E48" s="843"/>
      <c r="F48" s="881" t="s">
        <v>1034</v>
      </c>
      <c r="G48" s="882">
        <v>3.5462427996506007E-3</v>
      </c>
      <c r="H48" s="874" t="s">
        <v>1124</v>
      </c>
      <c r="I48" s="843"/>
      <c r="J48" s="874"/>
      <c r="K48" s="843"/>
    </row>
    <row r="49" spans="1:9" ht="20.100000000000001" customHeight="1" thickTop="1">
      <c r="A49" s="224">
        <f>IF(ISBLANK(G49)=TRUE,"",MAX($A$17:A48)+1)</f>
        <v>29</v>
      </c>
      <c r="B49" s="877"/>
      <c r="C49" s="866"/>
      <c r="D49" s="878"/>
      <c r="E49" s="843"/>
      <c r="F49" s="879" t="s">
        <v>1035</v>
      </c>
      <c r="G49" s="874">
        <f>G47+G48</f>
        <v>9.8011229299659317E-2</v>
      </c>
      <c r="H49" s="859"/>
      <c r="I49" s="859"/>
    </row>
    <row r="50" spans="1:9" ht="20.100000000000001" customHeight="1">
      <c r="A50" s="224" t="str">
        <f>IF(ISBLANK(G50)=TRUE,"",MAX($A$17:A49)+1)</f>
        <v/>
      </c>
      <c r="B50" s="877"/>
      <c r="C50" s="866"/>
      <c r="D50" s="878"/>
      <c r="E50" s="843"/>
      <c r="F50" s="879"/>
      <c r="G50" s="874"/>
      <c r="H50" s="859"/>
      <c r="I50" s="859"/>
    </row>
    <row r="51" spans="1:9" ht="20.100000000000001" customHeight="1">
      <c r="A51" s="224">
        <f>IF(ISBLANK(G51)=TRUE,"",MAX($A$17:A50)+1)</f>
        <v>30</v>
      </c>
      <c r="B51" s="875">
        <f>EOMONTH(B43,1)</f>
        <v>46053</v>
      </c>
      <c r="C51" s="866"/>
      <c r="D51" s="873">
        <f>D41</f>
        <v>6.8300000000000001E-3</v>
      </c>
      <c r="E51" s="843"/>
      <c r="F51" s="873">
        <f>D51</f>
        <v>6.8300000000000001E-3</v>
      </c>
      <c r="G51" s="874">
        <f>$G$45-($G$49*A17)</f>
        <v>1.0355686087004452</v>
      </c>
      <c r="H51" s="874">
        <f>F51*G51</f>
        <v>7.0729335974240408E-3</v>
      </c>
      <c r="I51" s="874">
        <v>0</v>
      </c>
    </row>
    <row r="52" spans="1:9" ht="20.100000000000001" customHeight="1">
      <c r="A52" s="224">
        <f>IF(ISBLANK(G52)=TRUE,"",MAX($A$17:A51)+1)</f>
        <v>31</v>
      </c>
      <c r="B52" s="875">
        <f>EOMONTH(B51,1)</f>
        <v>46081</v>
      </c>
      <c r="C52" s="866"/>
      <c r="D52" s="873">
        <f t="shared" ref="D52:D62" si="9">D51</f>
        <v>6.8300000000000001E-3</v>
      </c>
      <c r="E52" s="843"/>
      <c r="F52" s="873">
        <f t="shared" ref="F52:F61" si="10">D52</f>
        <v>6.8300000000000001E-3</v>
      </c>
      <c r="G52" s="874">
        <f>G51-$G$49</f>
        <v>0.93755737940078587</v>
      </c>
      <c r="H52" s="874">
        <f t="shared" ref="H52:H62" si="11">F52*G52</f>
        <v>6.4035169013073679E-3</v>
      </c>
      <c r="I52" s="874">
        <v>0</v>
      </c>
    </row>
    <row r="53" spans="1:9" ht="20.100000000000001" customHeight="1">
      <c r="A53" s="224">
        <f>IF(ISBLANK(G53)=TRUE,"",MAX($A$17:A52)+1)</f>
        <v>32</v>
      </c>
      <c r="B53" s="875">
        <f t="shared" ref="B53:B61" si="12">EOMONTH(B52,1)</f>
        <v>46112</v>
      </c>
      <c r="C53" s="866"/>
      <c r="D53" s="873">
        <f t="shared" si="9"/>
        <v>6.8300000000000001E-3</v>
      </c>
      <c r="E53" s="843"/>
      <c r="F53" s="873">
        <f t="shared" si="10"/>
        <v>6.8300000000000001E-3</v>
      </c>
      <c r="G53" s="876">
        <f t="shared" ref="G53:G62" si="13">G52-$G$49</f>
        <v>0.83954615010112654</v>
      </c>
      <c r="H53" s="874">
        <f t="shared" si="11"/>
        <v>5.7341002051906941E-3</v>
      </c>
      <c r="I53" s="874">
        <f>I52+SUM(H51:H53)</f>
        <v>1.9210550703922101E-2</v>
      </c>
    </row>
    <row r="54" spans="1:9" ht="20.100000000000001" customHeight="1">
      <c r="A54" s="224">
        <f>IF(ISBLANK(G54)=TRUE,"",MAX($A$17:A53)+1)</f>
        <v>33</v>
      </c>
      <c r="B54" s="875">
        <f t="shared" si="12"/>
        <v>46142</v>
      </c>
      <c r="C54" s="866"/>
      <c r="D54" s="873">
        <f t="shared" si="9"/>
        <v>6.8300000000000001E-3</v>
      </c>
      <c r="E54" s="843"/>
      <c r="F54" s="873">
        <f t="shared" si="10"/>
        <v>6.8300000000000001E-3</v>
      </c>
      <c r="G54" s="874">
        <f>G53-$G$49+I53</f>
        <v>0.76074547150538929</v>
      </c>
      <c r="H54" s="874">
        <f t="shared" si="11"/>
        <v>5.1958915703818088E-3</v>
      </c>
      <c r="I54" s="874">
        <v>0</v>
      </c>
    </row>
    <row r="55" spans="1:9" ht="20.100000000000001" customHeight="1">
      <c r="A55" s="224">
        <f>IF(ISBLANK(G55)=TRUE,"",MAX($A$17:A54)+1)</f>
        <v>34</v>
      </c>
      <c r="B55" s="875">
        <f t="shared" si="12"/>
        <v>46173</v>
      </c>
      <c r="C55" s="866"/>
      <c r="D55" s="873">
        <f t="shared" si="9"/>
        <v>6.8300000000000001E-3</v>
      </c>
      <c r="E55" s="878"/>
      <c r="F55" s="873">
        <f t="shared" si="10"/>
        <v>6.8300000000000001E-3</v>
      </c>
      <c r="G55" s="874">
        <f t="shared" si="13"/>
        <v>0.66273424220572996</v>
      </c>
      <c r="H55" s="874">
        <f t="shared" si="11"/>
        <v>4.5264748742651359E-3</v>
      </c>
      <c r="I55" s="874">
        <v>0</v>
      </c>
    </row>
    <row r="56" spans="1:9" ht="20.100000000000001" customHeight="1">
      <c r="A56" s="224">
        <f>IF(ISBLANK(G56)=TRUE,"",MAX($A$17:A55)+1)</f>
        <v>35</v>
      </c>
      <c r="B56" s="875">
        <f t="shared" si="12"/>
        <v>46203</v>
      </c>
      <c r="C56" s="866"/>
      <c r="D56" s="873">
        <f t="shared" si="9"/>
        <v>6.8300000000000001E-3</v>
      </c>
      <c r="E56" s="878"/>
      <c r="F56" s="873">
        <f t="shared" si="10"/>
        <v>6.8300000000000001E-3</v>
      </c>
      <c r="G56" s="876">
        <f t="shared" si="13"/>
        <v>0.56472301290607063</v>
      </c>
      <c r="H56" s="874">
        <f t="shared" si="11"/>
        <v>3.8570581781484626E-3</v>
      </c>
      <c r="I56" s="874">
        <f>I55+SUM(H54:H56)</f>
        <v>1.3579424622795407E-2</v>
      </c>
    </row>
    <row r="57" spans="1:9" ht="20.100000000000001" customHeight="1">
      <c r="A57" s="224">
        <f>IF(ISBLANK(G57)=TRUE,"",MAX($A$17:A56)+1)</f>
        <v>36</v>
      </c>
      <c r="B57" s="875">
        <f t="shared" si="12"/>
        <v>46234</v>
      </c>
      <c r="C57" s="866"/>
      <c r="D57" s="873">
        <f t="shared" si="9"/>
        <v>6.8300000000000001E-3</v>
      </c>
      <c r="E57" s="878"/>
      <c r="F57" s="873">
        <f>D57</f>
        <v>6.8300000000000001E-3</v>
      </c>
      <c r="G57" s="874">
        <f>G56-$G$49+I56</f>
        <v>0.48029120822920673</v>
      </c>
      <c r="H57" s="874">
        <f t="shared" si="11"/>
        <v>3.280388952205482E-3</v>
      </c>
      <c r="I57" s="874">
        <v>0</v>
      </c>
    </row>
    <row r="58" spans="1:9" ht="20.100000000000001" customHeight="1">
      <c r="A58" s="224">
        <f>IF(ISBLANK(G58)=TRUE,"",MAX($A$17:A57)+1)</f>
        <v>37</v>
      </c>
      <c r="B58" s="875">
        <f t="shared" si="12"/>
        <v>46265</v>
      </c>
      <c r="C58" s="866"/>
      <c r="D58" s="873">
        <f t="shared" si="9"/>
        <v>6.8300000000000001E-3</v>
      </c>
      <c r="E58" s="878"/>
      <c r="F58" s="873">
        <f t="shared" si="10"/>
        <v>6.8300000000000001E-3</v>
      </c>
      <c r="G58" s="874">
        <f t="shared" si="13"/>
        <v>0.3822799789295474</v>
      </c>
      <c r="H58" s="874">
        <f t="shared" si="11"/>
        <v>2.6109722560888086E-3</v>
      </c>
      <c r="I58" s="874">
        <v>0</v>
      </c>
    </row>
    <row r="59" spans="1:9" ht="20.100000000000001" customHeight="1">
      <c r="A59" s="224">
        <f>IF(ISBLANK(G59)=TRUE,"",MAX($A$17:A58)+1)</f>
        <v>38</v>
      </c>
      <c r="B59" s="875">
        <f t="shared" si="12"/>
        <v>46295</v>
      </c>
      <c r="C59" s="866"/>
      <c r="D59" s="873">
        <f t="shared" si="9"/>
        <v>6.8300000000000001E-3</v>
      </c>
      <c r="E59" s="878"/>
      <c r="F59" s="873">
        <f t="shared" si="10"/>
        <v>6.8300000000000001E-3</v>
      </c>
      <c r="G59" s="876">
        <f t="shared" si="13"/>
        <v>0.28426874962988807</v>
      </c>
      <c r="H59" s="874">
        <f t="shared" si="11"/>
        <v>1.9415555599721355E-3</v>
      </c>
      <c r="I59" s="874">
        <f>I58+SUM(H57:H59)</f>
        <v>7.8329167682664267E-3</v>
      </c>
    </row>
    <row r="60" spans="1:9" ht="20.100000000000001" customHeight="1">
      <c r="A60" s="224">
        <f>IF(ISBLANK(G60)=TRUE,"",MAX($A$17:A59)+1)</f>
        <v>39</v>
      </c>
      <c r="B60" s="875">
        <f t="shared" si="12"/>
        <v>46326</v>
      </c>
      <c r="C60" s="866"/>
      <c r="D60" s="873">
        <f t="shared" si="9"/>
        <v>6.8300000000000001E-3</v>
      </c>
      <c r="E60" s="878"/>
      <c r="F60" s="873">
        <f>D60</f>
        <v>6.8300000000000001E-3</v>
      </c>
      <c r="G60" s="874">
        <f>G59-$G$49+I59</f>
        <v>0.19409043709849516</v>
      </c>
      <c r="H60" s="874">
        <f t="shared" si="11"/>
        <v>1.3256376853827219E-3</v>
      </c>
      <c r="I60" s="874">
        <v>0</v>
      </c>
    </row>
    <row r="61" spans="1:9" ht="20.100000000000001" customHeight="1">
      <c r="A61" s="224">
        <f>IF(ISBLANK(G61)=TRUE,"",MAX($A$17:A60)+1)</f>
        <v>40</v>
      </c>
      <c r="B61" s="875">
        <f t="shared" si="12"/>
        <v>46356</v>
      </c>
      <c r="C61" s="866"/>
      <c r="D61" s="873">
        <f t="shared" si="9"/>
        <v>6.8300000000000001E-3</v>
      </c>
      <c r="E61" s="878"/>
      <c r="F61" s="873">
        <f t="shared" si="10"/>
        <v>6.8300000000000001E-3</v>
      </c>
      <c r="G61" s="874">
        <f t="shared" si="13"/>
        <v>9.6079207798835845E-2</v>
      </c>
      <c r="H61" s="874">
        <f t="shared" si="11"/>
        <v>6.5622098926604886E-4</v>
      </c>
      <c r="I61" s="874">
        <v>0</v>
      </c>
    </row>
    <row r="62" spans="1:9" ht="20.100000000000001" customHeight="1">
      <c r="A62" s="224">
        <f>IF(ISBLANK(G62)=TRUE,"",MAX($A$17:A61)+1)</f>
        <v>41</v>
      </c>
      <c r="B62" s="875">
        <f>EOMONTH(B61,1)</f>
        <v>46387</v>
      </c>
      <c r="C62" s="866"/>
      <c r="D62" s="873">
        <f t="shared" si="9"/>
        <v>6.8300000000000001E-3</v>
      </c>
      <c r="E62" s="866"/>
      <c r="F62" s="873">
        <f>D62</f>
        <v>6.8300000000000001E-3</v>
      </c>
      <c r="G62" s="876">
        <f t="shared" si="13"/>
        <v>-1.932021500823472E-3</v>
      </c>
      <c r="H62" s="874">
        <f t="shared" si="11"/>
        <v>-1.3195706850624314E-5</v>
      </c>
      <c r="I62" s="874">
        <f>I61+SUM(H60:H62)</f>
        <v>1.9686629677981467E-3</v>
      </c>
    </row>
    <row r="63" spans="1:9" ht="20.100000000000001" customHeight="1">
      <c r="A63" s="224" t="str">
        <f>IF(ISBLANK(G63)=TRUE,"",MAX($A$17:A62)+1)</f>
        <v/>
      </c>
      <c r="B63" s="877"/>
      <c r="C63" s="866"/>
      <c r="D63" s="878"/>
      <c r="E63" s="866"/>
      <c r="F63" s="878"/>
      <c r="G63" s="859"/>
      <c r="H63" s="859"/>
      <c r="I63" s="859"/>
    </row>
    <row r="64" spans="1:9" ht="20.100000000000001" customHeight="1">
      <c r="A64" s="224">
        <f>IF(ISBLANK(G64)=TRUE,"",MAX($A$17:A63)+1)</f>
        <v>42</v>
      </c>
      <c r="B64" s="877"/>
      <c r="C64" s="866"/>
      <c r="D64" s="878"/>
      <c r="E64" s="878" t="s">
        <v>1036</v>
      </c>
      <c r="F64" s="878"/>
      <c r="G64" s="874">
        <f>G62+I62</f>
        <v>3.6641466974674658E-5</v>
      </c>
      <c r="H64" s="859"/>
      <c r="I64" s="859"/>
    </row>
    <row r="65" spans="1:10" ht="20.100000000000001" customHeight="1">
      <c r="A65" s="224" t="str">
        <f>IF(ISBLANK(G65)=TRUE,"",MAX($A$17:A64)+1)</f>
        <v/>
      </c>
      <c r="B65" s="877"/>
      <c r="C65" s="866"/>
      <c r="D65" s="878"/>
      <c r="E65" s="866"/>
      <c r="F65" s="878"/>
      <c r="G65" s="859"/>
      <c r="H65" s="859"/>
      <c r="I65" s="859"/>
    </row>
    <row r="66" spans="1:10" ht="20.100000000000001" customHeight="1">
      <c r="A66" s="224">
        <f>IF(ISBLANK(G66)=TRUE,"",MAX($A$17:A65)+1)</f>
        <v>43</v>
      </c>
      <c r="B66" s="877"/>
      <c r="C66" s="866"/>
      <c r="D66" s="883"/>
      <c r="E66" s="884"/>
      <c r="F66" s="885" t="s">
        <v>1037</v>
      </c>
      <c r="G66" s="874">
        <f>G49*12</f>
        <v>1.1761347515959117</v>
      </c>
      <c r="H66" s="859"/>
      <c r="I66" s="859"/>
    </row>
    <row r="67" spans="1:10" ht="20.100000000000001" customHeight="1">
      <c r="A67" s="224">
        <f>IF(ISBLANK(G67)=TRUE,"",MAX($A$17:A66)+1)</f>
        <v>44</v>
      </c>
      <c r="B67" s="877"/>
      <c r="C67" s="866"/>
      <c r="D67" s="878"/>
      <c r="E67" s="866"/>
      <c r="F67" s="878" t="s">
        <v>1038</v>
      </c>
      <c r="G67" s="876">
        <v>1</v>
      </c>
      <c r="H67" s="859"/>
      <c r="I67" s="859"/>
    </row>
    <row r="68" spans="1:10" ht="20.100000000000001" customHeight="1">
      <c r="A68" s="224">
        <f>IF(ISBLANK(G68)=TRUE,"",MAX($A$17:A67)+1)</f>
        <v>45</v>
      </c>
      <c r="B68" s="877"/>
      <c r="C68" s="866"/>
      <c r="D68" s="883"/>
      <c r="E68" s="884"/>
      <c r="F68" s="885" t="s">
        <v>1039</v>
      </c>
      <c r="G68" s="874">
        <f>G66-G67</f>
        <v>0.17613475159591174</v>
      </c>
      <c r="H68" s="859"/>
      <c r="I68" s="859"/>
    </row>
    <row r="69" spans="1:10" ht="20.100000000000001" customHeight="1">
      <c r="A69" s="224" t="str">
        <f>IF(ISBLANK(G69)=TRUE,"",MAX($A$17:A68)+1)</f>
        <v/>
      </c>
      <c r="B69" s="877"/>
      <c r="C69" s="866"/>
      <c r="D69" s="878"/>
      <c r="E69" s="866"/>
      <c r="F69" s="878"/>
      <c r="G69" s="859"/>
      <c r="H69" s="859"/>
      <c r="I69" s="859"/>
    </row>
    <row r="70" spans="1:10" ht="20.100000000000001" customHeight="1">
      <c r="A70" s="224" t="str">
        <f>IF(ISBLANK(G70)=TRUE,"",MAX($A$17:A69)+1)</f>
        <v/>
      </c>
      <c r="B70" s="877"/>
      <c r="C70" s="866"/>
      <c r="D70" s="878"/>
      <c r="E70" s="866"/>
      <c r="F70" s="878"/>
      <c r="G70" s="859"/>
      <c r="H70" s="859"/>
      <c r="I70" s="859"/>
    </row>
    <row r="71" spans="1:10" ht="20.100000000000001" customHeight="1">
      <c r="A71" s="224" t="str">
        <f>IF(ISBLANK(G71)=TRUE,"",MAX($A$17:A70)+1)</f>
        <v/>
      </c>
      <c r="B71" s="186"/>
      <c r="C71" s="186"/>
      <c r="D71" s="186"/>
      <c r="E71" s="186"/>
      <c r="F71" s="186"/>
      <c r="G71" s="186"/>
      <c r="H71" s="186"/>
      <c r="I71" s="186"/>
    </row>
    <row r="72" spans="1:10" ht="20.100000000000001" customHeight="1">
      <c r="A72" s="886">
        <f>IF(ISBLANK(G72)=TRUE,"",MAX($A$17:A71)+1)</f>
        <v>46</v>
      </c>
      <c r="B72" s="857" t="s">
        <v>1040</v>
      </c>
      <c r="C72" s="186"/>
      <c r="D72" s="186"/>
      <c r="E72" s="186"/>
      <c r="F72" s="186"/>
      <c r="G72" s="887">
        <f>+F10</f>
        <v>4518592.2323914319</v>
      </c>
      <c r="H72" s="67"/>
      <c r="I72" s="186"/>
    </row>
    <row r="73" spans="1:10" ht="20.100000000000001" customHeight="1">
      <c r="A73" s="886">
        <f>IF(ISBLANK(G73)=TRUE,"",MAX($A$17:A72)+1)</f>
        <v>47</v>
      </c>
      <c r="B73" s="857" t="s">
        <v>409</v>
      </c>
      <c r="C73" s="186"/>
      <c r="D73" s="186"/>
      <c r="E73" s="186"/>
      <c r="F73" s="186"/>
      <c r="G73" s="887">
        <f>G68*G72</f>
        <v>795881.12041548116</v>
      </c>
      <c r="H73" s="67"/>
      <c r="I73" s="186"/>
    </row>
    <row r="74" spans="1:10" ht="20.100000000000001" customHeight="1">
      <c r="A74" s="886">
        <f>IF(ISBLANK(G74)=TRUE,"",MAX($A$17:A73)+1)</f>
        <v>48</v>
      </c>
      <c r="B74" s="857" t="s">
        <v>1041</v>
      </c>
      <c r="C74" s="186"/>
      <c r="D74" s="186"/>
      <c r="E74" s="186"/>
      <c r="F74" s="186"/>
      <c r="G74" s="887">
        <f>G72+G73</f>
        <v>5314473.3528069127</v>
      </c>
      <c r="H74" s="67"/>
      <c r="I74" s="186"/>
    </row>
    <row r="75" spans="1:10" ht="20.100000000000001" customHeight="1">
      <c r="A75" s="224"/>
      <c r="B75" s="857"/>
      <c r="C75" s="186"/>
      <c r="D75" s="186"/>
      <c r="E75" s="186"/>
      <c r="F75" s="186"/>
      <c r="G75" s="186"/>
      <c r="H75" s="67"/>
      <c r="I75" s="186"/>
    </row>
    <row r="76" spans="1:10" ht="48" customHeight="1">
      <c r="A76" s="405" t="s">
        <v>1042</v>
      </c>
      <c r="B76" s="1055" t="s">
        <v>1169</v>
      </c>
      <c r="C76" s="1055"/>
      <c r="D76" s="1055"/>
      <c r="E76" s="1055"/>
      <c r="F76" s="1055"/>
      <c r="G76" s="1055"/>
      <c r="H76" s="1055"/>
      <c r="I76" s="1055"/>
      <c r="J76" s="1055"/>
    </row>
    <row r="77" spans="1:10">
      <c r="A77" s="66" t="s">
        <v>1043</v>
      </c>
      <c r="B77" s="1052" t="s">
        <v>1123</v>
      </c>
      <c r="C77" s="1052"/>
      <c r="D77" s="1052"/>
      <c r="E77" s="1052"/>
      <c r="F77" s="1052"/>
      <c r="G77" s="1052"/>
      <c r="H77" s="1052"/>
      <c r="I77" s="1052"/>
      <c r="J77" s="1052"/>
    </row>
    <row r="78" spans="1:10" ht="30" customHeight="1">
      <c r="A78" s="66" t="s">
        <v>1125</v>
      </c>
      <c r="B78" s="1053" t="s">
        <v>1126</v>
      </c>
      <c r="C78" s="1053"/>
      <c r="D78" s="1053"/>
      <c r="E78" s="1053"/>
      <c r="F78" s="1053"/>
      <c r="G78" s="1053"/>
      <c r="H78" s="1053"/>
      <c r="I78" s="1053"/>
      <c r="J78" s="1053"/>
    </row>
  </sheetData>
  <mergeCells count="5">
    <mergeCell ref="B77:J77"/>
    <mergeCell ref="B78:J78"/>
    <mergeCell ref="B5:I5"/>
    <mergeCell ref="B6:I6"/>
    <mergeCell ref="B76:J76"/>
  </mergeCells>
  <pageMargins left="0.7" right="0.7" top="0.75" bottom="0.75" header="0.3" footer="0.3"/>
  <pageSetup scale="41" orientation="portrait" r:id="rId1"/>
  <ignoredErrors>
    <ignoredError sqref="D10" unlocked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9D4DA-553D-4C5C-9A9C-60C5D373427A}">
  <dimension ref="A1:K78"/>
  <sheetViews>
    <sheetView view="pageBreakPreview" zoomScale="60" zoomScaleNormal="100" workbookViewId="0"/>
  </sheetViews>
  <sheetFormatPr defaultColWidth="8.88671875" defaultRowHeight="15.75"/>
  <cols>
    <col min="1" max="1" width="7.6640625" style="64" customWidth="1"/>
    <col min="2" max="2" width="24.88671875" style="66" customWidth="1"/>
    <col min="3" max="3" width="7.109375" style="66" customWidth="1"/>
    <col min="4" max="4" width="25.5546875" style="64" customWidth="1"/>
    <col min="5" max="5" width="9" style="64" customWidth="1"/>
    <col min="6" max="6" width="34.21875" style="64" bestFit="1" customWidth="1"/>
    <col min="7" max="9" width="15.88671875" style="64" customWidth="1"/>
    <col min="10" max="10" width="21.44140625" style="64" customWidth="1"/>
    <col min="11" max="16384" width="8.88671875" style="64"/>
  </cols>
  <sheetData>
    <row r="1" spans="1:10" ht="16.5" customHeight="1">
      <c r="B1" s="63"/>
      <c r="C1" s="63"/>
      <c r="J1" s="65" t="str">
        <f>'Attachment H-34A '!K1&amp;""&amp;", Attachment 13a"</f>
        <v>Attachment H-34A, Attachment 13a</v>
      </c>
    </row>
    <row r="2" spans="1:10" ht="16.5" customHeight="1">
      <c r="B2" s="63"/>
      <c r="C2" s="63"/>
      <c r="J2" s="65" t="s">
        <v>186</v>
      </c>
    </row>
    <row r="3" spans="1:10" ht="16.5" customHeight="1">
      <c r="B3" s="63"/>
      <c r="C3" s="63"/>
      <c r="J3" s="65" t="str">
        <f>'Attachment H-34A '!K4</f>
        <v>For the 12 months ended 12/31/2026</v>
      </c>
    </row>
    <row r="4" spans="1:10" ht="20.100000000000001" customHeight="1">
      <c r="B4" s="63"/>
      <c r="C4" s="63"/>
    </row>
    <row r="5" spans="1:10" ht="20.100000000000001" customHeight="1">
      <c r="B5" s="1054" t="s">
        <v>538</v>
      </c>
      <c r="C5" s="1054"/>
      <c r="D5" s="1054"/>
      <c r="E5" s="1054"/>
      <c r="F5" s="1054"/>
      <c r="G5" s="1054"/>
      <c r="H5" s="1054"/>
      <c r="I5" s="1054"/>
    </row>
    <row r="6" spans="1:10" ht="20.100000000000001" customHeight="1">
      <c r="B6" s="1054"/>
      <c r="C6" s="1054"/>
      <c r="D6" s="1054"/>
      <c r="E6" s="1054"/>
      <c r="F6" s="1054"/>
      <c r="G6" s="1054"/>
      <c r="H6" s="1054"/>
      <c r="I6" s="1054"/>
    </row>
    <row r="7" spans="1:10" ht="20.100000000000001" customHeight="1" thickBot="1"/>
    <row r="8" spans="1:10" s="68" customFormat="1" ht="98.25" customHeight="1">
      <c r="B8" s="314" t="s">
        <v>1301</v>
      </c>
      <c r="C8" s="853"/>
      <c r="D8" s="314" t="s">
        <v>1302</v>
      </c>
      <c r="E8" s="853"/>
      <c r="F8" s="854" t="s">
        <v>277</v>
      </c>
      <c r="H8" s="855"/>
      <c r="I8" s="855"/>
    </row>
    <row r="9" spans="1:10" ht="20.100000000000001" customHeight="1">
      <c r="B9" s="856" t="s">
        <v>1122</v>
      </c>
      <c r="C9" s="857"/>
      <c r="D9" s="856" t="s">
        <v>1122</v>
      </c>
      <c r="E9" s="857"/>
      <c r="F9" s="858"/>
      <c r="H9" s="859"/>
      <c r="I9" s="859"/>
    </row>
    <row r="10" spans="1:10" ht="20.100000000000001" customHeight="1" thickBot="1">
      <c r="A10" s="224" t="s">
        <v>263</v>
      </c>
      <c r="B10" s="321">
        <f>'Attachment 12 - TEC True-up'!I34</f>
        <v>17079792.837248482</v>
      </c>
      <c r="C10" s="860" t="str">
        <f>"-"</f>
        <v>-</v>
      </c>
      <c r="D10" s="321">
        <f>'Attachment 12 - TEC True-up'!E15</f>
        <v>15286944.338638371</v>
      </c>
      <c r="E10" s="860" t="str">
        <f>"="</f>
        <v>=</v>
      </c>
      <c r="F10" s="861">
        <f>IF(B10=0,0,D10-B10)</f>
        <v>-1792848.498610111</v>
      </c>
      <c r="H10" s="859"/>
      <c r="I10" s="859"/>
    </row>
    <row r="11" spans="1:10" ht="20.100000000000001" customHeight="1" thickBot="1">
      <c r="A11" s="224"/>
      <c r="B11" s="862"/>
      <c r="C11" s="863"/>
      <c r="D11" s="862"/>
      <c r="E11" s="863"/>
      <c r="F11" s="862"/>
      <c r="G11" s="864"/>
      <c r="H11" s="864"/>
      <c r="I11" s="864"/>
    </row>
    <row r="12" spans="1:10" ht="20.100000000000001" customHeight="1">
      <c r="A12" s="224"/>
      <c r="B12" s="878"/>
      <c r="C12" s="866"/>
      <c r="D12" s="878"/>
      <c r="E12" s="866"/>
      <c r="F12" s="878"/>
      <c r="G12" s="859"/>
      <c r="H12" s="859"/>
      <c r="I12" s="859"/>
    </row>
    <row r="13" spans="1:10" ht="20.100000000000001" customHeight="1">
      <c r="A13" s="224"/>
      <c r="B13" s="598" t="s">
        <v>1303</v>
      </c>
      <c r="C13" s="599"/>
      <c r="D13" s="600"/>
      <c r="E13" s="404"/>
      <c r="F13" s="601"/>
      <c r="G13" s="601"/>
      <c r="H13" s="859"/>
      <c r="I13" s="859"/>
    </row>
    <row r="14" spans="1:10" ht="20.100000000000001" customHeight="1">
      <c r="A14" s="224"/>
      <c r="B14" s="878"/>
      <c r="C14" s="866"/>
      <c r="D14" s="878"/>
      <c r="E14" s="866"/>
      <c r="F14" s="878"/>
      <c r="G14" s="859"/>
      <c r="H14" s="859"/>
      <c r="I14" s="859"/>
    </row>
    <row r="15" spans="1:10" ht="20.100000000000001" customHeight="1">
      <c r="A15" s="224"/>
      <c r="B15" s="865" t="s">
        <v>692</v>
      </c>
      <c r="C15" s="866"/>
      <c r="D15" s="865" t="s">
        <v>809</v>
      </c>
      <c r="E15" s="866"/>
      <c r="F15" s="865" t="s">
        <v>810</v>
      </c>
      <c r="G15" s="867" t="s">
        <v>811</v>
      </c>
      <c r="H15" s="867" t="s">
        <v>800</v>
      </c>
      <c r="I15" s="867" t="s">
        <v>1027</v>
      </c>
    </row>
    <row r="16" spans="1:10" ht="20.100000000000001" customHeight="1">
      <c r="A16" s="868" t="s">
        <v>5</v>
      </c>
      <c r="B16" s="869" t="s">
        <v>694</v>
      </c>
      <c r="C16" s="849"/>
      <c r="D16" s="860" t="s">
        <v>1028</v>
      </c>
      <c r="E16" s="870"/>
      <c r="F16" s="869" t="s">
        <v>279</v>
      </c>
      <c r="G16" s="860" t="s">
        <v>1029</v>
      </c>
      <c r="H16" s="869" t="s">
        <v>409</v>
      </c>
      <c r="I16" s="860" t="s">
        <v>1030</v>
      </c>
    </row>
    <row r="17" spans="1:9" ht="20.100000000000001" customHeight="1">
      <c r="A17" s="224">
        <v>1</v>
      </c>
      <c r="B17" s="871">
        <v>45312</v>
      </c>
      <c r="C17" s="866"/>
      <c r="D17" s="872">
        <v>6.8300000000000001E-3</v>
      </c>
      <c r="E17" s="866"/>
      <c r="F17" s="873">
        <f>D17</f>
        <v>6.8300000000000001E-3</v>
      </c>
      <c r="G17" s="874">
        <f>1/12</f>
        <v>8.3333333333333329E-2</v>
      </c>
      <c r="H17" s="874">
        <f>F17*G17</f>
        <v>5.6916666666666661E-4</v>
      </c>
      <c r="I17" s="874">
        <v>0</v>
      </c>
    </row>
    <row r="18" spans="1:9" ht="20.100000000000001" customHeight="1">
      <c r="A18" s="224">
        <f>IF(ISBLANK(G18)=TRUE,"",MAX($A$17:A17)+1)</f>
        <v>2</v>
      </c>
      <c r="B18" s="875">
        <f>EOMONTH(B17,1)</f>
        <v>45351</v>
      </c>
      <c r="C18" s="866"/>
      <c r="D18" s="873">
        <f>D17</f>
        <v>6.8300000000000001E-3</v>
      </c>
      <c r="E18" s="866"/>
      <c r="F18" s="873">
        <f t="shared" ref="F18:F27" si="0">D18</f>
        <v>6.8300000000000001E-3</v>
      </c>
      <c r="G18" s="874">
        <f>G17+1/12</f>
        <v>0.16666666666666666</v>
      </c>
      <c r="H18" s="874">
        <f t="shared" ref="H18:H28" si="1">F18*G18</f>
        <v>1.1383333333333332E-3</v>
      </c>
      <c r="I18" s="874">
        <v>0</v>
      </c>
    </row>
    <row r="19" spans="1:9" ht="20.100000000000001" customHeight="1">
      <c r="A19" s="224">
        <f>IF(ISBLANK(G19)=TRUE,"",MAX($A$17:A18)+1)</f>
        <v>3</v>
      </c>
      <c r="B19" s="875">
        <f t="shared" ref="B19:B27" si="2">EOMONTH(B18,1)</f>
        <v>45382</v>
      </c>
      <c r="C19" s="866"/>
      <c r="D19" s="873">
        <f>D18</f>
        <v>6.8300000000000001E-3</v>
      </c>
      <c r="E19" s="866"/>
      <c r="F19" s="873">
        <f t="shared" si="0"/>
        <v>6.8300000000000001E-3</v>
      </c>
      <c r="G19" s="876">
        <f t="shared" ref="G19:G28" si="3">G18+1/12</f>
        <v>0.25</v>
      </c>
      <c r="H19" s="874">
        <f t="shared" si="1"/>
        <v>1.7075E-3</v>
      </c>
      <c r="I19" s="874">
        <f>I18+SUM(H17:H19)</f>
        <v>3.4149999999999996E-3</v>
      </c>
    </row>
    <row r="20" spans="1:9" ht="20.100000000000001" customHeight="1">
      <c r="A20" s="224">
        <f>IF(ISBLANK(G20)=TRUE,"",MAX($A$17:A19)+1)</f>
        <v>4</v>
      </c>
      <c r="B20" s="875">
        <f t="shared" si="2"/>
        <v>45412</v>
      </c>
      <c r="C20" s="866"/>
      <c r="D20" s="873">
        <f>D19</f>
        <v>6.8300000000000001E-3</v>
      </c>
      <c r="E20" s="866"/>
      <c r="F20" s="873">
        <f t="shared" si="0"/>
        <v>6.8300000000000001E-3</v>
      </c>
      <c r="G20" s="874">
        <f>G19+1/12+I19</f>
        <v>0.33674833333333332</v>
      </c>
      <c r="H20" s="874">
        <f t="shared" si="1"/>
        <v>2.2999911166666667E-3</v>
      </c>
      <c r="I20" s="874">
        <v>0</v>
      </c>
    </row>
    <row r="21" spans="1:9" ht="20.100000000000001" customHeight="1">
      <c r="A21" s="224">
        <f>IF(ISBLANK(G21)=TRUE,"",MAX($A$17:A20)+1)</f>
        <v>5</v>
      </c>
      <c r="B21" s="875">
        <f t="shared" si="2"/>
        <v>45443</v>
      </c>
      <c r="C21" s="866"/>
      <c r="D21" s="873">
        <f>D20</f>
        <v>6.8300000000000001E-3</v>
      </c>
      <c r="E21" s="866"/>
      <c r="F21" s="873">
        <f t="shared" si="0"/>
        <v>6.8300000000000001E-3</v>
      </c>
      <c r="G21" s="874">
        <f t="shared" si="3"/>
        <v>0.42008166666666663</v>
      </c>
      <c r="H21" s="874">
        <f t="shared" si="1"/>
        <v>2.8691577833333333E-3</v>
      </c>
      <c r="I21" s="874">
        <v>0</v>
      </c>
    </row>
    <row r="22" spans="1:9" ht="20.100000000000001" customHeight="1">
      <c r="A22" s="224">
        <f>IF(ISBLANK(G22)=TRUE,"",MAX($A$17:A21)+1)</f>
        <v>6</v>
      </c>
      <c r="B22" s="875">
        <f t="shared" si="2"/>
        <v>45473</v>
      </c>
      <c r="C22" s="866"/>
      <c r="D22" s="873">
        <f>D21</f>
        <v>6.8300000000000001E-3</v>
      </c>
      <c r="E22" s="866"/>
      <c r="F22" s="873">
        <f t="shared" si="0"/>
        <v>6.8300000000000001E-3</v>
      </c>
      <c r="G22" s="876">
        <f t="shared" si="3"/>
        <v>0.50341499999999995</v>
      </c>
      <c r="H22" s="874">
        <f t="shared" si="1"/>
        <v>3.4383244499999995E-3</v>
      </c>
      <c r="I22" s="874">
        <f>I21+SUM(H20:H22)</f>
        <v>8.6074733499999986E-3</v>
      </c>
    </row>
    <row r="23" spans="1:9" ht="20.100000000000001" customHeight="1">
      <c r="A23" s="224">
        <f>IF(ISBLANK(G23)=TRUE,"",MAX($A$17:A22)+1)</f>
        <v>7</v>
      </c>
      <c r="B23" s="875">
        <f t="shared" si="2"/>
        <v>45504</v>
      </c>
      <c r="C23" s="866"/>
      <c r="D23" s="873">
        <f t="shared" ref="D23:D28" si="4">D22</f>
        <v>6.8300000000000001E-3</v>
      </c>
      <c r="E23" s="866"/>
      <c r="F23" s="873">
        <f t="shared" si="0"/>
        <v>6.8300000000000001E-3</v>
      </c>
      <c r="G23" s="874">
        <f>G22+1/12+I22</f>
        <v>0.59535580668333332</v>
      </c>
      <c r="H23" s="874">
        <f t="shared" si="1"/>
        <v>4.0662801596471664E-3</v>
      </c>
      <c r="I23" s="874">
        <v>0</v>
      </c>
    </row>
    <row r="24" spans="1:9" ht="20.100000000000001" customHeight="1">
      <c r="A24" s="224">
        <f>IF(ISBLANK(G24)=TRUE,"",MAX($A$17:A23)+1)</f>
        <v>8</v>
      </c>
      <c r="B24" s="875">
        <f t="shared" si="2"/>
        <v>45535</v>
      </c>
      <c r="C24" s="866"/>
      <c r="D24" s="873">
        <f t="shared" si="4"/>
        <v>6.8300000000000001E-3</v>
      </c>
      <c r="E24" s="866"/>
      <c r="F24" s="873">
        <f t="shared" si="0"/>
        <v>6.8300000000000001E-3</v>
      </c>
      <c r="G24" s="874">
        <f t="shared" si="3"/>
        <v>0.67868914001666669</v>
      </c>
      <c r="H24" s="874">
        <f t="shared" si="1"/>
        <v>4.6354468263138339E-3</v>
      </c>
      <c r="I24" s="874">
        <v>0</v>
      </c>
    </row>
    <row r="25" spans="1:9" ht="20.100000000000001" customHeight="1">
      <c r="A25" s="224">
        <f>IF(ISBLANK(G25)=TRUE,"",MAX($A$17:A24)+1)</f>
        <v>9</v>
      </c>
      <c r="B25" s="875">
        <f t="shared" si="2"/>
        <v>45565</v>
      </c>
      <c r="C25" s="866"/>
      <c r="D25" s="873">
        <f t="shared" si="4"/>
        <v>6.8300000000000001E-3</v>
      </c>
      <c r="E25" s="866"/>
      <c r="F25" s="873">
        <f t="shared" si="0"/>
        <v>6.8300000000000001E-3</v>
      </c>
      <c r="G25" s="876">
        <f t="shared" si="3"/>
        <v>0.76202247335000006</v>
      </c>
      <c r="H25" s="874">
        <f t="shared" si="1"/>
        <v>5.2046134929805005E-3</v>
      </c>
      <c r="I25" s="874">
        <f>I24+SUM(H23:H25)</f>
        <v>1.3906340478941501E-2</v>
      </c>
    </row>
    <row r="26" spans="1:9" ht="20.100000000000001" customHeight="1">
      <c r="A26" s="224">
        <f>IF(ISBLANK(G26)=TRUE,"",MAX($A$17:A25)+1)</f>
        <v>10</v>
      </c>
      <c r="B26" s="875">
        <f t="shared" si="2"/>
        <v>45596</v>
      </c>
      <c r="C26" s="866"/>
      <c r="D26" s="873">
        <f t="shared" si="4"/>
        <v>6.8300000000000001E-3</v>
      </c>
      <c r="E26" s="866"/>
      <c r="F26" s="873">
        <f t="shared" si="0"/>
        <v>6.8300000000000001E-3</v>
      </c>
      <c r="G26" s="874">
        <f>G25+1/12+I25</f>
        <v>0.85926214716227489</v>
      </c>
      <c r="H26" s="874">
        <f t="shared" si="1"/>
        <v>5.8687604651183377E-3</v>
      </c>
      <c r="I26" s="874">
        <v>0</v>
      </c>
    </row>
    <row r="27" spans="1:9" ht="20.100000000000001" customHeight="1">
      <c r="A27" s="224">
        <f>IF(ISBLANK(G27)=TRUE,"",MAX($A$17:A26)+1)</f>
        <v>11</v>
      </c>
      <c r="B27" s="875">
        <f t="shared" si="2"/>
        <v>45626</v>
      </c>
      <c r="C27" s="866"/>
      <c r="D27" s="873">
        <f t="shared" si="4"/>
        <v>6.8300000000000001E-3</v>
      </c>
      <c r="E27" s="866"/>
      <c r="F27" s="873">
        <f t="shared" si="0"/>
        <v>6.8300000000000001E-3</v>
      </c>
      <c r="G27" s="874">
        <f t="shared" si="3"/>
        <v>0.94259548049560826</v>
      </c>
      <c r="H27" s="874">
        <f t="shared" si="1"/>
        <v>6.4379271317850043E-3</v>
      </c>
      <c r="I27" s="874">
        <v>0</v>
      </c>
    </row>
    <row r="28" spans="1:9" ht="20.100000000000001" customHeight="1">
      <c r="A28" s="224">
        <f>IF(ISBLANK(G28)=TRUE,"",MAX($A$17:A27)+1)</f>
        <v>12</v>
      </c>
      <c r="B28" s="875">
        <f>EOMONTH(B27,1)</f>
        <v>45657</v>
      </c>
      <c r="C28" s="866"/>
      <c r="D28" s="873">
        <f t="shared" si="4"/>
        <v>6.8300000000000001E-3</v>
      </c>
      <c r="E28" s="866"/>
      <c r="F28" s="873">
        <f>D28</f>
        <v>6.8300000000000001E-3</v>
      </c>
      <c r="G28" s="876">
        <f t="shared" si="3"/>
        <v>1.0259288138289415</v>
      </c>
      <c r="H28" s="874">
        <f t="shared" si="1"/>
        <v>7.0070937984516709E-3</v>
      </c>
      <c r="I28" s="874">
        <f>I27+SUM(H26:H28)</f>
        <v>1.9313781395355015E-2</v>
      </c>
    </row>
    <row r="29" spans="1:9" ht="20.100000000000001" customHeight="1">
      <c r="A29" s="224" t="str">
        <f>IF(ISBLANK(G29)=TRUE,"",MAX($A$17:A28)+1)</f>
        <v/>
      </c>
      <c r="B29" s="877"/>
      <c r="C29" s="866"/>
      <c r="D29" s="878"/>
      <c r="E29" s="866"/>
      <c r="F29" s="878"/>
      <c r="G29" s="859"/>
      <c r="H29" s="859"/>
      <c r="I29" s="859"/>
    </row>
    <row r="30" spans="1:9" ht="20.100000000000001" customHeight="1">
      <c r="A30" s="224">
        <f>IF(ISBLANK(G30)=TRUE,"",MAX($A$17:A29)+1)</f>
        <v>13</v>
      </c>
      <c r="B30" s="877"/>
      <c r="C30" s="866"/>
      <c r="E30" s="878" t="s">
        <v>1031</v>
      </c>
      <c r="F30" s="878"/>
      <c r="G30" s="874">
        <f>G28+I28</f>
        <v>1.0452425952242965</v>
      </c>
      <c r="H30" s="859"/>
      <c r="I30" s="859"/>
    </row>
    <row r="31" spans="1:9" ht="20.100000000000001" customHeight="1">
      <c r="A31" s="224" t="str">
        <f>IF(ISBLANK(G31)=TRUE,"",MAX($A$17:A30)+1)</f>
        <v/>
      </c>
      <c r="B31" s="877"/>
      <c r="C31" s="866"/>
      <c r="D31" s="878"/>
      <c r="E31" s="866"/>
      <c r="F31" s="878"/>
      <c r="G31" s="859"/>
      <c r="H31" s="859"/>
      <c r="I31" s="859"/>
    </row>
    <row r="32" spans="1:9" ht="20.100000000000001" customHeight="1">
      <c r="A32" s="224">
        <f>IF(ISBLANK(G32)=TRUE,"",MAX($A$17:A31)+1)</f>
        <v>14</v>
      </c>
      <c r="B32" s="875">
        <f>EOMONTH(B28,1)</f>
        <v>45688</v>
      </c>
      <c r="C32" s="866"/>
      <c r="D32" s="873">
        <f>D28</f>
        <v>6.8300000000000001E-3</v>
      </c>
      <c r="E32" s="866"/>
      <c r="F32" s="873">
        <f>D32</f>
        <v>6.8300000000000001E-3</v>
      </c>
      <c r="G32" s="874">
        <f>G30</f>
        <v>1.0452425952242965</v>
      </c>
      <c r="H32" s="874">
        <f>F32*G32</f>
        <v>7.1390069253819454E-3</v>
      </c>
      <c r="I32" s="874">
        <v>0</v>
      </c>
    </row>
    <row r="33" spans="1:11" ht="20.100000000000001" customHeight="1">
      <c r="A33" s="224">
        <f>IF(ISBLANK(G33)=TRUE,"",MAX($A$17:A32)+1)</f>
        <v>15</v>
      </c>
      <c r="B33" s="875">
        <f>EOMONTH(B32,1)</f>
        <v>45716</v>
      </c>
      <c r="C33" s="866"/>
      <c r="D33" s="873">
        <f>D32</f>
        <v>6.8300000000000001E-3</v>
      </c>
      <c r="E33" s="866"/>
      <c r="F33" s="873">
        <f t="shared" ref="F33:F43" si="5">D33</f>
        <v>6.8300000000000001E-3</v>
      </c>
      <c r="G33" s="874">
        <f>G32</f>
        <v>1.0452425952242965</v>
      </c>
      <c r="H33" s="874">
        <f t="shared" ref="H33:H43" si="6">F33*G33</f>
        <v>7.1390069253819454E-3</v>
      </c>
      <c r="I33" s="874">
        <v>0</v>
      </c>
    </row>
    <row r="34" spans="1:11" ht="20.100000000000001" customHeight="1">
      <c r="A34" s="224">
        <f>IF(ISBLANK(G34)=TRUE,"",MAX($A$17:A33)+1)</f>
        <v>16</v>
      </c>
      <c r="B34" s="875">
        <f t="shared" ref="B34:B42" si="7">EOMONTH(B33,1)</f>
        <v>45747</v>
      </c>
      <c r="C34" s="866"/>
      <c r="D34" s="873">
        <f t="shared" ref="D34:D43" si="8">D33</f>
        <v>6.8300000000000001E-3</v>
      </c>
      <c r="E34" s="866"/>
      <c r="F34" s="873">
        <f t="shared" si="5"/>
        <v>6.8300000000000001E-3</v>
      </c>
      <c r="G34" s="876">
        <f>G33</f>
        <v>1.0452425952242965</v>
      </c>
      <c r="H34" s="874">
        <f t="shared" si="6"/>
        <v>7.1390069253819454E-3</v>
      </c>
      <c r="I34" s="874">
        <f>I33+SUM(H32:H34)</f>
        <v>2.1417020776145837E-2</v>
      </c>
    </row>
    <row r="35" spans="1:11" ht="20.100000000000001" customHeight="1">
      <c r="A35" s="224">
        <f>IF(ISBLANK(G35)=TRUE,"",MAX($A$17:A34)+1)</f>
        <v>17</v>
      </c>
      <c r="B35" s="875">
        <f t="shared" si="7"/>
        <v>45777</v>
      </c>
      <c r="C35" s="866"/>
      <c r="D35" s="873">
        <f t="shared" si="8"/>
        <v>6.8300000000000001E-3</v>
      </c>
      <c r="E35" s="866"/>
      <c r="F35" s="873">
        <f t="shared" si="5"/>
        <v>6.8300000000000001E-3</v>
      </c>
      <c r="G35" s="874">
        <f>G34+I34</f>
        <v>1.0666596160004425</v>
      </c>
      <c r="H35" s="874">
        <f t="shared" si="6"/>
        <v>7.2852851772830223E-3</v>
      </c>
      <c r="I35" s="874">
        <v>0</v>
      </c>
    </row>
    <row r="36" spans="1:11" ht="20.100000000000001" customHeight="1">
      <c r="A36" s="224">
        <f>IF(ISBLANK(G36)=TRUE,"",MAX($A$17:A35)+1)</f>
        <v>18</v>
      </c>
      <c r="B36" s="875">
        <f t="shared" si="7"/>
        <v>45808</v>
      </c>
      <c r="C36" s="866"/>
      <c r="D36" s="873">
        <f t="shared" si="8"/>
        <v>6.8300000000000001E-3</v>
      </c>
      <c r="E36" s="866"/>
      <c r="F36" s="873">
        <f t="shared" si="5"/>
        <v>6.8300000000000001E-3</v>
      </c>
      <c r="G36" s="874">
        <f>G35</f>
        <v>1.0666596160004425</v>
      </c>
      <c r="H36" s="874">
        <f t="shared" si="6"/>
        <v>7.2852851772830223E-3</v>
      </c>
      <c r="I36" s="874">
        <v>0</v>
      </c>
    </row>
    <row r="37" spans="1:11" ht="20.100000000000001" customHeight="1">
      <c r="A37" s="224">
        <f>IF(ISBLANK(G37)=TRUE,"",MAX($A$17:A36)+1)</f>
        <v>19</v>
      </c>
      <c r="B37" s="875">
        <f t="shared" si="7"/>
        <v>45838</v>
      </c>
      <c r="C37" s="866"/>
      <c r="D37" s="873">
        <f t="shared" si="8"/>
        <v>6.8300000000000001E-3</v>
      </c>
      <c r="E37" s="866"/>
      <c r="F37" s="873">
        <f t="shared" si="5"/>
        <v>6.8300000000000001E-3</v>
      </c>
      <c r="G37" s="876">
        <f>G36</f>
        <v>1.0666596160004425</v>
      </c>
      <c r="H37" s="874">
        <f t="shared" si="6"/>
        <v>7.2852851772830223E-3</v>
      </c>
      <c r="I37" s="874">
        <f>I36+SUM(H35:H37)</f>
        <v>2.1855855531849065E-2</v>
      </c>
    </row>
    <row r="38" spans="1:11" ht="20.100000000000001" customHeight="1">
      <c r="A38" s="224">
        <f>IF(ISBLANK(G38)=TRUE,"",MAX($A$17:A37)+1)</f>
        <v>20</v>
      </c>
      <c r="B38" s="875">
        <f t="shared" si="7"/>
        <v>45869</v>
      </c>
      <c r="C38" s="866"/>
      <c r="D38" s="873">
        <f t="shared" si="8"/>
        <v>6.8300000000000001E-3</v>
      </c>
      <c r="E38" s="866"/>
      <c r="F38" s="873">
        <f t="shared" si="5"/>
        <v>6.8300000000000001E-3</v>
      </c>
      <c r="G38" s="874">
        <f>G37+I37</f>
        <v>1.0885154715322916</v>
      </c>
      <c r="H38" s="874">
        <f t="shared" si="6"/>
        <v>7.4345606705655517E-3</v>
      </c>
      <c r="I38" s="874">
        <v>0</v>
      </c>
    </row>
    <row r="39" spans="1:11" ht="20.100000000000001" customHeight="1">
      <c r="A39" s="224">
        <f>IF(ISBLANK(G39)=TRUE,"",MAX($A$17:A38)+1)</f>
        <v>21</v>
      </c>
      <c r="B39" s="875">
        <f t="shared" si="7"/>
        <v>45900</v>
      </c>
      <c r="C39" s="866"/>
      <c r="D39" s="873">
        <f t="shared" si="8"/>
        <v>6.8300000000000001E-3</v>
      </c>
      <c r="E39" s="866"/>
      <c r="F39" s="873">
        <f t="shared" si="5"/>
        <v>6.8300000000000001E-3</v>
      </c>
      <c r="G39" s="874">
        <f>G38</f>
        <v>1.0885154715322916</v>
      </c>
      <c r="H39" s="874">
        <f t="shared" si="6"/>
        <v>7.4345606705655517E-3</v>
      </c>
      <c r="I39" s="874">
        <v>0</v>
      </c>
    </row>
    <row r="40" spans="1:11" ht="20.100000000000001" customHeight="1">
      <c r="A40" s="224">
        <f>IF(ISBLANK(G40)=TRUE,"",MAX($A$17:A39)+1)</f>
        <v>22</v>
      </c>
      <c r="B40" s="875">
        <f t="shared" si="7"/>
        <v>45930</v>
      </c>
      <c r="C40" s="866"/>
      <c r="D40" s="873">
        <f t="shared" si="8"/>
        <v>6.8300000000000001E-3</v>
      </c>
      <c r="E40" s="866"/>
      <c r="F40" s="873">
        <f t="shared" si="5"/>
        <v>6.8300000000000001E-3</v>
      </c>
      <c r="G40" s="876">
        <f>G39</f>
        <v>1.0885154715322916</v>
      </c>
      <c r="H40" s="874">
        <f t="shared" si="6"/>
        <v>7.4345606705655517E-3</v>
      </c>
      <c r="I40" s="874">
        <f>I39+SUM(H38:H40)</f>
        <v>2.2303682011696656E-2</v>
      </c>
    </row>
    <row r="41" spans="1:11" ht="20.100000000000001" customHeight="1">
      <c r="A41" s="224">
        <f>IF(ISBLANK(G41)=TRUE,"",MAX($A$17:A40)+1)</f>
        <v>23</v>
      </c>
      <c r="B41" s="875">
        <f t="shared" si="7"/>
        <v>45961</v>
      </c>
      <c r="C41" s="866"/>
      <c r="D41" s="873">
        <f t="shared" si="8"/>
        <v>6.8300000000000001E-3</v>
      </c>
      <c r="E41" s="866"/>
      <c r="F41" s="873">
        <f t="shared" si="5"/>
        <v>6.8300000000000001E-3</v>
      </c>
      <c r="G41" s="874">
        <f>G40+I40</f>
        <v>1.1108191535439882</v>
      </c>
      <c r="H41" s="874">
        <f t="shared" si="6"/>
        <v>7.5868948187054397E-3</v>
      </c>
      <c r="I41" s="874">
        <v>0</v>
      </c>
    </row>
    <row r="42" spans="1:11" ht="20.100000000000001" customHeight="1">
      <c r="A42" s="224">
        <f>IF(ISBLANK(G42)=TRUE,"",MAX($A$17:A41)+1)</f>
        <v>24</v>
      </c>
      <c r="B42" s="875">
        <f t="shared" si="7"/>
        <v>45991</v>
      </c>
      <c r="C42" s="866"/>
      <c r="D42" s="873">
        <f t="shared" si="8"/>
        <v>6.8300000000000001E-3</v>
      </c>
      <c r="E42" s="866"/>
      <c r="F42" s="873">
        <f t="shared" si="5"/>
        <v>6.8300000000000001E-3</v>
      </c>
      <c r="G42" s="874">
        <f>G41</f>
        <v>1.1108191535439882</v>
      </c>
      <c r="H42" s="874">
        <f t="shared" si="6"/>
        <v>7.5868948187054397E-3</v>
      </c>
      <c r="I42" s="874">
        <v>0</v>
      </c>
    </row>
    <row r="43" spans="1:11" ht="20.100000000000001" customHeight="1">
      <c r="A43" s="224">
        <f>IF(ISBLANK(G43)=TRUE,"",MAX($A$17:A42)+1)</f>
        <v>25</v>
      </c>
      <c r="B43" s="875">
        <f>EOMONTH(B42,1)</f>
        <v>46022</v>
      </c>
      <c r="C43" s="866"/>
      <c r="D43" s="873">
        <f t="shared" si="8"/>
        <v>6.8300000000000001E-3</v>
      </c>
      <c r="E43" s="866"/>
      <c r="F43" s="873">
        <f t="shared" si="5"/>
        <v>6.8300000000000001E-3</v>
      </c>
      <c r="G43" s="876">
        <f>G42</f>
        <v>1.1108191535439882</v>
      </c>
      <c r="H43" s="874">
        <f t="shared" si="6"/>
        <v>7.5868948187054397E-3</v>
      </c>
      <c r="I43" s="874">
        <f>I42+SUM(H41:H43)</f>
        <v>2.2760684456116318E-2</v>
      </c>
    </row>
    <row r="44" spans="1:11" ht="20.100000000000001" customHeight="1">
      <c r="A44" s="224" t="str">
        <f>IF(ISBLANK(G44)=TRUE,"",MAX($A$17:A43)+1)</f>
        <v/>
      </c>
      <c r="B44" s="877"/>
      <c r="C44" s="866"/>
      <c r="D44" s="878"/>
      <c r="E44" s="866"/>
      <c r="F44" s="878"/>
      <c r="G44" s="859"/>
      <c r="H44" s="859"/>
      <c r="I44" s="859"/>
    </row>
    <row r="45" spans="1:11" ht="20.100000000000001" customHeight="1">
      <c r="A45" s="224">
        <f>IF(ISBLANK(G45)=TRUE,"",MAX($A$17:A44)+1)</f>
        <v>26</v>
      </c>
      <c r="B45" s="877"/>
      <c r="C45" s="866"/>
      <c r="D45" s="878"/>
      <c r="E45" s="878" t="s">
        <v>1032</v>
      </c>
      <c r="F45" s="878"/>
      <c r="G45" s="874">
        <f>G43+I43</f>
        <v>1.1335798380001045</v>
      </c>
      <c r="H45" s="859"/>
      <c r="I45" s="859"/>
    </row>
    <row r="46" spans="1:11" ht="20.100000000000001" customHeight="1">
      <c r="A46" s="224" t="str">
        <f>IF(ISBLANK(G46)=TRUE,"",MAX($A$17:A45)+1)</f>
        <v/>
      </c>
      <c r="B46" s="877"/>
      <c r="C46" s="866"/>
      <c r="D46" s="878"/>
      <c r="E46" s="878"/>
      <c r="F46" s="878"/>
      <c r="G46" s="874"/>
      <c r="H46" s="859"/>
      <c r="I46" s="859"/>
    </row>
    <row r="47" spans="1:11" ht="20.100000000000001" customHeight="1">
      <c r="A47" s="224">
        <f>IF(ISBLANK(G47)=TRUE,"",MAX($A$17:A46)+1)</f>
        <v>27</v>
      </c>
      <c r="B47" s="877"/>
      <c r="C47" s="866"/>
      <c r="D47" s="878"/>
      <c r="E47" s="843"/>
      <c r="F47" s="879" t="s">
        <v>1033</v>
      </c>
      <c r="G47" s="880">
        <f>G45/12</f>
        <v>9.4464986500008716E-2</v>
      </c>
      <c r="H47" s="859"/>
      <c r="I47" s="859"/>
    </row>
    <row r="48" spans="1:11" ht="20.100000000000001" customHeight="1" thickBot="1">
      <c r="A48" s="224">
        <f>IF(ISBLANK(G48)=TRUE,"",MAX($A$17:A47)+1)</f>
        <v>28</v>
      </c>
      <c r="B48" s="877"/>
      <c r="C48" s="866"/>
      <c r="D48" s="878"/>
      <c r="E48" s="843"/>
      <c r="F48" s="881" t="s">
        <v>1034</v>
      </c>
      <c r="G48" s="882">
        <v>3.5462427996506007E-3</v>
      </c>
      <c r="H48" s="874" t="s">
        <v>1124</v>
      </c>
      <c r="I48" s="843"/>
      <c r="J48" s="874"/>
      <c r="K48" s="843"/>
    </row>
    <row r="49" spans="1:9" ht="20.100000000000001" customHeight="1" thickTop="1">
      <c r="A49" s="224">
        <f>IF(ISBLANK(G49)=TRUE,"",MAX($A$17:A48)+1)</f>
        <v>29</v>
      </c>
      <c r="B49" s="877"/>
      <c r="C49" s="866"/>
      <c r="D49" s="878"/>
      <c r="E49" s="843"/>
      <c r="F49" s="879" t="s">
        <v>1035</v>
      </c>
      <c r="G49" s="874">
        <f>G47+G48</f>
        <v>9.8011229299659317E-2</v>
      </c>
      <c r="H49" s="859"/>
      <c r="I49" s="859"/>
    </row>
    <row r="50" spans="1:9" ht="20.100000000000001" customHeight="1">
      <c r="A50" s="224" t="str">
        <f>IF(ISBLANK(G50)=TRUE,"",MAX($A$17:A49)+1)</f>
        <v/>
      </c>
      <c r="B50" s="877"/>
      <c r="C50" s="866"/>
      <c r="D50" s="878"/>
      <c r="E50" s="843"/>
      <c r="F50" s="879"/>
      <c r="G50" s="874"/>
      <c r="H50" s="859"/>
      <c r="I50" s="859"/>
    </row>
    <row r="51" spans="1:9" ht="20.100000000000001" customHeight="1">
      <c r="A51" s="224">
        <f>IF(ISBLANK(G51)=TRUE,"",MAX($A$17:A50)+1)</f>
        <v>30</v>
      </c>
      <c r="B51" s="875">
        <f>EOMONTH(B43,1)</f>
        <v>46053</v>
      </c>
      <c r="C51" s="866"/>
      <c r="D51" s="873">
        <f>D41</f>
        <v>6.8300000000000001E-3</v>
      </c>
      <c r="E51" s="843"/>
      <c r="F51" s="873">
        <f>D51</f>
        <v>6.8300000000000001E-3</v>
      </c>
      <c r="G51" s="874">
        <f>$G$45-($G$49*A17)</f>
        <v>1.0355686087004452</v>
      </c>
      <c r="H51" s="874">
        <f>F51*G51</f>
        <v>7.0729335974240408E-3</v>
      </c>
      <c r="I51" s="874">
        <v>0</v>
      </c>
    </row>
    <row r="52" spans="1:9" ht="20.100000000000001" customHeight="1">
      <c r="A52" s="224">
        <f>IF(ISBLANK(G52)=TRUE,"",MAX($A$17:A51)+1)</f>
        <v>31</v>
      </c>
      <c r="B52" s="875">
        <f>EOMONTH(B51,1)</f>
        <v>46081</v>
      </c>
      <c r="C52" s="866"/>
      <c r="D52" s="873">
        <f t="shared" ref="D52:D62" si="9">D51</f>
        <v>6.8300000000000001E-3</v>
      </c>
      <c r="E52" s="843"/>
      <c r="F52" s="873">
        <f t="shared" ref="F52:F62" si="10">D52</f>
        <v>6.8300000000000001E-3</v>
      </c>
      <c r="G52" s="874">
        <f>G51-$G$49</f>
        <v>0.93755737940078587</v>
      </c>
      <c r="H52" s="874">
        <f t="shared" ref="H52:H62" si="11">F52*G52</f>
        <v>6.4035169013073679E-3</v>
      </c>
      <c r="I52" s="874">
        <v>0</v>
      </c>
    </row>
    <row r="53" spans="1:9" ht="20.100000000000001" customHeight="1">
      <c r="A53" s="224">
        <f>IF(ISBLANK(G53)=TRUE,"",MAX($A$17:A52)+1)</f>
        <v>32</v>
      </c>
      <c r="B53" s="875">
        <f t="shared" ref="B53:B61" si="12">EOMONTH(B52,1)</f>
        <v>46112</v>
      </c>
      <c r="C53" s="866"/>
      <c r="D53" s="873">
        <f t="shared" si="9"/>
        <v>6.8300000000000001E-3</v>
      </c>
      <c r="E53" s="843"/>
      <c r="F53" s="873">
        <f t="shared" si="10"/>
        <v>6.8300000000000001E-3</v>
      </c>
      <c r="G53" s="876">
        <f t="shared" ref="G53:G62" si="13">G52-$G$49</f>
        <v>0.83954615010112654</v>
      </c>
      <c r="H53" s="874">
        <f t="shared" si="11"/>
        <v>5.7341002051906941E-3</v>
      </c>
      <c r="I53" s="874">
        <f>I52+SUM(H51:H53)</f>
        <v>1.9210550703922101E-2</v>
      </c>
    </row>
    <row r="54" spans="1:9" ht="20.100000000000001" customHeight="1">
      <c r="A54" s="224">
        <f>IF(ISBLANK(G54)=TRUE,"",MAX($A$17:A53)+1)</f>
        <v>33</v>
      </c>
      <c r="B54" s="875">
        <f t="shared" si="12"/>
        <v>46142</v>
      </c>
      <c r="C54" s="866"/>
      <c r="D54" s="873">
        <f t="shared" si="9"/>
        <v>6.8300000000000001E-3</v>
      </c>
      <c r="E54" s="843"/>
      <c r="F54" s="873">
        <f t="shared" si="10"/>
        <v>6.8300000000000001E-3</v>
      </c>
      <c r="G54" s="874">
        <f>G53-$G$49+I53</f>
        <v>0.76074547150538929</v>
      </c>
      <c r="H54" s="874">
        <f t="shared" si="11"/>
        <v>5.1958915703818088E-3</v>
      </c>
      <c r="I54" s="874">
        <v>0</v>
      </c>
    </row>
    <row r="55" spans="1:9" ht="20.100000000000001" customHeight="1">
      <c r="A55" s="224">
        <f>IF(ISBLANK(G55)=TRUE,"",MAX($A$17:A54)+1)</f>
        <v>34</v>
      </c>
      <c r="B55" s="875">
        <f t="shared" si="12"/>
        <v>46173</v>
      </c>
      <c r="C55" s="866"/>
      <c r="D55" s="873">
        <f t="shared" si="9"/>
        <v>6.8300000000000001E-3</v>
      </c>
      <c r="E55" s="878"/>
      <c r="F55" s="873">
        <f t="shared" si="10"/>
        <v>6.8300000000000001E-3</v>
      </c>
      <c r="G55" s="874">
        <f t="shared" si="13"/>
        <v>0.66273424220572996</v>
      </c>
      <c r="H55" s="874">
        <f t="shared" si="11"/>
        <v>4.5264748742651359E-3</v>
      </c>
      <c r="I55" s="874">
        <v>0</v>
      </c>
    </row>
    <row r="56" spans="1:9" ht="20.100000000000001" customHeight="1">
      <c r="A56" s="224">
        <f>IF(ISBLANK(G56)=TRUE,"",MAX($A$17:A55)+1)</f>
        <v>35</v>
      </c>
      <c r="B56" s="875">
        <f t="shared" si="12"/>
        <v>46203</v>
      </c>
      <c r="C56" s="866"/>
      <c r="D56" s="873">
        <f t="shared" si="9"/>
        <v>6.8300000000000001E-3</v>
      </c>
      <c r="E56" s="878"/>
      <c r="F56" s="873">
        <f t="shared" si="10"/>
        <v>6.8300000000000001E-3</v>
      </c>
      <c r="G56" s="876">
        <f t="shared" si="13"/>
        <v>0.56472301290607063</v>
      </c>
      <c r="H56" s="874">
        <f t="shared" si="11"/>
        <v>3.8570581781484626E-3</v>
      </c>
      <c r="I56" s="874">
        <f>I55+SUM(H54:H56)</f>
        <v>1.3579424622795407E-2</v>
      </c>
    </row>
    <row r="57" spans="1:9" ht="20.100000000000001" customHeight="1">
      <c r="A57" s="224">
        <f>IF(ISBLANK(G57)=TRUE,"",MAX($A$17:A56)+1)</f>
        <v>36</v>
      </c>
      <c r="B57" s="875">
        <f t="shared" si="12"/>
        <v>46234</v>
      </c>
      <c r="C57" s="866"/>
      <c r="D57" s="873">
        <f t="shared" si="9"/>
        <v>6.8300000000000001E-3</v>
      </c>
      <c r="E57" s="878"/>
      <c r="F57" s="873">
        <f t="shared" si="10"/>
        <v>6.8300000000000001E-3</v>
      </c>
      <c r="G57" s="874">
        <f>G56-$G$49+I56</f>
        <v>0.48029120822920673</v>
      </c>
      <c r="H57" s="874">
        <f t="shared" si="11"/>
        <v>3.280388952205482E-3</v>
      </c>
      <c r="I57" s="874">
        <v>0</v>
      </c>
    </row>
    <row r="58" spans="1:9" ht="20.100000000000001" customHeight="1">
      <c r="A58" s="224">
        <f>IF(ISBLANK(G58)=TRUE,"",MAX($A$17:A57)+1)</f>
        <v>37</v>
      </c>
      <c r="B58" s="875">
        <f t="shared" si="12"/>
        <v>46265</v>
      </c>
      <c r="C58" s="866"/>
      <c r="D58" s="873">
        <f t="shared" si="9"/>
        <v>6.8300000000000001E-3</v>
      </c>
      <c r="E58" s="878"/>
      <c r="F58" s="873">
        <f t="shared" si="10"/>
        <v>6.8300000000000001E-3</v>
      </c>
      <c r="G58" s="874">
        <f t="shared" si="13"/>
        <v>0.3822799789295474</v>
      </c>
      <c r="H58" s="874">
        <f t="shared" si="11"/>
        <v>2.6109722560888086E-3</v>
      </c>
      <c r="I58" s="874">
        <v>0</v>
      </c>
    </row>
    <row r="59" spans="1:9" ht="20.100000000000001" customHeight="1">
      <c r="A59" s="224">
        <f>IF(ISBLANK(G59)=TRUE,"",MAX($A$17:A58)+1)</f>
        <v>38</v>
      </c>
      <c r="B59" s="875">
        <f t="shared" si="12"/>
        <v>46295</v>
      </c>
      <c r="C59" s="866"/>
      <c r="D59" s="873">
        <f t="shared" si="9"/>
        <v>6.8300000000000001E-3</v>
      </c>
      <c r="E59" s="878"/>
      <c r="F59" s="873">
        <f t="shared" si="10"/>
        <v>6.8300000000000001E-3</v>
      </c>
      <c r="G59" s="876">
        <f t="shared" si="13"/>
        <v>0.28426874962988807</v>
      </c>
      <c r="H59" s="874">
        <f t="shared" si="11"/>
        <v>1.9415555599721355E-3</v>
      </c>
      <c r="I59" s="874">
        <f>I58+SUM(H57:H59)</f>
        <v>7.8329167682664267E-3</v>
      </c>
    </row>
    <row r="60" spans="1:9" ht="20.100000000000001" customHeight="1">
      <c r="A60" s="224">
        <f>IF(ISBLANK(G60)=TRUE,"",MAX($A$17:A59)+1)</f>
        <v>39</v>
      </c>
      <c r="B60" s="875">
        <f t="shared" si="12"/>
        <v>46326</v>
      </c>
      <c r="C60" s="866"/>
      <c r="D60" s="873">
        <f t="shared" si="9"/>
        <v>6.8300000000000001E-3</v>
      </c>
      <c r="E60" s="878"/>
      <c r="F60" s="873">
        <f t="shared" si="10"/>
        <v>6.8300000000000001E-3</v>
      </c>
      <c r="G60" s="874">
        <f>G59-$G$49+I59</f>
        <v>0.19409043709849516</v>
      </c>
      <c r="H60" s="874">
        <f t="shared" si="11"/>
        <v>1.3256376853827219E-3</v>
      </c>
      <c r="I60" s="874">
        <v>0</v>
      </c>
    </row>
    <row r="61" spans="1:9" ht="20.100000000000001" customHeight="1">
      <c r="A61" s="224">
        <f>IF(ISBLANK(G61)=TRUE,"",MAX($A$17:A60)+1)</f>
        <v>40</v>
      </c>
      <c r="B61" s="875">
        <f t="shared" si="12"/>
        <v>46356</v>
      </c>
      <c r="C61" s="866"/>
      <c r="D61" s="873">
        <f t="shared" si="9"/>
        <v>6.8300000000000001E-3</v>
      </c>
      <c r="E61" s="878"/>
      <c r="F61" s="873">
        <f t="shared" si="10"/>
        <v>6.8300000000000001E-3</v>
      </c>
      <c r="G61" s="874">
        <f t="shared" si="13"/>
        <v>9.6079207798835845E-2</v>
      </c>
      <c r="H61" s="874">
        <f t="shared" si="11"/>
        <v>6.5622098926604886E-4</v>
      </c>
      <c r="I61" s="874">
        <v>0</v>
      </c>
    </row>
    <row r="62" spans="1:9" ht="20.100000000000001" customHeight="1">
      <c r="A62" s="224">
        <f>IF(ISBLANK(G62)=TRUE,"",MAX($A$17:A61)+1)</f>
        <v>41</v>
      </c>
      <c r="B62" s="875">
        <f>EOMONTH(B61,1)</f>
        <v>46387</v>
      </c>
      <c r="C62" s="866"/>
      <c r="D62" s="873">
        <f t="shared" si="9"/>
        <v>6.8300000000000001E-3</v>
      </c>
      <c r="E62" s="866"/>
      <c r="F62" s="873">
        <f t="shared" si="10"/>
        <v>6.8300000000000001E-3</v>
      </c>
      <c r="G62" s="876">
        <f t="shared" si="13"/>
        <v>-1.932021500823472E-3</v>
      </c>
      <c r="H62" s="874">
        <f t="shared" si="11"/>
        <v>-1.3195706850624314E-5</v>
      </c>
      <c r="I62" s="874">
        <f>I61+SUM(H60:H62)</f>
        <v>1.9686629677981467E-3</v>
      </c>
    </row>
    <row r="63" spans="1:9" ht="20.100000000000001" customHeight="1">
      <c r="A63" s="224" t="str">
        <f>IF(ISBLANK(G63)=TRUE,"",MAX($A$17:A62)+1)</f>
        <v/>
      </c>
      <c r="B63" s="877"/>
      <c r="C63" s="866"/>
      <c r="D63" s="878"/>
      <c r="E63" s="866"/>
      <c r="F63" s="878"/>
      <c r="G63" s="859"/>
      <c r="H63" s="859"/>
      <c r="I63" s="859"/>
    </row>
    <row r="64" spans="1:9" ht="20.100000000000001" customHeight="1">
      <c r="A64" s="224">
        <f>IF(ISBLANK(G64)=TRUE,"",MAX($A$17:A63)+1)</f>
        <v>42</v>
      </c>
      <c r="B64" s="877"/>
      <c r="C64" s="866"/>
      <c r="D64" s="878"/>
      <c r="E64" s="878" t="s">
        <v>1036</v>
      </c>
      <c r="F64" s="878"/>
      <c r="G64" s="874">
        <f>G62+I62</f>
        <v>3.6641466974674658E-5</v>
      </c>
      <c r="H64" s="859"/>
      <c r="I64" s="859"/>
    </row>
    <row r="65" spans="1:10" ht="20.100000000000001" customHeight="1">
      <c r="A65" s="224" t="str">
        <f>IF(ISBLANK(G65)=TRUE,"",MAX($A$17:A64)+1)</f>
        <v/>
      </c>
      <c r="B65" s="877"/>
      <c r="C65" s="866"/>
      <c r="D65" s="878"/>
      <c r="E65" s="866"/>
      <c r="F65" s="878"/>
      <c r="G65" s="859"/>
      <c r="H65" s="859"/>
      <c r="I65" s="859"/>
    </row>
    <row r="66" spans="1:10" ht="20.100000000000001" customHeight="1">
      <c r="A66" s="224">
        <f>IF(ISBLANK(G66)=TRUE,"",MAX($A$17:A65)+1)</f>
        <v>43</v>
      </c>
      <c r="B66" s="877"/>
      <c r="C66" s="866"/>
      <c r="D66" s="883"/>
      <c r="E66" s="884"/>
      <c r="F66" s="885" t="s">
        <v>1037</v>
      </c>
      <c r="G66" s="874">
        <f>G49*12</f>
        <v>1.1761347515959117</v>
      </c>
      <c r="H66" s="859"/>
      <c r="I66" s="859"/>
    </row>
    <row r="67" spans="1:10" ht="20.100000000000001" customHeight="1">
      <c r="A67" s="224">
        <f>IF(ISBLANK(G67)=TRUE,"",MAX($A$17:A66)+1)</f>
        <v>44</v>
      </c>
      <c r="B67" s="877"/>
      <c r="C67" s="866"/>
      <c r="D67" s="878"/>
      <c r="E67" s="866"/>
      <c r="F67" s="878" t="s">
        <v>1038</v>
      </c>
      <c r="G67" s="876">
        <v>1</v>
      </c>
      <c r="H67" s="859"/>
      <c r="I67" s="859"/>
    </row>
    <row r="68" spans="1:10" ht="20.100000000000001" customHeight="1">
      <c r="A68" s="224">
        <f>IF(ISBLANK(G68)=TRUE,"",MAX($A$17:A67)+1)</f>
        <v>45</v>
      </c>
      <c r="B68" s="877"/>
      <c r="C68" s="866"/>
      <c r="D68" s="883"/>
      <c r="E68" s="884"/>
      <c r="F68" s="885" t="s">
        <v>1039</v>
      </c>
      <c r="G68" s="874">
        <f>G66-G67</f>
        <v>0.17613475159591174</v>
      </c>
      <c r="H68" s="859"/>
      <c r="I68" s="859"/>
    </row>
    <row r="69" spans="1:10" ht="20.100000000000001" customHeight="1">
      <c r="A69" s="224" t="str">
        <f>IF(ISBLANK(G69)=TRUE,"",MAX($A$17:A68)+1)</f>
        <v/>
      </c>
      <c r="B69" s="877"/>
      <c r="C69" s="866"/>
      <c r="D69" s="878"/>
      <c r="E69" s="866"/>
      <c r="F69" s="878"/>
      <c r="G69" s="859"/>
      <c r="H69" s="859"/>
      <c r="I69" s="859"/>
    </row>
    <row r="70" spans="1:10" ht="20.100000000000001" customHeight="1">
      <c r="A70" s="224" t="str">
        <f>IF(ISBLANK(G70)=TRUE,"",MAX($A$17:A69)+1)</f>
        <v/>
      </c>
      <c r="B70" s="877"/>
      <c r="C70" s="866"/>
      <c r="D70" s="878"/>
      <c r="E70" s="866"/>
      <c r="F70" s="878"/>
      <c r="G70" s="859"/>
      <c r="H70" s="859"/>
      <c r="I70" s="859"/>
    </row>
    <row r="71" spans="1:10" ht="20.100000000000001" customHeight="1">
      <c r="A71" s="224" t="str">
        <f>IF(ISBLANK(G71)=TRUE,"",MAX($A$17:A70)+1)</f>
        <v/>
      </c>
      <c r="B71" s="186"/>
      <c r="C71" s="186"/>
      <c r="D71" s="186"/>
      <c r="E71" s="186"/>
      <c r="F71" s="186"/>
      <c r="G71" s="186"/>
      <c r="H71" s="186"/>
      <c r="I71" s="186"/>
    </row>
    <row r="72" spans="1:10" ht="20.100000000000001" customHeight="1">
      <c r="A72" s="886">
        <f>IF(ISBLANK(G72)=TRUE,"",MAX($A$17:A71)+1)</f>
        <v>46</v>
      </c>
      <c r="B72" s="857" t="s">
        <v>1040</v>
      </c>
      <c r="C72" s="186"/>
      <c r="D72" s="186"/>
      <c r="E72" s="186"/>
      <c r="F72" s="186"/>
      <c r="G72" s="887">
        <f>+F10</f>
        <v>-1792848.498610111</v>
      </c>
      <c r="H72" s="67"/>
      <c r="I72" s="186"/>
    </row>
    <row r="73" spans="1:10" ht="20.100000000000001" customHeight="1">
      <c r="A73" s="886">
        <f>IF(ISBLANK(G73)=TRUE,"",MAX($A$17:A72)+1)</f>
        <v>47</v>
      </c>
      <c r="B73" s="857" t="s">
        <v>409</v>
      </c>
      <c r="C73" s="186"/>
      <c r="D73" s="186"/>
      <c r="E73" s="186"/>
      <c r="F73" s="186"/>
      <c r="G73" s="887">
        <f>G68*G72</f>
        <v>-315782.9249517952</v>
      </c>
      <c r="H73" s="67"/>
      <c r="I73" s="186"/>
    </row>
    <row r="74" spans="1:10" ht="20.100000000000001" customHeight="1">
      <c r="A74" s="886">
        <f>IF(ISBLANK(G74)=TRUE,"",MAX($A$17:A73)+1)</f>
        <v>48</v>
      </c>
      <c r="B74" s="857" t="s">
        <v>1041</v>
      </c>
      <c r="C74" s="186"/>
      <c r="D74" s="186"/>
      <c r="E74" s="186"/>
      <c r="F74" s="186"/>
      <c r="G74" s="887">
        <f>G72+G73</f>
        <v>-2108631.423561906</v>
      </c>
      <c r="H74" s="67"/>
      <c r="I74" s="186"/>
    </row>
    <row r="75" spans="1:10" ht="20.100000000000001" customHeight="1">
      <c r="A75" s="224"/>
      <c r="B75" s="857"/>
      <c r="C75" s="186"/>
      <c r="D75" s="186"/>
      <c r="E75" s="186"/>
      <c r="F75" s="186"/>
      <c r="G75" s="186"/>
      <c r="H75" s="67"/>
      <c r="I75" s="186"/>
    </row>
    <row r="76" spans="1:10" ht="48" customHeight="1">
      <c r="A76" s="405" t="s">
        <v>1042</v>
      </c>
      <c r="B76" s="1055" t="s">
        <v>1169</v>
      </c>
      <c r="C76" s="1055"/>
      <c r="D76" s="1055"/>
      <c r="E76" s="1055"/>
      <c r="F76" s="1055"/>
      <c r="G76" s="1055"/>
      <c r="H76" s="1055"/>
      <c r="I76" s="1055"/>
      <c r="J76" s="1055"/>
    </row>
    <row r="77" spans="1:10">
      <c r="A77" s="66" t="s">
        <v>1043</v>
      </c>
      <c r="B77" s="1052" t="s">
        <v>1123</v>
      </c>
      <c r="C77" s="1052"/>
      <c r="D77" s="1052"/>
      <c r="E77" s="1052"/>
      <c r="F77" s="1052"/>
      <c r="G77" s="1052"/>
      <c r="H77" s="1052"/>
      <c r="I77" s="1052"/>
      <c r="J77" s="1052"/>
    </row>
    <row r="78" spans="1:10" ht="51.75" customHeight="1">
      <c r="A78" s="66" t="s">
        <v>1125</v>
      </c>
      <c r="B78" s="1053" t="s">
        <v>1126</v>
      </c>
      <c r="C78" s="1053"/>
      <c r="D78" s="1053"/>
      <c r="E78" s="1053"/>
      <c r="F78" s="1053"/>
      <c r="G78" s="1053"/>
      <c r="H78" s="1053"/>
      <c r="I78" s="1053"/>
      <c r="J78" s="1053"/>
    </row>
  </sheetData>
  <mergeCells count="5">
    <mergeCell ref="B77:J77"/>
    <mergeCell ref="B78:J78"/>
    <mergeCell ref="B5:I5"/>
    <mergeCell ref="B6:I6"/>
    <mergeCell ref="B76:J76"/>
  </mergeCells>
  <pageMargins left="0.7" right="0.7" top="0.75" bottom="0.75" header="0.3" footer="0.3"/>
  <pageSetup scale="40" orientation="portrait" r:id="rId1"/>
  <ignoredErrors>
    <ignoredError sqref="D10" unlocked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855CE-0880-43AA-8019-A76AA9DD1C6A}">
  <dimension ref="B1:L106"/>
  <sheetViews>
    <sheetView view="pageBreakPreview" zoomScaleNormal="100" zoomScaleSheetLayoutView="100" workbookViewId="0">
      <selection activeCell="B1" sqref="B1"/>
    </sheetView>
  </sheetViews>
  <sheetFormatPr defaultColWidth="8.88671875" defaultRowHeight="15.75"/>
  <cols>
    <col min="1" max="1" width="1.44140625" style="1" customWidth="1"/>
    <col min="2" max="2" width="4.21875" style="568" bestFit="1" customWidth="1"/>
    <col min="3" max="3" width="1.44140625" style="1" customWidth="1"/>
    <col min="4" max="4" width="8.88671875" style="16"/>
    <col min="5" max="5" width="1.44140625" style="1" customWidth="1"/>
    <col min="6" max="6" width="18.88671875" style="573" customWidth="1"/>
    <col min="7" max="7" width="1.44140625" style="1" customWidth="1"/>
    <col min="8" max="8" width="12.21875" style="573" bestFit="1" customWidth="1"/>
    <col min="9" max="9" width="1.44140625" style="1" customWidth="1"/>
    <col min="10" max="10" width="12.21875" style="573" bestFit="1" customWidth="1"/>
    <col min="11" max="11" width="1.44140625" style="1" customWidth="1"/>
    <col min="12" max="12" width="12.21875" style="573" bestFit="1" customWidth="1"/>
    <col min="13" max="16384" width="8.88671875" style="1"/>
  </cols>
  <sheetData>
    <row r="1" spans="2:12">
      <c r="J1" s="39"/>
      <c r="K1" s="39"/>
      <c r="L1" s="3" t="str">
        <f>'Attachment H-34A '!K1&amp;""&amp;", Attachment 13b"</f>
        <v>Attachment H-34A, Attachment 13b</v>
      </c>
    </row>
    <row r="2" spans="2:12">
      <c r="J2" s="39"/>
      <c r="K2" s="39"/>
      <c r="L2" s="3" t="s">
        <v>186</v>
      </c>
    </row>
    <row r="3" spans="2:12">
      <c r="J3" s="39"/>
      <c r="K3" s="39"/>
      <c r="L3" s="3" t="str">
        <f>'Attachment H-34A '!K4</f>
        <v>For the 12 months ended 12/31/2026</v>
      </c>
    </row>
    <row r="5" spans="2:12">
      <c r="D5" s="631" t="s">
        <v>692</v>
      </c>
      <c r="E5" s="632"/>
      <c r="F5" s="631" t="str">
        <f>"("&amp;CHAR(CODE(MID(D5,2,1))+1)&amp;")"</f>
        <v>(B)</v>
      </c>
      <c r="H5" s="631" t="str">
        <f t="shared" ref="H5" si="0">"("&amp;CHAR(CODE(MID(F5,2,1))+1)&amp;")"</f>
        <v>(C)</v>
      </c>
      <c r="J5" s="631" t="str">
        <f t="shared" ref="J5" si="1">"("&amp;CHAR(CODE(MID(H5,2,1))+1)&amp;")"</f>
        <v>(D)</v>
      </c>
      <c r="L5" s="631" t="str">
        <f>"("&amp;CHAR(CODE(MID(J5,2,1))+1)&amp;")"</f>
        <v>(E)</v>
      </c>
    </row>
    <row r="6" spans="2:12">
      <c r="F6" s="844" t="s">
        <v>693</v>
      </c>
      <c r="G6" s="633"/>
      <c r="H6" s="634"/>
      <c r="I6" s="634"/>
      <c r="J6" s="634"/>
    </row>
    <row r="7" spans="2:12">
      <c r="B7" s="635" t="s">
        <v>5</v>
      </c>
      <c r="D7" s="636" t="s">
        <v>694</v>
      </c>
      <c r="F7" s="635" t="s">
        <v>820</v>
      </c>
      <c r="G7" s="637" t="s">
        <v>695</v>
      </c>
      <c r="H7" s="635" t="s">
        <v>822</v>
      </c>
      <c r="I7" s="637" t="s">
        <v>695</v>
      </c>
      <c r="J7" s="635" t="s">
        <v>1052</v>
      </c>
      <c r="K7" s="637" t="s">
        <v>81</v>
      </c>
      <c r="L7" s="636" t="s">
        <v>10</v>
      </c>
    </row>
    <row r="8" spans="2:12">
      <c r="B8" s="568">
        <v>1</v>
      </c>
      <c r="D8" s="16" t="s">
        <v>199</v>
      </c>
      <c r="F8" s="572">
        <v>5287363.7300000004</v>
      </c>
      <c r="H8" s="563"/>
      <c r="J8" s="563"/>
      <c r="L8" s="563">
        <f>F8-H8-J8</f>
        <v>5287363.7300000004</v>
      </c>
    </row>
    <row r="9" spans="2:12">
      <c r="B9" s="568">
        <f>MAX($B$8:B8)+1</f>
        <v>2</v>
      </c>
      <c r="D9" s="16" t="s">
        <v>200</v>
      </c>
      <c r="F9" s="572">
        <v>4946244.51</v>
      </c>
      <c r="H9" s="563"/>
      <c r="J9" s="563"/>
      <c r="L9" s="563">
        <f t="shared" ref="L9:L19" si="2">F9-H9-J9</f>
        <v>4946244.51</v>
      </c>
    </row>
    <row r="10" spans="2:12">
      <c r="B10" s="568">
        <f>MAX($B$8:B9)+1</f>
        <v>3</v>
      </c>
      <c r="D10" s="16" t="s">
        <v>201</v>
      </c>
      <c r="F10" s="572">
        <v>5287364.71</v>
      </c>
      <c r="H10" s="563"/>
      <c r="J10" s="563"/>
      <c r="L10" s="563">
        <f t="shared" si="2"/>
        <v>5287364.71</v>
      </c>
    </row>
    <row r="11" spans="2:12">
      <c r="B11" s="568">
        <f>MAX($B$8:B10)+1</f>
        <v>4</v>
      </c>
      <c r="D11" s="16" t="s">
        <v>202</v>
      </c>
      <c r="F11" s="572">
        <v>5116804.99</v>
      </c>
      <c r="H11" s="563"/>
      <c r="J11" s="563"/>
      <c r="L11" s="563">
        <f t="shared" si="2"/>
        <v>5116804.99</v>
      </c>
    </row>
    <row r="12" spans="2:12">
      <c r="B12" s="568">
        <f>MAX($B$8:B11)+1</f>
        <v>5</v>
      </c>
      <c r="D12" s="16" t="s">
        <v>203</v>
      </c>
      <c r="F12" s="572">
        <v>5287364.7699999996</v>
      </c>
      <c r="H12" s="563"/>
      <c r="J12" s="563"/>
      <c r="L12" s="563">
        <f t="shared" si="2"/>
        <v>5287364.7699999996</v>
      </c>
    </row>
    <row r="13" spans="2:12">
      <c r="B13" s="568">
        <f>MAX($B$8:B12)+1</f>
        <v>6</v>
      </c>
      <c r="D13" s="16" t="s">
        <v>213</v>
      </c>
      <c r="F13" s="572">
        <v>5116804.59</v>
      </c>
      <c r="H13" s="563"/>
      <c r="J13" s="563"/>
      <c r="L13" s="563">
        <f t="shared" si="2"/>
        <v>5116804.59</v>
      </c>
    </row>
    <row r="14" spans="2:12">
      <c r="B14" s="568">
        <f>MAX($B$8:B13)+1</f>
        <v>7</v>
      </c>
      <c r="D14" s="16" t="s">
        <v>204</v>
      </c>
      <c r="F14" s="572">
        <v>5287364.3600000003</v>
      </c>
      <c r="H14" s="563"/>
      <c r="J14" s="563"/>
      <c r="L14" s="563">
        <f t="shared" si="2"/>
        <v>5287364.3600000003</v>
      </c>
    </row>
    <row r="15" spans="2:12">
      <c r="B15" s="568">
        <f>MAX($B$8:B14)+1</f>
        <v>8</v>
      </c>
      <c r="D15" s="16" t="s">
        <v>205</v>
      </c>
      <c r="F15" s="572">
        <v>5287365.17</v>
      </c>
      <c r="H15" s="563"/>
      <c r="J15" s="563"/>
      <c r="L15" s="563">
        <f t="shared" si="2"/>
        <v>5287365.17</v>
      </c>
    </row>
    <row r="16" spans="2:12">
      <c r="B16" s="568">
        <f>MAX($B$8:B15)+1</f>
        <v>9</v>
      </c>
      <c r="D16" s="16" t="s">
        <v>206</v>
      </c>
      <c r="F16" s="572">
        <v>5116804.92</v>
      </c>
      <c r="H16" s="563"/>
      <c r="J16" s="563"/>
      <c r="L16" s="563">
        <f t="shared" si="2"/>
        <v>5116804.92</v>
      </c>
    </row>
    <row r="17" spans="2:12">
      <c r="B17" s="568">
        <f>MAX($B$8:B16)+1</f>
        <v>10</v>
      </c>
      <c r="D17" s="16" t="s">
        <v>208</v>
      </c>
      <c r="F17" s="572">
        <v>5287365.5999999996</v>
      </c>
      <c r="H17" s="563"/>
      <c r="J17" s="563"/>
      <c r="L17" s="563">
        <f>F17-H17-J17</f>
        <v>5287365.5999999996</v>
      </c>
    </row>
    <row r="18" spans="2:12">
      <c r="B18" s="568">
        <f>MAX($B$8:B17)+1</f>
        <v>11</v>
      </c>
      <c r="D18" s="16" t="s">
        <v>207</v>
      </c>
      <c r="F18" s="572">
        <v>5116804.2699999996</v>
      </c>
      <c r="H18" s="563"/>
      <c r="J18" s="563"/>
      <c r="L18" s="563">
        <f t="shared" si="2"/>
        <v>5116804.2699999996</v>
      </c>
    </row>
    <row r="19" spans="2:12">
      <c r="B19" s="568">
        <f>MAX($B$8:B18)+1</f>
        <v>12</v>
      </c>
      <c r="D19" s="16" t="s">
        <v>198</v>
      </c>
      <c r="F19" s="572">
        <v>5287365.05</v>
      </c>
      <c r="H19" s="578"/>
      <c r="J19" s="578"/>
      <c r="L19" s="563">
        <f t="shared" si="2"/>
        <v>5287365.05</v>
      </c>
    </row>
    <row r="20" spans="2:12">
      <c r="B20" s="568">
        <f>MAX($B$8:B19)+1</f>
        <v>13</v>
      </c>
      <c r="D20" s="16" t="s">
        <v>10</v>
      </c>
      <c r="F20" s="638">
        <f>SUM(F8:F19)</f>
        <v>62425016.670000002</v>
      </c>
      <c r="H20" s="572">
        <v>-5965049.6460364228</v>
      </c>
      <c r="J20" s="572">
        <v>-57867.865310589543</v>
      </c>
      <c r="L20" s="638">
        <f>F20-H20-J20</f>
        <v>68447934.181347013</v>
      </c>
    </row>
    <row r="22" spans="2:12">
      <c r="D22" s="631"/>
      <c r="E22" s="632"/>
      <c r="F22" s="631"/>
      <c r="H22" s="631"/>
      <c r="J22" s="631"/>
      <c r="L22" s="631"/>
    </row>
    <row r="23" spans="2:12">
      <c r="F23" s="844" t="s">
        <v>693</v>
      </c>
      <c r="G23" s="633"/>
      <c r="H23" s="634"/>
      <c r="I23" s="634"/>
      <c r="J23" s="634"/>
    </row>
    <row r="24" spans="2:12">
      <c r="B24" s="639"/>
      <c r="D24" s="636" t="s">
        <v>694</v>
      </c>
      <c r="F24" s="635" t="s">
        <v>821</v>
      </c>
      <c r="G24" s="637" t="s">
        <v>695</v>
      </c>
      <c r="H24" s="635" t="s">
        <v>822</v>
      </c>
      <c r="I24" s="637" t="s">
        <v>695</v>
      </c>
      <c r="J24" s="635" t="s">
        <v>1052</v>
      </c>
      <c r="K24" s="637" t="s">
        <v>81</v>
      </c>
      <c r="L24" s="636" t="s">
        <v>10</v>
      </c>
    </row>
    <row r="25" spans="2:12">
      <c r="B25" s="568">
        <f>B20+1</f>
        <v>14</v>
      </c>
      <c r="D25" s="16" t="s">
        <v>199</v>
      </c>
      <c r="F25" s="572">
        <v>1323672.566132688</v>
      </c>
      <c r="H25" s="563"/>
      <c r="J25" s="563"/>
      <c r="L25" s="563">
        <f>F25-H25-J25</f>
        <v>1323672.566132688</v>
      </c>
    </row>
    <row r="26" spans="2:12">
      <c r="B26" s="568">
        <f>B25+1</f>
        <v>15</v>
      </c>
      <c r="D26" s="16" t="s">
        <v>200</v>
      </c>
      <c r="F26" s="572">
        <v>1323672.566132688</v>
      </c>
      <c r="H26" s="563"/>
      <c r="J26" s="563"/>
      <c r="L26" s="563">
        <f t="shared" ref="L26:L36" si="3">F26-H26-J26</f>
        <v>1323672.566132688</v>
      </c>
    </row>
    <row r="27" spans="2:12">
      <c r="B27" s="568">
        <f t="shared" ref="B27:B37" si="4">B26+1</f>
        <v>16</v>
      </c>
      <c r="D27" s="16" t="s">
        <v>201</v>
      </c>
      <c r="F27" s="572">
        <v>1323672.566132688</v>
      </c>
      <c r="H27" s="563"/>
      <c r="J27" s="563"/>
      <c r="L27" s="563">
        <f t="shared" si="3"/>
        <v>1323672.566132688</v>
      </c>
    </row>
    <row r="28" spans="2:12">
      <c r="B28" s="568">
        <f t="shared" si="4"/>
        <v>17</v>
      </c>
      <c r="D28" s="16" t="s">
        <v>202</v>
      </c>
      <c r="F28" s="572">
        <v>1323672.566132688</v>
      </c>
      <c r="H28" s="563"/>
      <c r="J28" s="563"/>
      <c r="L28" s="563">
        <f t="shared" si="3"/>
        <v>1323672.566132688</v>
      </c>
    </row>
    <row r="29" spans="2:12">
      <c r="B29" s="568">
        <f t="shared" si="4"/>
        <v>18</v>
      </c>
      <c r="D29" s="16" t="s">
        <v>203</v>
      </c>
      <c r="F29" s="572">
        <v>1323672.566132688</v>
      </c>
      <c r="H29" s="563"/>
      <c r="J29" s="563"/>
      <c r="L29" s="563">
        <f>F29-H29-J29</f>
        <v>1323672.566132688</v>
      </c>
    </row>
    <row r="30" spans="2:12">
      <c r="B30" s="568">
        <f t="shared" si="4"/>
        <v>19</v>
      </c>
      <c r="D30" s="16" t="s">
        <v>213</v>
      </c>
      <c r="F30" s="572">
        <v>1323672.566132688</v>
      </c>
      <c r="H30" s="563"/>
      <c r="J30" s="563"/>
      <c r="L30" s="563">
        <f t="shared" si="3"/>
        <v>1323672.566132688</v>
      </c>
    </row>
    <row r="31" spans="2:12">
      <c r="B31" s="568">
        <f t="shared" si="4"/>
        <v>20</v>
      </c>
      <c r="D31" s="16" t="s">
        <v>204</v>
      </c>
      <c r="F31" s="572">
        <v>1323672.566132688</v>
      </c>
      <c r="H31" s="563"/>
      <c r="J31" s="563"/>
      <c r="L31" s="563">
        <f t="shared" si="3"/>
        <v>1323672.566132688</v>
      </c>
    </row>
    <row r="32" spans="2:12">
      <c r="B32" s="568">
        <f t="shared" si="4"/>
        <v>21</v>
      </c>
      <c r="D32" s="16" t="s">
        <v>205</v>
      </c>
      <c r="F32" s="572">
        <v>1323672.566132688</v>
      </c>
      <c r="H32" s="563"/>
      <c r="J32" s="563"/>
      <c r="L32" s="563">
        <f t="shared" si="3"/>
        <v>1323672.566132688</v>
      </c>
    </row>
    <row r="33" spans="2:12">
      <c r="B33" s="568">
        <f t="shared" si="4"/>
        <v>22</v>
      </c>
      <c r="D33" s="16" t="s">
        <v>206</v>
      </c>
      <c r="F33" s="572">
        <v>1323672.566132688</v>
      </c>
      <c r="H33" s="563"/>
      <c r="J33" s="563"/>
      <c r="L33" s="563">
        <f t="shared" si="3"/>
        <v>1323672.566132688</v>
      </c>
    </row>
    <row r="34" spans="2:12">
      <c r="B34" s="568">
        <f t="shared" si="4"/>
        <v>23</v>
      </c>
      <c r="D34" s="16" t="s">
        <v>208</v>
      </c>
      <c r="F34" s="572">
        <v>1323672.566132688</v>
      </c>
      <c r="H34" s="563"/>
      <c r="J34" s="563"/>
      <c r="L34" s="563">
        <f t="shared" si="3"/>
        <v>1323672.566132688</v>
      </c>
    </row>
    <row r="35" spans="2:12">
      <c r="B35" s="568">
        <f t="shared" si="4"/>
        <v>24</v>
      </c>
      <c r="D35" s="16" t="s">
        <v>207</v>
      </c>
      <c r="F35" s="572">
        <v>1323672.566132688</v>
      </c>
      <c r="H35" s="563"/>
      <c r="J35" s="563"/>
      <c r="L35" s="563">
        <f t="shared" si="3"/>
        <v>1323672.566132688</v>
      </c>
    </row>
    <row r="36" spans="2:12">
      <c r="B36" s="568">
        <f t="shared" si="4"/>
        <v>25</v>
      </c>
      <c r="D36" s="16" t="s">
        <v>198</v>
      </c>
      <c r="F36" s="572">
        <v>1323672.566132688</v>
      </c>
      <c r="H36" s="578"/>
      <c r="J36" s="578"/>
      <c r="L36" s="563">
        <f t="shared" si="3"/>
        <v>1323672.566132688</v>
      </c>
    </row>
    <row r="37" spans="2:12">
      <c r="B37" s="568">
        <f t="shared" si="4"/>
        <v>26</v>
      </c>
      <c r="D37" s="16" t="s">
        <v>10</v>
      </c>
      <c r="F37" s="638">
        <f>SUM(F25:F36)</f>
        <v>15884070.793592252</v>
      </c>
      <c r="H37" s="572">
        <v>611346.60137934552</v>
      </c>
      <c r="J37" s="572">
        <v>-14220.146425465156</v>
      </c>
      <c r="L37" s="638">
        <f>F37-H37-J37</f>
        <v>15286944.338638371</v>
      </c>
    </row>
    <row r="38" spans="2:12">
      <c r="F38" s="577"/>
      <c r="H38" s="563"/>
      <c r="J38" s="563"/>
      <c r="L38" s="577"/>
    </row>
    <row r="39" spans="2:12">
      <c r="F39" s="577"/>
      <c r="H39" s="563"/>
      <c r="J39" s="563"/>
      <c r="L39" s="577"/>
    </row>
    <row r="40" spans="2:12" ht="15.6" customHeight="1">
      <c r="D40" s="640" t="s">
        <v>194</v>
      </c>
      <c r="F40" s="641"/>
      <c r="H40" s="973"/>
      <c r="I40" s="642"/>
      <c r="J40" s="642"/>
    </row>
    <row r="41" spans="2:12" ht="15.6" customHeight="1">
      <c r="D41" s="640"/>
      <c r="F41" s="641"/>
      <c r="H41" s="642"/>
      <c r="I41" s="642"/>
      <c r="J41" s="642"/>
    </row>
    <row r="42" spans="2:12" ht="15.6" customHeight="1">
      <c r="D42" s="843" t="s">
        <v>827</v>
      </c>
      <c r="F42" s="641"/>
      <c r="H42" s="642"/>
      <c r="I42" s="642"/>
      <c r="J42" s="642"/>
      <c r="L42" s="563"/>
    </row>
    <row r="43" spans="2:12" ht="15.6" customHeight="1">
      <c r="D43" s="1056" t="s">
        <v>1053</v>
      </c>
      <c r="E43" s="1057"/>
      <c r="F43" s="1057"/>
      <c r="G43" s="1057"/>
      <c r="H43" s="1057"/>
      <c r="I43" s="1057"/>
      <c r="J43" s="1057"/>
      <c r="K43" s="1057"/>
      <c r="L43" s="1057"/>
    </row>
    <row r="44" spans="2:12">
      <c r="D44" s="1057"/>
      <c r="E44" s="1057"/>
      <c r="F44" s="1057"/>
      <c r="G44" s="1057"/>
      <c r="H44" s="1057"/>
      <c r="I44" s="1057"/>
      <c r="J44" s="1057"/>
      <c r="K44" s="1057"/>
      <c r="L44" s="1057"/>
    </row>
    <row r="45" spans="2:12">
      <c r="D45" s="1057"/>
      <c r="E45" s="1057"/>
      <c r="F45" s="1057"/>
      <c r="G45" s="1057"/>
      <c r="H45" s="1057"/>
      <c r="I45" s="1057"/>
      <c r="J45" s="1057"/>
      <c r="K45" s="1057"/>
      <c r="L45" s="1057"/>
    </row>
    <row r="46" spans="2:12" ht="47.25" customHeight="1">
      <c r="D46" s="1058" t="s">
        <v>1089</v>
      </c>
      <c r="E46" s="1058"/>
      <c r="F46" s="1058"/>
      <c r="G46" s="1058"/>
      <c r="H46" s="1058"/>
      <c r="I46" s="1058"/>
      <c r="J46" s="1058"/>
      <c r="K46" s="1058"/>
      <c r="L46" s="1058"/>
    </row>
    <row r="47" spans="2:12">
      <c r="F47" s="641"/>
      <c r="H47" s="642"/>
      <c r="I47" s="642"/>
      <c r="J47" s="642"/>
    </row>
    <row r="48" spans="2:12">
      <c r="F48" s="641"/>
      <c r="H48" s="642"/>
      <c r="I48" s="642"/>
      <c r="J48" s="642"/>
    </row>
    <row r="49" spans="2:12">
      <c r="F49" s="641"/>
      <c r="H49" s="642"/>
      <c r="I49" s="642"/>
      <c r="J49" s="642"/>
    </row>
    <row r="50" spans="2:12">
      <c r="B50" s="1"/>
      <c r="D50" s="1"/>
      <c r="F50" s="641"/>
      <c r="H50" s="642"/>
      <c r="I50" s="642"/>
      <c r="J50" s="642"/>
      <c r="L50" s="1"/>
    </row>
    <row r="51" spans="2:12">
      <c r="B51" s="1"/>
      <c r="D51" s="1"/>
      <c r="F51" s="641"/>
      <c r="L51" s="1"/>
    </row>
    <row r="52" spans="2:12">
      <c r="B52" s="1"/>
      <c r="D52" s="1"/>
      <c r="F52"/>
      <c r="L52" s="1"/>
    </row>
    <row r="53" spans="2:12">
      <c r="B53" s="1"/>
      <c r="D53" s="1"/>
      <c r="F53"/>
      <c r="L53" s="1"/>
    </row>
    <row r="54" spans="2:12">
      <c r="B54" s="1"/>
      <c r="D54" s="1"/>
      <c r="F54"/>
      <c r="L54" s="1"/>
    </row>
    <row r="55" spans="2:12">
      <c r="B55" s="1"/>
      <c r="D55" s="1"/>
      <c r="F55"/>
      <c r="L55" s="1"/>
    </row>
    <row r="56" spans="2:12">
      <c r="B56" s="1"/>
      <c r="D56" s="1"/>
      <c r="F56"/>
      <c r="L56" s="1"/>
    </row>
    <row r="57" spans="2:12">
      <c r="B57" s="1"/>
      <c r="D57" s="1"/>
      <c r="F57"/>
      <c r="L57" s="1"/>
    </row>
    <row r="58" spans="2:12">
      <c r="B58" s="1"/>
      <c r="D58" s="1"/>
      <c r="F58"/>
      <c r="L58" s="1"/>
    </row>
    <row r="59" spans="2:12">
      <c r="B59" s="1"/>
      <c r="D59" s="1"/>
      <c r="F59"/>
      <c r="L59" s="1"/>
    </row>
    <row r="60" spans="2:12">
      <c r="B60" s="1"/>
      <c r="D60" s="1"/>
      <c r="F60"/>
      <c r="L60" s="1"/>
    </row>
    <row r="61" spans="2:12">
      <c r="B61" s="1"/>
      <c r="D61" s="1"/>
      <c r="F61"/>
      <c r="L61" s="1"/>
    </row>
    <row r="62" spans="2:12">
      <c r="B62" s="1"/>
      <c r="D62" s="1"/>
      <c r="F62"/>
      <c r="L62" s="1"/>
    </row>
    <row r="63" spans="2:12">
      <c r="B63" s="1"/>
      <c r="D63" s="1"/>
      <c r="F63"/>
      <c r="L63" s="1"/>
    </row>
    <row r="64" spans="2:12">
      <c r="B64" s="1"/>
      <c r="D64" s="1"/>
      <c r="F64"/>
      <c r="L64" s="1"/>
    </row>
    <row r="65" spans="2:12">
      <c r="B65" s="1"/>
      <c r="D65" s="1"/>
      <c r="F65"/>
      <c r="L65" s="1"/>
    </row>
    <row r="66" spans="2:12" s="1" customFormat="1">
      <c r="F66"/>
    </row>
    <row r="67" spans="2:12" s="1" customFormat="1">
      <c r="F67"/>
    </row>
    <row r="68" spans="2:12" s="1" customFormat="1">
      <c r="F68"/>
    </row>
    <row r="69" spans="2:12" s="1" customFormat="1">
      <c r="F69"/>
    </row>
    <row r="70" spans="2:12" s="1" customFormat="1">
      <c r="F70"/>
    </row>
    <row r="71" spans="2:12" s="1" customFormat="1">
      <c r="F71"/>
    </row>
    <row r="72" spans="2:12" s="1" customFormat="1">
      <c r="F72"/>
    </row>
    <row r="73" spans="2:12" s="1" customFormat="1">
      <c r="F73"/>
    </row>
    <row r="74" spans="2:12" s="1" customFormat="1">
      <c r="F74"/>
    </row>
    <row r="75" spans="2:12" s="1" customFormat="1">
      <c r="F75"/>
    </row>
    <row r="76" spans="2:12" s="1" customFormat="1">
      <c r="F76"/>
    </row>
    <row r="77" spans="2:12" s="1" customFormat="1">
      <c r="F77"/>
    </row>
    <row r="78" spans="2:12" s="1" customFormat="1">
      <c r="F78"/>
    </row>
    <row r="79" spans="2:12" s="1" customFormat="1">
      <c r="F79"/>
    </row>
    <row r="80" spans="2:12" s="1" customFormat="1">
      <c r="F80"/>
    </row>
    <row r="81" spans="6:6" s="1" customFormat="1">
      <c r="F81"/>
    </row>
    <row r="82" spans="6:6" s="1" customFormat="1">
      <c r="F82"/>
    </row>
    <row r="83" spans="6:6" s="1" customFormat="1">
      <c r="F83"/>
    </row>
    <row r="84" spans="6:6" s="1" customFormat="1">
      <c r="F84"/>
    </row>
    <row r="85" spans="6:6" s="1" customFormat="1">
      <c r="F85"/>
    </row>
    <row r="86" spans="6:6" s="1" customFormat="1">
      <c r="F86"/>
    </row>
    <row r="87" spans="6:6" s="1" customFormat="1">
      <c r="F87"/>
    </row>
    <row r="88" spans="6:6" s="1" customFormat="1">
      <c r="F88"/>
    </row>
    <row r="89" spans="6:6" s="1" customFormat="1">
      <c r="F89"/>
    </row>
    <row r="90" spans="6:6" s="1" customFormat="1">
      <c r="F90"/>
    </row>
    <row r="91" spans="6:6" s="1" customFormat="1">
      <c r="F91"/>
    </row>
    <row r="92" spans="6:6" s="1" customFormat="1">
      <c r="F92"/>
    </row>
    <row r="93" spans="6:6" s="1" customFormat="1">
      <c r="F93" s="643"/>
    </row>
    <row r="94" spans="6:6" s="1" customFormat="1">
      <c r="F94" s="643"/>
    </row>
    <row r="95" spans="6:6" s="1" customFormat="1">
      <c r="F95" s="643"/>
    </row>
    <row r="96" spans="6:6" s="1" customFormat="1">
      <c r="F96" s="643"/>
    </row>
    <row r="97" spans="6:6" s="1" customFormat="1">
      <c r="F97" s="643"/>
    </row>
    <row r="98" spans="6:6" s="1" customFormat="1">
      <c r="F98" s="643"/>
    </row>
    <row r="99" spans="6:6" s="1" customFormat="1">
      <c r="F99" s="643"/>
    </row>
    <row r="100" spans="6:6" s="1" customFormat="1">
      <c r="F100" s="643"/>
    </row>
    <row r="101" spans="6:6" s="1" customFormat="1">
      <c r="F101" s="643"/>
    </row>
    <row r="102" spans="6:6" s="1" customFormat="1">
      <c r="F102" s="643"/>
    </row>
    <row r="103" spans="6:6" s="1" customFormat="1">
      <c r="F103" s="643"/>
    </row>
    <row r="104" spans="6:6" s="1" customFormat="1">
      <c r="F104" s="643"/>
    </row>
    <row r="105" spans="6:6" s="1" customFormat="1">
      <c r="F105" s="643"/>
    </row>
    <row r="106" spans="6:6" s="1" customFormat="1">
      <c r="F106" s="643"/>
    </row>
  </sheetData>
  <mergeCells count="2">
    <mergeCell ref="D43:L45"/>
    <mergeCell ref="D46:L46"/>
  </mergeCells>
  <pageMargins left="0.7" right="0.7" top="0.75" bottom="0.75" header="0.3" footer="0.3"/>
  <pageSetup scale="9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33EEF-B17C-4DAD-878B-77D2A44B0712}">
  <dimension ref="A1:AF72"/>
  <sheetViews>
    <sheetView view="pageBreakPreview" zoomScale="50" zoomScaleNormal="100" zoomScaleSheetLayoutView="50" workbookViewId="0">
      <selection activeCell="AD4" sqref="AD4"/>
    </sheetView>
  </sheetViews>
  <sheetFormatPr defaultColWidth="8.88671875" defaultRowHeight="15.75"/>
  <cols>
    <col min="1" max="1" width="7.33203125" style="39" bestFit="1" customWidth="1"/>
    <col min="2" max="2" width="3.21875" style="33" customWidth="1"/>
    <col min="3" max="3" width="67.6640625" style="33" customWidth="1"/>
    <col min="4" max="4" width="22" style="33" bestFit="1" customWidth="1"/>
    <col min="5" max="5" width="1" style="33" customWidth="1"/>
    <col min="6" max="6" width="15.44140625" style="39" customWidth="1"/>
    <col min="7" max="7" width="1.77734375" style="33" customWidth="1"/>
    <col min="8" max="8" width="12.77734375" style="33" customWidth="1"/>
    <col min="9" max="9" width="1.77734375" style="33" customWidth="1"/>
    <col min="10" max="10" width="12.77734375" style="33" customWidth="1"/>
    <col min="11" max="11" width="1.77734375" style="33" customWidth="1"/>
    <col min="12" max="12" width="8.88671875" style="33"/>
    <col min="13" max="13" width="1.77734375" style="33" customWidth="1"/>
    <col min="14" max="14" width="8.88671875" style="33"/>
    <col min="15" max="15" width="1.77734375" style="33" customWidth="1"/>
    <col min="16" max="16" width="8.88671875" style="33"/>
    <col min="17" max="17" width="1.77734375" style="33" customWidth="1"/>
    <col min="18" max="18" width="8.88671875" style="33"/>
    <col min="19" max="19" width="1.77734375" style="33" customWidth="1"/>
    <col min="20" max="20" width="8.88671875" style="33"/>
    <col min="21" max="21" width="1.77734375" style="33" customWidth="1"/>
    <col min="22" max="22" width="8.88671875" style="33"/>
    <col min="23" max="23" width="1.77734375" style="33" customWidth="1"/>
    <col min="24" max="24" width="16" style="33" bestFit="1" customWidth="1"/>
    <col min="25" max="25" width="1.77734375" style="33" customWidth="1"/>
    <col min="26" max="26" width="12.6640625" style="33" bestFit="1" customWidth="1"/>
    <col min="27" max="27" width="1.77734375" style="33" customWidth="1"/>
    <col min="28" max="28" width="15.109375" style="33" bestFit="1" customWidth="1"/>
    <col min="29" max="29" width="1.77734375" style="33" customWidth="1"/>
    <col min="30" max="30" width="32" style="33" bestFit="1" customWidth="1"/>
    <col min="31" max="31" width="1.77734375" style="33" customWidth="1"/>
    <col min="32" max="32" width="13.44140625" style="33" bestFit="1" customWidth="1"/>
    <col min="33" max="16384" width="8.88671875" style="33"/>
  </cols>
  <sheetData>
    <row r="1" spans="1:32" ht="20.100000000000001" customHeight="1">
      <c r="B1" s="888"/>
      <c r="C1" s="888"/>
      <c r="D1" s="888"/>
      <c r="AD1" s="603" t="s">
        <v>1130</v>
      </c>
    </row>
    <row r="2" spans="1:32" ht="20.100000000000001" customHeight="1">
      <c r="B2" s="888"/>
      <c r="C2" s="888"/>
      <c r="D2" s="888"/>
      <c r="AD2" s="603" t="s">
        <v>186</v>
      </c>
    </row>
    <row r="3" spans="1:32" ht="20.100000000000001" customHeight="1">
      <c r="B3" s="888"/>
      <c r="C3" s="888"/>
      <c r="D3" s="888"/>
      <c r="J3" s="889"/>
      <c r="K3" s="889"/>
      <c r="L3" s="890" t="s">
        <v>507</v>
      </c>
      <c r="M3" s="889"/>
      <c r="N3" s="889"/>
      <c r="AD3" s="604" t="str">
        <f>'Attachment H-34A '!K4</f>
        <v>For the 12 months ended 12/31/2026</v>
      </c>
    </row>
    <row r="4" spans="1:32" ht="20.100000000000001" customHeight="1">
      <c r="A4" s="42"/>
      <c r="B4" s="888"/>
      <c r="C4" s="888"/>
      <c r="D4" s="888"/>
    </row>
    <row r="5" spans="1:32">
      <c r="A5" s="891"/>
      <c r="B5" s="892"/>
      <c r="C5" s="893" t="s">
        <v>692</v>
      </c>
      <c r="D5" s="893" t="str">
        <f>"("&amp;CHAR(CODE(MID(C5,2,1))+1)&amp;")"</f>
        <v>(B)</v>
      </c>
      <c r="E5" s="892"/>
      <c r="F5" s="893" t="str">
        <f>"("&amp;CHAR(CODE(MID(D5,2,1))+1)&amp;")"</f>
        <v>(C)</v>
      </c>
      <c r="G5" s="892"/>
      <c r="H5" s="893" t="str">
        <f>"("&amp;CHAR(CODE(MID(F5,2,1))+1)&amp;")"</f>
        <v>(D)</v>
      </c>
      <c r="I5" s="892"/>
      <c r="J5" s="893" t="str">
        <f>"("&amp;CHAR(CODE(MID(H5,2,1))+1)&amp;")"</f>
        <v>(E)</v>
      </c>
      <c r="K5" s="892"/>
      <c r="L5" s="893" t="str">
        <f>"("&amp;CHAR(CODE(MID(J5,2,1))+1)&amp;")"</f>
        <v>(F)</v>
      </c>
      <c r="M5" s="892"/>
      <c r="N5" s="893" t="str">
        <f>"("&amp;CHAR(CODE(MID(L5,2,1))+1)&amp;")"</f>
        <v>(G)</v>
      </c>
      <c r="O5" s="892"/>
      <c r="P5" s="893" t="str">
        <f>"("&amp;CHAR(CODE(MID(N5,2,1))+1)&amp;")"</f>
        <v>(H)</v>
      </c>
      <c r="Q5" s="892"/>
      <c r="R5" s="893" t="str">
        <f>"("&amp;CHAR(CODE(MID(P5,2,1))+1)&amp;")"</f>
        <v>(I)</v>
      </c>
      <c r="S5" s="892"/>
      <c r="T5" s="893" t="str">
        <f>"("&amp;CHAR(CODE(MID(R5,2,1))+1)&amp;")"</f>
        <v>(J)</v>
      </c>
      <c r="U5" s="892"/>
      <c r="V5" s="893" t="str">
        <f>"("&amp;CHAR(CODE(MID(T5,2,1))+1)&amp;")"</f>
        <v>(K)</v>
      </c>
      <c r="W5" s="892"/>
      <c r="X5" s="893" t="str">
        <f>"("&amp;CHAR(CODE(MID(V5,2,1))+1)&amp;")"</f>
        <v>(L)</v>
      </c>
      <c r="Y5" s="892"/>
      <c r="Z5" s="893" t="str">
        <f>"("&amp;CHAR(CODE(MID(X5,2,1))+1)&amp;")"</f>
        <v>(M)</v>
      </c>
      <c r="AA5" s="892"/>
      <c r="AB5" s="893" t="str">
        <f>"("&amp;CHAR(CODE(MID(Z5,2,1))+1)&amp;")"</f>
        <v>(N)</v>
      </c>
      <c r="AC5" s="892"/>
      <c r="AD5" s="893" t="str">
        <f>"("&amp;CHAR(CODE(MID(AB5,2,1))+1)&amp;")"</f>
        <v>(O)</v>
      </c>
      <c r="AE5" s="892"/>
      <c r="AF5" s="893" t="str">
        <f>"("&amp;CHAR(CODE(MID(AD5,2,1))+1)&amp;")"</f>
        <v>(P)</v>
      </c>
    </row>
    <row r="6" spans="1:32">
      <c r="A6" s="891"/>
      <c r="B6" s="892"/>
      <c r="C6" s="892"/>
      <c r="D6" s="892"/>
      <c r="E6" s="892"/>
      <c r="F6" s="893"/>
      <c r="G6" s="892"/>
      <c r="H6" s="893"/>
      <c r="I6" s="892"/>
      <c r="J6" s="893"/>
      <c r="K6" s="892"/>
      <c r="L6" s="893"/>
      <c r="M6" s="892"/>
      <c r="N6" s="893"/>
      <c r="O6" s="892"/>
      <c r="P6" s="893"/>
      <c r="Q6" s="892"/>
      <c r="R6" s="893"/>
      <c r="S6" s="892"/>
      <c r="T6" s="893"/>
      <c r="U6" s="892"/>
      <c r="V6" s="893"/>
      <c r="W6" s="892"/>
      <c r="X6" s="893"/>
      <c r="Y6" s="892"/>
      <c r="Z6" s="893"/>
      <c r="AA6" s="892"/>
      <c r="AB6" s="893"/>
      <c r="AC6" s="891"/>
      <c r="AD6" s="893"/>
      <c r="AE6" s="891"/>
      <c r="AF6" s="891"/>
    </row>
    <row r="7" spans="1:32">
      <c r="A7" s="891"/>
      <c r="B7" s="892"/>
      <c r="C7" s="892"/>
      <c r="E7" s="892"/>
      <c r="F7" s="894">
        <v>2025</v>
      </c>
      <c r="G7" s="892"/>
      <c r="H7" s="895">
        <f>$F$7+1</f>
        <v>2026</v>
      </c>
      <c r="I7" s="892"/>
      <c r="J7" s="895">
        <f>$F$7+1</f>
        <v>2026</v>
      </c>
      <c r="K7" s="892"/>
      <c r="L7" s="895">
        <f>$F$7+1</f>
        <v>2026</v>
      </c>
      <c r="M7" s="892"/>
      <c r="N7" s="895">
        <f>$F$7+1</f>
        <v>2026</v>
      </c>
      <c r="O7" s="892"/>
      <c r="P7" s="895">
        <f>$F$7+1</f>
        <v>2026</v>
      </c>
      <c r="Q7" s="892"/>
      <c r="R7" s="895">
        <f>$F$7+1</f>
        <v>2026</v>
      </c>
      <c r="S7" s="892"/>
      <c r="T7" s="895">
        <f>$F$7+1</f>
        <v>2026</v>
      </c>
      <c r="U7" s="892"/>
      <c r="V7" s="895">
        <f>$F$7+1</f>
        <v>2026</v>
      </c>
      <c r="W7" s="892"/>
      <c r="X7" s="895">
        <f>$F$7+1</f>
        <v>2026</v>
      </c>
      <c r="Y7" s="892"/>
      <c r="Z7" s="895">
        <f>$F$7+1</f>
        <v>2026</v>
      </c>
      <c r="AA7" s="892"/>
      <c r="AB7" s="895">
        <f>$F$7+1</f>
        <v>2026</v>
      </c>
      <c r="AC7" s="892"/>
      <c r="AD7" s="895">
        <f>$F$7+1</f>
        <v>2026</v>
      </c>
      <c r="AE7" s="891"/>
      <c r="AF7" s="891"/>
    </row>
    <row r="8" spans="1:32" ht="20.100000000000001" customHeight="1">
      <c r="A8" s="896" t="s">
        <v>729</v>
      </c>
      <c r="B8" s="897"/>
      <c r="C8" s="898" t="s">
        <v>1054</v>
      </c>
      <c r="D8" s="899" t="s">
        <v>1055</v>
      </c>
      <c r="E8" s="900"/>
      <c r="F8" s="901" t="s">
        <v>234</v>
      </c>
      <c r="G8" s="897"/>
      <c r="H8" s="901" t="s">
        <v>732</v>
      </c>
      <c r="I8" s="897"/>
      <c r="J8" s="901" t="s">
        <v>733</v>
      </c>
      <c r="K8" s="897"/>
      <c r="L8" s="901" t="s">
        <v>734</v>
      </c>
      <c r="M8" s="897"/>
      <c r="N8" s="901" t="s">
        <v>735</v>
      </c>
      <c r="O8" s="897"/>
      <c r="P8" s="901" t="s">
        <v>736</v>
      </c>
      <c r="Q8" s="897"/>
      <c r="R8" s="901" t="s">
        <v>737</v>
      </c>
      <c r="S8" s="897"/>
      <c r="T8" s="901" t="s">
        <v>738</v>
      </c>
      <c r="U8" s="897"/>
      <c r="V8" s="901" t="s">
        <v>739</v>
      </c>
      <c r="W8" s="897"/>
      <c r="X8" s="901" t="s">
        <v>740</v>
      </c>
      <c r="Y8" s="897"/>
      <c r="Z8" s="901" t="s">
        <v>741</v>
      </c>
      <c r="AA8" s="897"/>
      <c r="AB8" s="901" t="s">
        <v>742</v>
      </c>
      <c r="AC8" s="897"/>
      <c r="AD8" s="901" t="s">
        <v>234</v>
      </c>
      <c r="AE8" s="902"/>
      <c r="AF8" s="903" t="s">
        <v>743</v>
      </c>
    </row>
    <row r="9" spans="1:32" ht="20.100000000000001" customHeight="1">
      <c r="A9" s="904"/>
      <c r="B9" s="897"/>
      <c r="C9" s="905"/>
      <c r="D9" s="905"/>
      <c r="E9" s="900"/>
      <c r="F9" s="906"/>
      <c r="G9" s="897"/>
      <c r="H9" s="906"/>
      <c r="I9" s="897"/>
      <c r="J9" s="906"/>
      <c r="K9" s="897"/>
      <c r="L9" s="906"/>
      <c r="M9" s="897"/>
      <c r="N9" s="906"/>
      <c r="O9" s="897"/>
      <c r="P9" s="906"/>
      <c r="Q9" s="897"/>
      <c r="R9" s="906"/>
      <c r="S9" s="897"/>
      <c r="T9" s="906"/>
      <c r="U9" s="897"/>
      <c r="V9" s="906"/>
      <c r="W9" s="897"/>
      <c r="X9" s="906"/>
      <c r="Y9" s="897"/>
      <c r="Z9" s="906"/>
      <c r="AA9" s="897"/>
      <c r="AB9" s="906"/>
      <c r="AC9" s="897"/>
      <c r="AD9" s="906"/>
      <c r="AE9" s="902"/>
      <c r="AF9" s="907"/>
    </row>
    <row r="10" spans="1:32" ht="20.100000000000001" customHeight="1">
      <c r="A10" s="908">
        <v>1</v>
      </c>
      <c r="B10" s="897"/>
      <c r="C10" s="909" t="s">
        <v>1056</v>
      </c>
      <c r="D10" s="910"/>
      <c r="E10" s="900"/>
      <c r="F10" s="907"/>
      <c r="G10" s="897"/>
      <c r="H10" s="907"/>
      <c r="I10" s="897"/>
      <c r="J10" s="907"/>
      <c r="K10" s="897"/>
      <c r="L10" s="907"/>
      <c r="M10" s="897"/>
      <c r="N10" s="907"/>
      <c r="O10" s="897"/>
      <c r="P10" s="907"/>
      <c r="Q10" s="897"/>
      <c r="R10" s="907"/>
      <c r="S10" s="897"/>
      <c r="T10" s="907"/>
      <c r="U10" s="897"/>
      <c r="V10" s="907"/>
      <c r="W10" s="897"/>
      <c r="X10" s="907"/>
      <c r="Y10" s="897"/>
      <c r="Z10" s="907"/>
      <c r="AA10" s="897"/>
      <c r="AB10" s="907"/>
      <c r="AC10" s="897"/>
      <c r="AD10" s="907"/>
      <c r="AE10" s="902"/>
      <c r="AF10" s="911"/>
    </row>
    <row r="11" spans="1:32" ht="10.5" customHeight="1">
      <c r="A11" s="891"/>
      <c r="B11" s="891"/>
      <c r="C11" s="912"/>
      <c r="D11" s="912"/>
      <c r="E11" s="900"/>
      <c r="F11" s="906"/>
      <c r="G11" s="897"/>
      <c r="H11" s="906"/>
      <c r="I11" s="897"/>
      <c r="J11" s="906"/>
      <c r="K11" s="897"/>
      <c r="L11" s="906"/>
      <c r="M11" s="897"/>
      <c r="N11" s="906"/>
      <c r="O11" s="897"/>
      <c r="P11" s="906"/>
      <c r="Q11" s="897"/>
      <c r="R11" s="906"/>
      <c r="S11" s="897"/>
      <c r="T11" s="906"/>
      <c r="U11" s="897"/>
      <c r="V11" s="906"/>
      <c r="W11" s="897"/>
      <c r="X11" s="906"/>
      <c r="Y11" s="897"/>
      <c r="Z11" s="906"/>
      <c r="AA11" s="897"/>
      <c r="AB11" s="906"/>
      <c r="AC11" s="897"/>
      <c r="AD11" s="906"/>
      <c r="AE11" s="902"/>
      <c r="AF11" s="907"/>
    </row>
    <row r="12" spans="1:32" ht="18.75" customHeight="1">
      <c r="A12" s="913">
        <v>1.01</v>
      </c>
      <c r="B12" s="891"/>
      <c r="C12" s="914" t="s">
        <v>1304</v>
      </c>
      <c r="D12" s="914"/>
      <c r="E12" s="900"/>
      <c r="F12" s="69">
        <v>33608</v>
      </c>
      <c r="G12" s="897"/>
      <c r="H12" s="69">
        <v>33608</v>
      </c>
      <c r="I12" s="897"/>
      <c r="J12" s="69">
        <v>33608</v>
      </c>
      <c r="K12" s="897"/>
      <c r="L12" s="69">
        <v>33608</v>
      </c>
      <c r="M12" s="897"/>
      <c r="N12" s="69">
        <v>33608</v>
      </c>
      <c r="O12" s="897"/>
      <c r="P12" s="69">
        <v>33608</v>
      </c>
      <c r="Q12" s="897"/>
      <c r="R12" s="69">
        <v>33608</v>
      </c>
      <c r="S12" s="897"/>
      <c r="T12" s="69">
        <v>33608</v>
      </c>
      <c r="U12" s="897"/>
      <c r="V12" s="69">
        <v>33608</v>
      </c>
      <c r="W12" s="897"/>
      <c r="X12" s="69">
        <v>33608</v>
      </c>
      <c r="Y12" s="897"/>
      <c r="Z12" s="69">
        <v>33608</v>
      </c>
      <c r="AA12" s="897"/>
      <c r="AB12" s="69">
        <v>33608</v>
      </c>
      <c r="AC12" s="897"/>
      <c r="AD12" s="69">
        <v>33608</v>
      </c>
      <c r="AE12" s="902"/>
      <c r="AF12" s="911">
        <f>SUM(F12:AD12)/13</f>
        <v>33608</v>
      </c>
    </row>
    <row r="13" spans="1:32" ht="18.75" customHeight="1">
      <c r="A13" s="913">
        <v>1.02</v>
      </c>
      <c r="B13" s="891"/>
      <c r="C13" s="914"/>
      <c r="D13" s="914"/>
      <c r="E13" s="900"/>
      <c r="F13" s="69"/>
      <c r="G13" s="897"/>
      <c r="H13" s="69"/>
      <c r="I13" s="897"/>
      <c r="J13" s="69"/>
      <c r="K13" s="897"/>
      <c r="L13" s="69"/>
      <c r="M13" s="897"/>
      <c r="N13" s="69"/>
      <c r="O13" s="897"/>
      <c r="P13" s="69"/>
      <c r="Q13" s="897"/>
      <c r="R13" s="69"/>
      <c r="S13" s="897"/>
      <c r="T13" s="69"/>
      <c r="U13" s="897"/>
      <c r="V13" s="69"/>
      <c r="W13" s="897"/>
      <c r="X13" s="69"/>
      <c r="Y13" s="897"/>
      <c r="Z13" s="69"/>
      <c r="AA13" s="897"/>
      <c r="AB13" s="69"/>
      <c r="AC13" s="897"/>
      <c r="AD13" s="69"/>
      <c r="AE13" s="902"/>
      <c r="AF13" s="911">
        <f>SUM(F13:AD13)/13</f>
        <v>0</v>
      </c>
    </row>
    <row r="14" spans="1:32" ht="20.100000000000001" customHeight="1">
      <c r="A14" s="891">
        <f>A10+1</f>
        <v>2</v>
      </c>
      <c r="B14" s="892"/>
      <c r="C14" s="312" t="str">
        <f ca="1">"Sum of Lines "&amp;A12&amp;" through "&amp;OFFSET(A14,-1,0)</f>
        <v>Sum of Lines 1.01 through 1.02</v>
      </c>
      <c r="E14" s="900"/>
      <c r="F14" s="915">
        <f>SUM(F12:F13)</f>
        <v>33608</v>
      </c>
      <c r="G14" s="897"/>
      <c r="H14" s="915">
        <f>SUM(H12:H13)</f>
        <v>33608</v>
      </c>
      <c r="I14" s="892"/>
      <c r="J14" s="915">
        <f>SUM(J12:J13)</f>
        <v>33608</v>
      </c>
      <c r="K14" s="892"/>
      <c r="L14" s="915">
        <f>SUM(L12:L13)</f>
        <v>33608</v>
      </c>
      <c r="M14" s="892"/>
      <c r="N14" s="915">
        <f>SUM(N12:N13)</f>
        <v>33608</v>
      </c>
      <c r="O14" s="892"/>
      <c r="P14" s="915">
        <f>SUM(P12:P13)</f>
        <v>33608</v>
      </c>
      <c r="Q14" s="892"/>
      <c r="R14" s="915">
        <f>SUM(R12:R13)</f>
        <v>33608</v>
      </c>
      <c r="S14" s="892"/>
      <c r="T14" s="915">
        <f>SUM(T12:T13)</f>
        <v>33608</v>
      </c>
      <c r="U14" s="892"/>
      <c r="V14" s="915">
        <f>SUM(V12:V13)</f>
        <v>33608</v>
      </c>
      <c r="W14" s="892"/>
      <c r="X14" s="915">
        <f>SUM(X12:X13)</f>
        <v>33608</v>
      </c>
      <c r="Y14" s="892"/>
      <c r="Z14" s="915">
        <f>SUM(Z12:Z13)</f>
        <v>33608</v>
      </c>
      <c r="AA14" s="892"/>
      <c r="AB14" s="915">
        <f>SUM(AB12:AB13)</f>
        <v>33608</v>
      </c>
      <c r="AC14" s="892"/>
      <c r="AD14" s="915">
        <f>SUM(AD12:AD13)</f>
        <v>33608</v>
      </c>
      <c r="AE14" s="902"/>
      <c r="AF14" s="915">
        <f>SUM(AF12:AF13)</f>
        <v>33608</v>
      </c>
    </row>
    <row r="15" spans="1:32" ht="20.100000000000001" customHeight="1">
      <c r="A15" s="891">
        <v>2.0099999999999998</v>
      </c>
      <c r="B15" s="892"/>
      <c r="C15" s="33" t="s">
        <v>1127</v>
      </c>
      <c r="E15" s="900"/>
      <c r="F15" s="948"/>
      <c r="G15" s="897"/>
      <c r="H15" s="949"/>
      <c r="I15" s="892"/>
      <c r="J15" s="949"/>
      <c r="K15" s="892"/>
      <c r="L15" s="949"/>
      <c r="M15" s="892"/>
      <c r="N15" s="949"/>
      <c r="O15" s="892"/>
      <c r="P15" s="949"/>
      <c r="Q15" s="892"/>
      <c r="R15" s="949"/>
      <c r="S15" s="892"/>
      <c r="T15" s="949"/>
      <c r="U15" s="892"/>
      <c r="V15" s="949"/>
      <c r="W15" s="892"/>
      <c r="X15" s="949"/>
      <c r="Y15" s="892"/>
      <c r="Z15" s="949"/>
      <c r="AA15" s="892"/>
      <c r="AB15" s="949"/>
      <c r="AC15" s="892"/>
      <c r="AD15" s="948"/>
      <c r="AE15" s="902"/>
      <c r="AF15" s="949"/>
    </row>
    <row r="16" spans="1:32" ht="20.100000000000001" customHeight="1">
      <c r="A16" s="891"/>
      <c r="B16" s="892"/>
      <c r="E16" s="900"/>
      <c r="F16" s="906"/>
      <c r="G16" s="897"/>
      <c r="H16" s="906"/>
      <c r="I16" s="897"/>
      <c r="J16" s="906"/>
      <c r="K16" s="897"/>
      <c r="L16" s="906"/>
      <c r="M16" s="897"/>
      <c r="N16" s="906"/>
      <c r="O16" s="897"/>
      <c r="P16" s="906"/>
      <c r="Q16" s="897"/>
      <c r="R16" s="906"/>
      <c r="S16" s="897"/>
      <c r="T16" s="906"/>
      <c r="U16" s="897"/>
      <c r="V16" s="906"/>
      <c r="W16" s="897"/>
      <c r="X16" s="906"/>
      <c r="Y16" s="897"/>
      <c r="Z16" s="906"/>
      <c r="AA16" s="897"/>
      <c r="AB16" s="906"/>
      <c r="AC16" s="897"/>
      <c r="AD16" s="906"/>
      <c r="AE16" s="902"/>
      <c r="AF16" s="907"/>
    </row>
    <row r="17" spans="1:32" ht="20.100000000000001" customHeight="1">
      <c r="A17" s="891">
        <f>A14+1</f>
        <v>3</v>
      </c>
      <c r="B17" s="891"/>
      <c r="C17" s="899" t="s">
        <v>1057</v>
      </c>
      <c r="D17" s="916"/>
      <c r="E17" s="900"/>
      <c r="F17" s="917"/>
      <c r="G17" s="897"/>
      <c r="H17" s="917"/>
      <c r="I17" s="897"/>
      <c r="J17" s="917"/>
      <c r="K17" s="897"/>
      <c r="L17" s="917"/>
      <c r="M17" s="897"/>
      <c r="N17" s="917"/>
      <c r="O17" s="897"/>
      <c r="P17" s="917"/>
      <c r="Q17" s="897"/>
      <c r="R17" s="917"/>
      <c r="S17" s="897"/>
      <c r="T17" s="917"/>
      <c r="U17" s="897"/>
      <c r="V17" s="917"/>
      <c r="W17" s="897"/>
      <c r="X17" s="917"/>
      <c r="Y17" s="897"/>
      <c r="Z17" s="917"/>
      <c r="AA17" s="897"/>
      <c r="AB17" s="917"/>
      <c r="AC17" s="897"/>
      <c r="AD17" s="917"/>
      <c r="AE17" s="902"/>
      <c r="AF17" s="911">
        <f>SUM(F17:AD17)/13</f>
        <v>0</v>
      </c>
    </row>
    <row r="18" spans="1:32" ht="20.100000000000001" customHeight="1">
      <c r="A18" s="891"/>
      <c r="B18" s="891"/>
      <c r="C18" s="912" t="s">
        <v>1058</v>
      </c>
      <c r="D18" s="918"/>
      <c r="E18" s="900"/>
      <c r="F18" s="917"/>
      <c r="G18" s="897"/>
      <c r="H18" s="906"/>
      <c r="I18" s="897"/>
      <c r="J18" s="906"/>
      <c r="K18" s="897"/>
      <c r="L18" s="906"/>
      <c r="M18" s="897"/>
      <c r="N18" s="906"/>
      <c r="O18" s="897"/>
      <c r="P18" s="906"/>
      <c r="Q18" s="897"/>
      <c r="R18" s="906"/>
      <c r="S18" s="897"/>
      <c r="T18" s="906"/>
      <c r="U18" s="897"/>
      <c r="V18" s="906"/>
      <c r="W18" s="897"/>
      <c r="X18" s="906"/>
      <c r="Y18" s="897"/>
      <c r="Z18" s="906"/>
      <c r="AA18" s="897"/>
      <c r="AB18" s="906"/>
      <c r="AC18" s="897"/>
      <c r="AD18" s="917"/>
      <c r="AE18" s="902"/>
      <c r="AF18" s="907"/>
    </row>
    <row r="19" spans="1:32" ht="20.100000000000001" customHeight="1">
      <c r="A19" s="891"/>
      <c r="B19" s="891"/>
      <c r="C19" s="912"/>
      <c r="D19" s="918"/>
      <c r="E19" s="900"/>
      <c r="F19" s="906"/>
      <c r="G19" s="897"/>
      <c r="H19" s="906"/>
      <c r="I19" s="897"/>
      <c r="J19" s="906"/>
      <c r="K19" s="897"/>
      <c r="L19" s="906"/>
      <c r="M19" s="897"/>
      <c r="N19" s="906"/>
      <c r="O19" s="897"/>
      <c r="P19" s="906"/>
      <c r="Q19" s="897"/>
      <c r="R19" s="906"/>
      <c r="S19" s="897"/>
      <c r="T19" s="906"/>
      <c r="U19" s="897"/>
      <c r="V19" s="906"/>
      <c r="W19" s="897"/>
      <c r="X19" s="906"/>
      <c r="Y19" s="897"/>
      <c r="Z19" s="906"/>
      <c r="AA19" s="897"/>
      <c r="AB19" s="906"/>
      <c r="AC19" s="897"/>
      <c r="AD19" s="906"/>
      <c r="AE19" s="902"/>
      <c r="AF19" s="907"/>
    </row>
    <row r="20" spans="1:32" ht="20.100000000000001" customHeight="1">
      <c r="A20" s="891">
        <f>A17+1</f>
        <v>4</v>
      </c>
      <c r="B20" s="891"/>
      <c r="C20" s="899" t="s">
        <v>1059</v>
      </c>
      <c r="D20" s="916"/>
      <c r="E20" s="900"/>
      <c r="F20" s="917"/>
      <c r="G20" s="897"/>
      <c r="H20" s="917"/>
      <c r="I20" s="897"/>
      <c r="J20" s="917"/>
      <c r="K20" s="897"/>
      <c r="L20" s="917"/>
      <c r="M20" s="897"/>
      <c r="N20" s="917"/>
      <c r="O20" s="897"/>
      <c r="P20" s="917"/>
      <c r="Q20" s="897"/>
      <c r="R20" s="917"/>
      <c r="S20" s="897"/>
      <c r="T20" s="917"/>
      <c r="U20" s="897"/>
      <c r="V20" s="917"/>
      <c r="W20" s="897"/>
      <c r="X20" s="917"/>
      <c r="Y20" s="897"/>
      <c r="Z20" s="917"/>
      <c r="AA20" s="897"/>
      <c r="AB20" s="917"/>
      <c r="AC20" s="897"/>
      <c r="AD20" s="917"/>
      <c r="AE20" s="902"/>
      <c r="AF20" s="911">
        <f>SUM(F20:AD20)/13</f>
        <v>0</v>
      </c>
    </row>
    <row r="21" spans="1:32" ht="20.100000000000001" customHeight="1">
      <c r="A21" s="891"/>
      <c r="B21" s="891"/>
      <c r="C21" s="920" t="s">
        <v>1060</v>
      </c>
      <c r="D21" s="920"/>
      <c r="E21" s="900"/>
      <c r="F21" s="917"/>
      <c r="G21" s="897"/>
      <c r="H21" s="906"/>
      <c r="I21" s="897"/>
      <c r="J21" s="906"/>
      <c r="K21" s="897"/>
      <c r="L21" s="906"/>
      <c r="M21" s="897"/>
      <c r="N21" s="906"/>
      <c r="O21" s="897"/>
      <c r="P21" s="906"/>
      <c r="Q21" s="897"/>
      <c r="R21" s="906"/>
      <c r="S21" s="897"/>
      <c r="T21" s="906"/>
      <c r="U21" s="897"/>
      <c r="V21" s="906"/>
      <c r="W21" s="897"/>
      <c r="X21" s="906"/>
      <c r="Y21" s="897"/>
      <c r="Z21" s="906"/>
      <c r="AA21" s="897"/>
      <c r="AB21" s="906"/>
      <c r="AC21" s="897"/>
      <c r="AD21" s="917"/>
      <c r="AE21" s="902"/>
      <c r="AF21" s="911"/>
    </row>
    <row r="22" spans="1:32" ht="20.100000000000001" customHeight="1">
      <c r="A22" s="891"/>
      <c r="B22" s="891"/>
      <c r="C22" s="920"/>
      <c r="D22" s="920"/>
      <c r="E22" s="900"/>
      <c r="F22" s="906"/>
      <c r="G22" s="897"/>
      <c r="H22" s="906"/>
      <c r="I22" s="897"/>
      <c r="J22" s="906"/>
      <c r="K22" s="897"/>
      <c r="L22" s="906"/>
      <c r="M22" s="897"/>
      <c r="N22" s="906"/>
      <c r="O22" s="897"/>
      <c r="P22" s="906"/>
      <c r="Q22" s="897"/>
      <c r="R22" s="906"/>
      <c r="S22" s="897"/>
      <c r="T22" s="906"/>
      <c r="U22" s="897"/>
      <c r="V22" s="906"/>
      <c r="W22" s="897"/>
      <c r="X22" s="906"/>
      <c r="Y22" s="897"/>
      <c r="Z22" s="906"/>
      <c r="AA22" s="897"/>
      <c r="AB22" s="906"/>
      <c r="AC22" s="897"/>
      <c r="AD22" s="906"/>
      <c r="AE22" s="902"/>
      <c r="AF22" s="907"/>
    </row>
    <row r="23" spans="1:32" ht="20.100000000000001" customHeight="1">
      <c r="A23" s="891"/>
      <c r="B23" s="891"/>
      <c r="C23" s="920"/>
      <c r="D23" s="920"/>
      <c r="E23" s="900"/>
      <c r="F23" s="906"/>
      <c r="G23" s="897"/>
      <c r="H23" s="906"/>
      <c r="I23" s="897"/>
      <c r="J23" s="906"/>
      <c r="K23" s="897"/>
      <c r="L23" s="906"/>
      <c r="M23" s="897"/>
      <c r="N23" s="906"/>
      <c r="O23" s="897"/>
      <c r="P23" s="906"/>
      <c r="Q23" s="897"/>
      <c r="R23" s="906"/>
      <c r="S23" s="897"/>
      <c r="T23" s="906"/>
      <c r="U23" s="897"/>
      <c r="V23" s="906"/>
      <c r="W23" s="897"/>
      <c r="X23" s="906"/>
      <c r="Y23" s="897"/>
      <c r="Z23" s="906"/>
      <c r="AA23" s="897"/>
      <c r="AB23" s="906"/>
      <c r="AC23" s="897"/>
      <c r="AD23" s="906"/>
      <c r="AE23" s="902"/>
      <c r="AF23" s="907"/>
    </row>
    <row r="24" spans="1:32" ht="20.100000000000001" customHeight="1">
      <c r="A24" s="908">
        <v>5</v>
      </c>
      <c r="B24" s="897"/>
      <c r="C24" s="921" t="s">
        <v>1128</v>
      </c>
      <c r="D24" s="921"/>
      <c r="E24" s="44"/>
      <c r="F24" s="44"/>
      <c r="G24" s="44"/>
      <c r="H24" s="44"/>
      <c r="I24" s="897"/>
      <c r="J24" s="922"/>
      <c r="K24" s="897"/>
      <c r="L24" s="922"/>
      <c r="M24" s="897"/>
      <c r="N24" s="922"/>
      <c r="O24" s="897"/>
      <c r="P24" s="922"/>
      <c r="Q24" s="897"/>
      <c r="R24" s="922"/>
      <c r="S24" s="897"/>
      <c r="T24" s="922"/>
      <c r="U24" s="897"/>
      <c r="V24" s="922"/>
      <c r="W24" s="897"/>
      <c r="X24" s="922"/>
      <c r="Y24" s="897"/>
      <c r="Z24" s="922"/>
      <c r="AA24" s="897"/>
      <c r="AB24" s="922"/>
      <c r="AC24" s="897"/>
      <c r="AD24" s="922"/>
      <c r="AE24" s="902"/>
      <c r="AF24" s="922"/>
    </row>
    <row r="25" spans="1:32" ht="20.100000000000001" customHeight="1">
      <c r="A25" s="908"/>
      <c r="B25" s="897"/>
      <c r="C25" s="921"/>
      <c r="D25" s="921"/>
      <c r="E25" s="44"/>
      <c r="F25" s="44"/>
      <c r="G25" s="44"/>
      <c r="H25" s="44"/>
      <c r="I25" s="897"/>
      <c r="J25" s="922"/>
      <c r="K25" s="897"/>
      <c r="L25" s="922"/>
      <c r="M25" s="897"/>
      <c r="N25" s="922"/>
      <c r="O25" s="897"/>
      <c r="P25" s="922"/>
      <c r="Q25" s="897"/>
      <c r="R25" s="922"/>
      <c r="S25" s="897"/>
      <c r="T25" s="922"/>
      <c r="U25" s="897"/>
      <c r="V25" s="922"/>
      <c r="W25" s="897"/>
      <c r="X25" s="922"/>
      <c r="Y25" s="897"/>
      <c r="Z25" s="922"/>
      <c r="AA25" s="897"/>
      <c r="AB25" s="922"/>
      <c r="AC25" s="897"/>
      <c r="AD25" s="922"/>
      <c r="AE25" s="902"/>
      <c r="AF25" s="922"/>
    </row>
    <row r="26" spans="1:32" ht="20.100000000000001" customHeight="1">
      <c r="A26" s="908">
        <v>6</v>
      </c>
      <c r="B26" s="897"/>
      <c r="C26" s="910" t="s">
        <v>1061</v>
      </c>
      <c r="D26" s="910"/>
      <c r="E26" s="897"/>
      <c r="F26" s="922"/>
      <c r="G26" s="897"/>
      <c r="H26" s="922"/>
      <c r="I26" s="897"/>
      <c r="J26" s="922"/>
      <c r="K26" s="897"/>
      <c r="L26" s="922"/>
      <c r="M26" s="897"/>
      <c r="N26" s="922"/>
      <c r="O26" s="897"/>
      <c r="P26" s="922"/>
      <c r="Q26" s="897"/>
      <c r="R26" s="922"/>
      <c r="S26" s="897"/>
      <c r="T26" s="922"/>
      <c r="U26" s="897"/>
      <c r="V26" s="922"/>
      <c r="W26" s="897"/>
      <c r="X26" s="922"/>
      <c r="Y26" s="897"/>
      <c r="Z26" s="922"/>
      <c r="AA26" s="897"/>
      <c r="AB26" s="922"/>
      <c r="AC26" s="897"/>
      <c r="AD26" s="922"/>
      <c r="AE26" s="902"/>
      <c r="AF26" s="922"/>
    </row>
    <row r="27" spans="1:32" ht="20.100000000000001" customHeight="1">
      <c r="A27" s="891"/>
      <c r="B27" s="891"/>
      <c r="C27" s="891"/>
      <c r="D27" s="891"/>
      <c r="E27" s="891"/>
      <c r="F27" s="891"/>
      <c r="G27" s="891"/>
      <c r="H27" s="891"/>
      <c r="I27" s="891"/>
      <c r="J27" s="891"/>
      <c r="K27" s="891"/>
      <c r="L27" s="891"/>
      <c r="M27" s="891"/>
      <c r="N27" s="891"/>
      <c r="O27" s="891"/>
      <c r="P27" s="891"/>
      <c r="Q27" s="891"/>
      <c r="R27" s="891"/>
      <c r="S27" s="891"/>
      <c r="T27" s="891"/>
      <c r="U27" s="891"/>
      <c r="V27" s="891"/>
      <c r="W27" s="891"/>
      <c r="X27" s="891"/>
      <c r="Y27" s="891"/>
      <c r="Z27" s="891"/>
      <c r="AA27" s="891"/>
      <c r="AB27" s="891"/>
      <c r="AC27" s="891"/>
      <c r="AD27" s="891"/>
      <c r="AE27" s="891"/>
      <c r="AF27" s="891"/>
    </row>
    <row r="28" spans="1:32">
      <c r="A28" s="923">
        <f>A26+0.01</f>
        <v>6.01</v>
      </c>
      <c r="B28" s="892"/>
      <c r="C28" s="919"/>
      <c r="D28" s="919"/>
      <c r="E28" s="892"/>
      <c r="F28" s="914"/>
      <c r="G28" s="892"/>
      <c r="H28" s="914"/>
      <c r="I28" s="892"/>
      <c r="J28" s="914"/>
      <c r="K28" s="892"/>
      <c r="L28" s="914"/>
      <c r="M28" s="892"/>
      <c r="N28" s="914"/>
      <c r="O28" s="892"/>
      <c r="P28" s="914"/>
      <c r="Q28" s="892"/>
      <c r="R28" s="914"/>
      <c r="S28" s="892"/>
      <c r="T28" s="914"/>
      <c r="U28" s="892"/>
      <c r="V28" s="914"/>
      <c r="W28" s="892"/>
      <c r="X28" s="914"/>
      <c r="Y28" s="892"/>
      <c r="Z28" s="914"/>
      <c r="AA28" s="892"/>
      <c r="AB28" s="914"/>
      <c r="AC28" s="892"/>
      <c r="AD28" s="914"/>
      <c r="AE28" s="892"/>
      <c r="AF28" s="911">
        <f>SUM(F28:AD28)/13</f>
        <v>0</v>
      </c>
    </row>
    <row r="29" spans="1:32">
      <c r="A29" s="923">
        <f>A28+0.01</f>
        <v>6.02</v>
      </c>
      <c r="B29" s="892"/>
      <c r="C29" s="919"/>
      <c r="D29" s="919"/>
      <c r="E29" s="892"/>
      <c r="F29" s="914"/>
      <c r="G29" s="892"/>
      <c r="H29" s="914"/>
      <c r="I29" s="892"/>
      <c r="J29" s="914"/>
      <c r="K29" s="892"/>
      <c r="L29" s="914"/>
      <c r="M29" s="892"/>
      <c r="N29" s="914"/>
      <c r="O29" s="892"/>
      <c r="P29" s="914"/>
      <c r="Q29" s="892"/>
      <c r="R29" s="914"/>
      <c r="S29" s="892"/>
      <c r="T29" s="914"/>
      <c r="U29" s="892"/>
      <c r="V29" s="914"/>
      <c r="W29" s="892"/>
      <c r="X29" s="914"/>
      <c r="Y29" s="892"/>
      <c r="Z29" s="914"/>
      <c r="AA29" s="892"/>
      <c r="AB29" s="914"/>
      <c r="AC29" s="892"/>
      <c r="AD29" s="914"/>
      <c r="AE29" s="892"/>
      <c r="AF29" s="911">
        <f>SUM(F29:AD29)/13</f>
        <v>0</v>
      </c>
    </row>
    <row r="30" spans="1:32">
      <c r="A30" s="891">
        <f>A26+1</f>
        <v>7</v>
      </c>
      <c r="B30" s="892"/>
      <c r="C30" s="919" t="str">
        <f ca="1">"Sum of Lines "&amp;A28&amp;" through "&amp;OFFSET(A30,-1,0)</f>
        <v>Sum of Lines 6.01 through 6.02</v>
      </c>
      <c r="D30" s="920"/>
      <c r="E30" s="892"/>
      <c r="F30" s="915">
        <f>SUM(F28:F29)</f>
        <v>0</v>
      </c>
      <c r="G30" s="892"/>
      <c r="H30" s="915">
        <f>SUM(H28:H29)</f>
        <v>0</v>
      </c>
      <c r="I30" s="892"/>
      <c r="J30" s="915">
        <f>SUM(J28:J29)</f>
        <v>0</v>
      </c>
      <c r="K30" s="892"/>
      <c r="L30" s="915">
        <f>SUM(L28:L29)</f>
        <v>0</v>
      </c>
      <c r="M30" s="892"/>
      <c r="N30" s="915">
        <f>SUM(N28:N29)</f>
        <v>0</v>
      </c>
      <c r="O30" s="892"/>
      <c r="P30" s="915">
        <f>SUM(P28:P29)</f>
        <v>0</v>
      </c>
      <c r="Q30" s="892"/>
      <c r="R30" s="915">
        <f>SUM(R28:R29)</f>
        <v>0</v>
      </c>
      <c r="S30" s="892"/>
      <c r="T30" s="915">
        <f>SUM(T28:T29)</f>
        <v>0</v>
      </c>
      <c r="U30" s="892"/>
      <c r="V30" s="915">
        <f>SUM(V28:V29)</f>
        <v>0</v>
      </c>
      <c r="W30" s="892"/>
      <c r="X30" s="915">
        <f>SUM(X28:X29)</f>
        <v>0</v>
      </c>
      <c r="Y30" s="892"/>
      <c r="Z30" s="915">
        <f>SUM(Z28:Z29)</f>
        <v>0</v>
      </c>
      <c r="AA30" s="892"/>
      <c r="AB30" s="915">
        <f>SUM(AB28:AB29)</f>
        <v>0</v>
      </c>
      <c r="AC30" s="892"/>
      <c r="AD30" s="915">
        <f>SUM(AD28:AD29)</f>
        <v>0</v>
      </c>
      <c r="AE30" s="892"/>
      <c r="AF30" s="915">
        <f>SUM(AF28:AF29)</f>
        <v>0</v>
      </c>
    </row>
    <row r="31" spans="1:32">
      <c r="A31" s="891"/>
      <c r="B31" s="891"/>
      <c r="C31" s="892"/>
      <c r="D31" s="892"/>
      <c r="E31" s="892"/>
      <c r="F31" s="911"/>
      <c r="G31" s="892"/>
      <c r="H31" s="911"/>
      <c r="I31" s="892"/>
      <c r="J31" s="911"/>
      <c r="K31" s="892"/>
      <c r="L31" s="911"/>
      <c r="M31" s="892"/>
      <c r="N31" s="911"/>
      <c r="O31" s="892"/>
      <c r="P31" s="911"/>
      <c r="Q31" s="892"/>
      <c r="R31" s="911"/>
      <c r="S31" s="892"/>
      <c r="T31" s="911"/>
      <c r="U31" s="892"/>
      <c r="V31" s="911"/>
      <c r="W31" s="892"/>
      <c r="X31" s="911"/>
      <c r="Y31" s="892"/>
      <c r="Z31" s="924"/>
      <c r="AA31" s="892"/>
      <c r="AB31" s="924"/>
      <c r="AC31" s="892"/>
      <c r="AD31" s="891"/>
      <c r="AE31" s="892"/>
      <c r="AF31" s="891"/>
    </row>
    <row r="32" spans="1:32">
      <c r="A32" s="908">
        <f>A30+1</f>
        <v>8</v>
      </c>
      <c r="B32" s="897"/>
      <c r="C32" s="910" t="s">
        <v>1062</v>
      </c>
      <c r="D32" s="910"/>
      <c r="E32" s="897"/>
      <c r="F32" s="922"/>
      <c r="G32" s="897"/>
      <c r="H32" s="922"/>
      <c r="I32" s="897"/>
      <c r="J32" s="922"/>
      <c r="K32" s="897"/>
      <c r="L32" s="922"/>
      <c r="M32" s="897"/>
      <c r="N32" s="922"/>
      <c r="O32" s="897"/>
      <c r="P32" s="922"/>
      <c r="Q32" s="897"/>
      <c r="R32" s="922"/>
      <c r="S32" s="897"/>
      <c r="T32" s="922"/>
      <c r="U32" s="897"/>
      <c r="V32" s="922"/>
      <c r="W32" s="897"/>
      <c r="X32" s="922"/>
      <c r="Y32" s="897"/>
      <c r="Z32" s="922"/>
      <c r="AA32" s="897"/>
      <c r="AB32" s="922"/>
      <c r="AC32" s="897"/>
      <c r="AD32" s="922"/>
      <c r="AE32" s="902"/>
      <c r="AF32" s="922"/>
    </row>
    <row r="33" spans="1:32">
      <c r="A33" s="891"/>
      <c r="B33" s="891"/>
      <c r="C33" s="891"/>
      <c r="D33" s="891"/>
      <c r="E33" s="891"/>
      <c r="F33" s="891"/>
      <c r="G33" s="891"/>
      <c r="H33" s="891"/>
      <c r="I33" s="891"/>
      <c r="J33" s="891"/>
      <c r="K33" s="891"/>
      <c r="L33" s="891"/>
      <c r="M33" s="891"/>
      <c r="N33" s="891"/>
      <c r="O33" s="891"/>
      <c r="P33" s="891"/>
      <c r="Q33" s="891"/>
      <c r="R33" s="891"/>
      <c r="S33" s="891"/>
      <c r="T33" s="891"/>
      <c r="U33" s="891"/>
      <c r="V33" s="891"/>
      <c r="W33" s="891"/>
      <c r="X33" s="891"/>
      <c r="Y33" s="891"/>
      <c r="Z33" s="891"/>
      <c r="AA33" s="891"/>
      <c r="AB33" s="891"/>
      <c r="AC33" s="891"/>
      <c r="AD33" s="891"/>
      <c r="AE33" s="891"/>
      <c r="AF33" s="891"/>
    </row>
    <row r="34" spans="1:32">
      <c r="A34" s="923">
        <f>A32+0.01</f>
        <v>8.01</v>
      </c>
      <c r="B34" s="892"/>
      <c r="C34" s="919"/>
      <c r="D34" s="919"/>
      <c r="E34" s="892"/>
      <c r="F34" s="914"/>
      <c r="G34" s="892"/>
      <c r="H34" s="914"/>
      <c r="I34" s="892"/>
      <c r="J34" s="914"/>
      <c r="K34" s="892"/>
      <c r="L34" s="914"/>
      <c r="M34" s="892"/>
      <c r="N34" s="914"/>
      <c r="O34" s="892"/>
      <c r="P34" s="914"/>
      <c r="Q34" s="892"/>
      <c r="R34" s="914"/>
      <c r="S34" s="892"/>
      <c r="T34" s="914"/>
      <c r="U34" s="892"/>
      <c r="V34" s="914"/>
      <c r="W34" s="892"/>
      <c r="X34" s="914"/>
      <c r="Y34" s="892"/>
      <c r="Z34" s="914"/>
      <c r="AA34" s="892"/>
      <c r="AB34" s="914"/>
      <c r="AC34" s="892"/>
      <c r="AD34" s="914"/>
      <c r="AE34" s="892"/>
      <c r="AF34" s="911">
        <f>SUM(F34:AD34)/13</f>
        <v>0</v>
      </c>
    </row>
    <row r="35" spans="1:32">
      <c r="A35" s="923">
        <f>A34+0.01</f>
        <v>8.02</v>
      </c>
      <c r="B35" s="892"/>
      <c r="C35" s="919"/>
      <c r="D35" s="919"/>
      <c r="E35" s="892"/>
      <c r="F35" s="914"/>
      <c r="G35" s="892"/>
      <c r="H35" s="914"/>
      <c r="I35" s="892"/>
      <c r="J35" s="914"/>
      <c r="K35" s="892"/>
      <c r="L35" s="914"/>
      <c r="M35" s="892"/>
      <c r="N35" s="914"/>
      <c r="O35" s="892"/>
      <c r="P35" s="914"/>
      <c r="Q35" s="892"/>
      <c r="R35" s="914"/>
      <c r="S35" s="892"/>
      <c r="T35" s="914"/>
      <c r="U35" s="892"/>
      <c r="V35" s="914"/>
      <c r="W35" s="892"/>
      <c r="X35" s="914"/>
      <c r="Y35" s="892"/>
      <c r="Z35" s="914"/>
      <c r="AA35" s="892"/>
      <c r="AB35" s="914"/>
      <c r="AC35" s="892"/>
      <c r="AD35" s="914"/>
      <c r="AE35" s="892"/>
      <c r="AF35" s="911">
        <f>SUM(F35:AD35)/13</f>
        <v>0</v>
      </c>
    </row>
    <row r="36" spans="1:32">
      <c r="A36" s="891">
        <f>A32+1</f>
        <v>9</v>
      </c>
      <c r="B36" s="892"/>
      <c r="C36" s="919" t="str">
        <f ca="1">"Sum of Lines "&amp;A34&amp;" through "&amp;OFFSET(A36,-1,0)</f>
        <v>Sum of Lines 8.01 through 8.02</v>
      </c>
      <c r="D36" s="920"/>
      <c r="E36" s="892"/>
      <c r="F36" s="915">
        <f>SUM(F34:F35)</f>
        <v>0</v>
      </c>
      <c r="G36" s="892"/>
      <c r="H36" s="915">
        <f>SUM(H34:H35)</f>
        <v>0</v>
      </c>
      <c r="I36" s="892"/>
      <c r="J36" s="915">
        <f>SUM(J34:J35)</f>
        <v>0</v>
      </c>
      <c r="K36" s="892"/>
      <c r="L36" s="915">
        <f>SUM(L34:L35)</f>
        <v>0</v>
      </c>
      <c r="M36" s="892"/>
      <c r="N36" s="915">
        <f>SUM(N34:N35)</f>
        <v>0</v>
      </c>
      <c r="O36" s="892"/>
      <c r="P36" s="915">
        <f>SUM(P34:P35)</f>
        <v>0</v>
      </c>
      <c r="Q36" s="892"/>
      <c r="R36" s="915">
        <f>SUM(R34:R35)</f>
        <v>0</v>
      </c>
      <c r="S36" s="892"/>
      <c r="T36" s="915">
        <f>SUM(T34:T35)</f>
        <v>0</v>
      </c>
      <c r="U36" s="892"/>
      <c r="V36" s="915">
        <f>SUM(V34:V35)</f>
        <v>0</v>
      </c>
      <c r="W36" s="892"/>
      <c r="X36" s="915">
        <f>SUM(X34:X35)</f>
        <v>0</v>
      </c>
      <c r="Y36" s="892"/>
      <c r="Z36" s="915">
        <f>SUM(Z34:Z35)</f>
        <v>0</v>
      </c>
      <c r="AA36" s="892"/>
      <c r="AB36" s="915">
        <f>SUM(AB34:AB35)</f>
        <v>0</v>
      </c>
      <c r="AC36" s="892"/>
      <c r="AD36" s="915">
        <f>SUM(AD34:AD35)</f>
        <v>0</v>
      </c>
      <c r="AE36" s="892"/>
      <c r="AF36" s="915">
        <f>SUM(AF34:AF35)</f>
        <v>0</v>
      </c>
    </row>
    <row r="37" spans="1:32">
      <c r="A37" s="891"/>
      <c r="B37" s="891"/>
      <c r="C37" s="892"/>
      <c r="D37" s="892"/>
      <c r="E37" s="892"/>
      <c r="F37" s="911"/>
      <c r="G37" s="892"/>
      <c r="H37" s="911"/>
      <c r="I37" s="892"/>
      <c r="J37" s="911"/>
      <c r="K37" s="892"/>
      <c r="L37" s="911"/>
      <c r="M37" s="892"/>
      <c r="N37" s="911"/>
      <c r="O37" s="892"/>
      <c r="P37" s="911"/>
      <c r="Q37" s="892"/>
      <c r="R37" s="911"/>
      <c r="S37" s="892"/>
      <c r="T37" s="911"/>
      <c r="U37" s="892"/>
      <c r="V37" s="911"/>
      <c r="W37" s="892"/>
      <c r="X37" s="911"/>
      <c r="Y37" s="892"/>
      <c r="Z37" s="911"/>
      <c r="AA37" s="892"/>
      <c r="AB37" s="911"/>
      <c r="AC37" s="892"/>
      <c r="AD37" s="891"/>
      <c r="AE37" s="892"/>
      <c r="AF37" s="891"/>
    </row>
    <row r="38" spans="1:32">
      <c r="A38" s="908">
        <f>A36+1</f>
        <v>10</v>
      </c>
      <c r="B38" s="897"/>
      <c r="C38" s="910" t="s">
        <v>1063</v>
      </c>
      <c r="D38" s="910"/>
      <c r="E38" s="897"/>
      <c r="F38" s="922"/>
      <c r="G38" s="897"/>
      <c r="H38" s="922"/>
      <c r="I38" s="897"/>
      <c r="J38" s="922"/>
      <c r="K38" s="897"/>
      <c r="L38" s="922"/>
      <c r="M38" s="897"/>
      <c r="N38" s="922"/>
      <c r="O38" s="897"/>
      <c r="P38" s="922"/>
      <c r="Q38" s="897"/>
      <c r="R38" s="922"/>
      <c r="S38" s="897"/>
      <c r="T38" s="922"/>
      <c r="U38" s="897"/>
      <c r="V38" s="922"/>
      <c r="W38" s="897"/>
      <c r="X38" s="922"/>
      <c r="Y38" s="897"/>
      <c r="Z38" s="922"/>
      <c r="AA38" s="897"/>
      <c r="AB38" s="922"/>
      <c r="AC38" s="897"/>
      <c r="AD38" s="922"/>
      <c r="AE38" s="902"/>
      <c r="AF38" s="922"/>
    </row>
    <row r="39" spans="1:32">
      <c r="A39" s="891"/>
      <c r="B39" s="891"/>
      <c r="C39" s="891"/>
      <c r="D39" s="891"/>
      <c r="E39" s="891"/>
      <c r="F39" s="891"/>
      <c r="G39" s="891"/>
      <c r="H39" s="891"/>
      <c r="I39" s="891"/>
      <c r="J39" s="891"/>
      <c r="K39" s="891"/>
      <c r="L39" s="891"/>
      <c r="M39" s="891"/>
      <c r="N39" s="891"/>
      <c r="O39" s="891"/>
      <c r="P39" s="891"/>
      <c r="Q39" s="891"/>
      <c r="R39" s="891"/>
      <c r="S39" s="891"/>
      <c r="T39" s="891"/>
      <c r="U39" s="891"/>
      <c r="V39" s="891"/>
      <c r="W39" s="891"/>
      <c r="X39" s="891"/>
      <c r="Y39" s="891"/>
      <c r="Z39" s="891"/>
      <c r="AA39" s="891"/>
      <c r="AB39" s="891"/>
      <c r="AC39" s="891"/>
      <c r="AD39" s="891"/>
      <c r="AE39" s="891"/>
      <c r="AF39" s="891"/>
    </row>
    <row r="40" spans="1:32">
      <c r="A40" s="923">
        <f>A38+0.01</f>
        <v>10.01</v>
      </c>
      <c r="B40" s="892"/>
      <c r="C40" s="919"/>
      <c r="D40" s="919"/>
      <c r="E40" s="892"/>
      <c r="F40" s="914"/>
      <c r="G40" s="892"/>
      <c r="H40" s="914"/>
      <c r="I40" s="892"/>
      <c r="J40" s="914"/>
      <c r="K40" s="892"/>
      <c r="L40" s="914"/>
      <c r="M40" s="892"/>
      <c r="N40" s="914"/>
      <c r="O40" s="892"/>
      <c r="P40" s="914"/>
      <c r="Q40" s="892"/>
      <c r="R40" s="914"/>
      <c r="S40" s="892"/>
      <c r="T40" s="914"/>
      <c r="U40" s="892"/>
      <c r="V40" s="914"/>
      <c r="W40" s="892"/>
      <c r="X40" s="914"/>
      <c r="Y40" s="892"/>
      <c r="Z40" s="914"/>
      <c r="AA40" s="892"/>
      <c r="AB40" s="914"/>
      <c r="AC40" s="892"/>
      <c r="AD40" s="914"/>
      <c r="AE40" s="892"/>
      <c r="AF40" s="911">
        <f>SUM(F40:AD40)/13</f>
        <v>0</v>
      </c>
    </row>
    <row r="41" spans="1:32">
      <c r="A41" s="923">
        <f>A40+0.01</f>
        <v>10.02</v>
      </c>
      <c r="B41" s="892"/>
      <c r="C41" s="919"/>
      <c r="D41" s="919"/>
      <c r="E41" s="892"/>
      <c r="F41" s="914"/>
      <c r="G41" s="892"/>
      <c r="H41" s="914"/>
      <c r="I41" s="892"/>
      <c r="J41" s="914"/>
      <c r="K41" s="892"/>
      <c r="L41" s="914"/>
      <c r="M41" s="892"/>
      <c r="N41" s="914"/>
      <c r="O41" s="892"/>
      <c r="P41" s="914"/>
      <c r="Q41" s="892"/>
      <c r="R41" s="914"/>
      <c r="S41" s="892"/>
      <c r="T41" s="914"/>
      <c r="U41" s="892"/>
      <c r="V41" s="914"/>
      <c r="W41" s="892"/>
      <c r="X41" s="914"/>
      <c r="Y41" s="892"/>
      <c r="Z41" s="914"/>
      <c r="AA41" s="892"/>
      <c r="AB41" s="914"/>
      <c r="AC41" s="892"/>
      <c r="AD41" s="914"/>
      <c r="AE41" s="892"/>
      <c r="AF41" s="911">
        <f>SUM(F41:AD41)/13</f>
        <v>0</v>
      </c>
    </row>
    <row r="42" spans="1:32">
      <c r="A42" s="891">
        <f>A38+1</f>
        <v>11</v>
      </c>
      <c r="B42" s="892"/>
      <c r="C42" s="919" t="str">
        <f ca="1">"Sum of Lines "&amp;A40&amp;" through "&amp;OFFSET(A42,-1,0)</f>
        <v>Sum of Lines 10.01 through 10.02</v>
      </c>
      <c r="D42" s="920"/>
      <c r="E42" s="892"/>
      <c r="F42" s="915">
        <f>SUM(F40:F41)</f>
        <v>0</v>
      </c>
      <c r="G42" s="892"/>
      <c r="H42" s="915">
        <f>SUM(H40:H41)</f>
        <v>0</v>
      </c>
      <c r="I42" s="892"/>
      <c r="J42" s="915">
        <f>SUM(J40:J41)</f>
        <v>0</v>
      </c>
      <c r="K42" s="892"/>
      <c r="L42" s="915">
        <f>SUM(L40:L41)</f>
        <v>0</v>
      </c>
      <c r="M42" s="892"/>
      <c r="N42" s="915">
        <f>SUM(N40:N41)</f>
        <v>0</v>
      </c>
      <c r="O42" s="892"/>
      <c r="P42" s="915">
        <f>SUM(P40:P41)</f>
        <v>0</v>
      </c>
      <c r="Q42" s="892"/>
      <c r="R42" s="915">
        <f>SUM(R40:R41)</f>
        <v>0</v>
      </c>
      <c r="S42" s="892"/>
      <c r="T42" s="915">
        <f>SUM(T40:T41)</f>
        <v>0</v>
      </c>
      <c r="U42" s="892"/>
      <c r="V42" s="915">
        <f>SUM(V40:V41)</f>
        <v>0</v>
      </c>
      <c r="W42" s="892"/>
      <c r="X42" s="915">
        <f>SUM(X40:X41)</f>
        <v>0</v>
      </c>
      <c r="Y42" s="892"/>
      <c r="Z42" s="915">
        <f>SUM(Z40:Z41)</f>
        <v>0</v>
      </c>
      <c r="AA42" s="892"/>
      <c r="AB42" s="915">
        <f>SUM(AB40:AB41)</f>
        <v>0</v>
      </c>
      <c r="AC42" s="892"/>
      <c r="AD42" s="915">
        <f>SUM(AD40:AD41)</f>
        <v>0</v>
      </c>
      <c r="AE42" s="892"/>
      <c r="AF42" s="915">
        <f>SUM(AF40:AF41)</f>
        <v>0</v>
      </c>
    </row>
    <row r="43" spans="1:32">
      <c r="A43" s="891"/>
      <c r="B43" s="891"/>
      <c r="C43" s="892"/>
      <c r="D43" s="892"/>
      <c r="E43" s="892"/>
      <c r="F43" s="911"/>
      <c r="G43" s="892"/>
      <c r="H43" s="911"/>
      <c r="I43" s="892"/>
      <c r="J43" s="911"/>
      <c r="K43" s="892"/>
      <c r="L43" s="911"/>
      <c r="M43" s="892"/>
      <c r="N43" s="911"/>
      <c r="O43" s="892"/>
      <c r="P43" s="911"/>
      <c r="Q43" s="892"/>
      <c r="R43" s="911"/>
      <c r="S43" s="892"/>
      <c r="T43" s="911"/>
      <c r="U43" s="892"/>
      <c r="V43" s="911"/>
      <c r="W43" s="892"/>
      <c r="X43" s="911"/>
      <c r="Y43" s="892"/>
      <c r="Z43" s="911"/>
      <c r="AA43" s="892"/>
      <c r="AB43" s="911"/>
      <c r="AC43" s="892"/>
      <c r="AD43" s="891"/>
      <c r="AE43" s="892"/>
      <c r="AF43" s="891"/>
    </row>
    <row r="44" spans="1:32">
      <c r="A44" s="908">
        <f>A42+1</f>
        <v>12</v>
      </c>
      <c r="B44" s="897"/>
      <c r="C44" s="910" t="s">
        <v>1064</v>
      </c>
      <c r="D44" s="910"/>
      <c r="E44" s="897"/>
      <c r="F44" s="922"/>
      <c r="G44" s="897"/>
      <c r="H44" s="922"/>
      <c r="I44" s="897"/>
      <c r="J44" s="922"/>
      <c r="K44" s="897"/>
      <c r="L44" s="922"/>
      <c r="M44" s="897"/>
      <c r="N44" s="922"/>
      <c r="O44" s="897"/>
      <c r="P44" s="922"/>
      <c r="Q44" s="897"/>
      <c r="R44" s="922"/>
      <c r="S44" s="897"/>
      <c r="T44" s="922"/>
      <c r="U44" s="897"/>
      <c r="V44" s="922"/>
      <c r="W44" s="897"/>
      <c r="X44" s="922"/>
      <c r="Y44" s="897"/>
      <c r="Z44" s="922"/>
      <c r="AA44" s="897"/>
      <c r="AB44" s="922"/>
      <c r="AC44" s="897"/>
      <c r="AD44" s="922"/>
      <c r="AE44" s="902"/>
      <c r="AF44" s="922"/>
    </row>
    <row r="45" spans="1:32">
      <c r="A45" s="891"/>
      <c r="B45" s="891"/>
      <c r="C45" s="891"/>
      <c r="D45" s="891"/>
      <c r="E45" s="891"/>
      <c r="F45" s="891"/>
      <c r="G45" s="891"/>
      <c r="H45" s="891"/>
      <c r="I45" s="891"/>
      <c r="J45" s="891"/>
      <c r="K45" s="891"/>
      <c r="L45" s="891"/>
      <c r="M45" s="891"/>
      <c r="N45" s="891"/>
      <c r="O45" s="891"/>
      <c r="P45" s="891"/>
      <c r="Q45" s="891"/>
      <c r="R45" s="891"/>
      <c r="S45" s="891"/>
      <c r="T45" s="891"/>
      <c r="U45" s="891"/>
      <c r="V45" s="891"/>
      <c r="W45" s="891"/>
      <c r="X45" s="891"/>
      <c r="Y45" s="891"/>
      <c r="Z45" s="891"/>
      <c r="AA45" s="891"/>
      <c r="AB45" s="891"/>
      <c r="AC45" s="891"/>
      <c r="AD45" s="891"/>
      <c r="AE45" s="891"/>
      <c r="AF45" s="891"/>
    </row>
    <row r="46" spans="1:32">
      <c r="A46" s="923">
        <f>A44+0.01</f>
        <v>12.01</v>
      </c>
      <c r="B46" s="892"/>
      <c r="C46" s="919"/>
      <c r="D46" s="919"/>
      <c r="E46" s="892"/>
      <c r="F46" s="914"/>
      <c r="G46" s="892"/>
      <c r="H46" s="914"/>
      <c r="I46" s="892"/>
      <c r="J46" s="914"/>
      <c r="K46" s="892"/>
      <c r="L46" s="914"/>
      <c r="M46" s="892"/>
      <c r="N46" s="914"/>
      <c r="O46" s="892"/>
      <c r="P46" s="914"/>
      <c r="Q46" s="892"/>
      <c r="R46" s="914"/>
      <c r="S46" s="892"/>
      <c r="T46" s="914"/>
      <c r="U46" s="892"/>
      <c r="V46" s="914"/>
      <c r="W46" s="892"/>
      <c r="X46" s="914"/>
      <c r="Y46" s="892"/>
      <c r="Z46" s="914"/>
      <c r="AA46" s="892"/>
      <c r="AB46" s="914"/>
      <c r="AC46" s="892"/>
      <c r="AD46" s="914"/>
      <c r="AE46" s="892"/>
      <c r="AF46" s="911">
        <f>SUM(F46:AD46)/13</f>
        <v>0</v>
      </c>
    </row>
    <row r="47" spans="1:32">
      <c r="A47" s="923">
        <f>A46+0.01</f>
        <v>12.02</v>
      </c>
      <c r="B47" s="892"/>
      <c r="C47" s="919"/>
      <c r="D47" s="919"/>
      <c r="E47" s="892"/>
      <c r="F47" s="914"/>
      <c r="G47" s="892"/>
      <c r="H47" s="914"/>
      <c r="I47" s="892"/>
      <c r="J47" s="914"/>
      <c r="K47" s="892"/>
      <c r="L47" s="914"/>
      <c r="M47" s="892"/>
      <c r="N47" s="914"/>
      <c r="O47" s="892"/>
      <c r="P47" s="914"/>
      <c r="Q47" s="892"/>
      <c r="R47" s="914"/>
      <c r="S47" s="892"/>
      <c r="T47" s="914"/>
      <c r="U47" s="892"/>
      <c r="V47" s="914"/>
      <c r="W47" s="892"/>
      <c r="X47" s="914"/>
      <c r="Y47" s="892"/>
      <c r="Z47" s="914"/>
      <c r="AA47" s="892"/>
      <c r="AB47" s="914"/>
      <c r="AC47" s="892"/>
      <c r="AD47" s="914"/>
      <c r="AE47" s="892"/>
      <c r="AF47" s="911">
        <f>SUM(F47:AD47)/13</f>
        <v>0</v>
      </c>
    </row>
    <row r="48" spans="1:32">
      <c r="A48" s="891">
        <f>A44+1</f>
        <v>13</v>
      </c>
      <c r="B48" s="892"/>
      <c r="C48" s="919" t="str">
        <f ca="1">"Sum of Lines "&amp;A46&amp;" through "&amp;OFFSET(A48,-1,0)</f>
        <v>Sum of Lines 12.01 through 12.02</v>
      </c>
      <c r="D48" s="920"/>
      <c r="E48" s="892"/>
      <c r="F48" s="915">
        <f>SUM(F46:F47)</f>
        <v>0</v>
      </c>
      <c r="G48" s="892"/>
      <c r="H48" s="915">
        <f>SUM(H46:H47)</f>
        <v>0</v>
      </c>
      <c r="I48" s="892"/>
      <c r="J48" s="915">
        <f>SUM(J46:J47)</f>
        <v>0</v>
      </c>
      <c r="K48" s="892"/>
      <c r="L48" s="915">
        <f>SUM(L46:L47)</f>
        <v>0</v>
      </c>
      <c r="M48" s="892"/>
      <c r="N48" s="915">
        <f>SUM(N46:N47)</f>
        <v>0</v>
      </c>
      <c r="O48" s="892"/>
      <c r="P48" s="915">
        <f>SUM(P46:P47)</f>
        <v>0</v>
      </c>
      <c r="Q48" s="892"/>
      <c r="R48" s="915">
        <f>SUM(R46:R47)</f>
        <v>0</v>
      </c>
      <c r="S48" s="892"/>
      <c r="T48" s="915">
        <f>SUM(T46:T47)</f>
        <v>0</v>
      </c>
      <c r="U48" s="892"/>
      <c r="V48" s="915">
        <f>SUM(V46:V47)</f>
        <v>0</v>
      </c>
      <c r="W48" s="892"/>
      <c r="X48" s="915">
        <f>SUM(X46:X47)</f>
        <v>0</v>
      </c>
      <c r="Y48" s="892"/>
      <c r="Z48" s="915">
        <f>SUM(Z46:Z47)</f>
        <v>0</v>
      </c>
      <c r="AA48" s="892"/>
      <c r="AB48" s="915">
        <f>SUM(AB46:AB47)</f>
        <v>0</v>
      </c>
      <c r="AC48" s="892"/>
      <c r="AD48" s="915">
        <f>SUM(AD46:AD47)</f>
        <v>0</v>
      </c>
      <c r="AE48" s="892"/>
      <c r="AF48" s="915">
        <f>SUM(AF46:AF47)</f>
        <v>0</v>
      </c>
    </row>
    <row r="49" spans="1:32">
      <c r="A49" s="891"/>
      <c r="B49" s="891"/>
      <c r="C49" s="892"/>
      <c r="D49" s="892"/>
      <c r="E49" s="892"/>
      <c r="F49" s="911"/>
      <c r="G49" s="892"/>
      <c r="H49" s="911"/>
      <c r="I49" s="892"/>
      <c r="J49" s="911"/>
      <c r="K49" s="892"/>
      <c r="L49" s="911"/>
      <c r="M49" s="892"/>
      <c r="N49" s="911"/>
      <c r="O49" s="892"/>
      <c r="P49" s="911"/>
      <c r="Q49" s="892"/>
      <c r="R49" s="911"/>
      <c r="S49" s="892"/>
      <c r="T49" s="911"/>
      <c r="U49" s="892"/>
      <c r="V49" s="911"/>
      <c r="W49" s="892"/>
      <c r="X49" s="911"/>
      <c r="Y49" s="892"/>
      <c r="Z49" s="911"/>
      <c r="AA49" s="892"/>
      <c r="AB49" s="911"/>
      <c r="AC49" s="892"/>
      <c r="AD49" s="891"/>
      <c r="AE49" s="892"/>
      <c r="AF49" s="891"/>
    </row>
    <row r="50" spans="1:32">
      <c r="A50" s="908">
        <f>A48+1</f>
        <v>14</v>
      </c>
      <c r="B50" s="897"/>
      <c r="C50" s="910" t="s">
        <v>1065</v>
      </c>
      <c r="D50" s="910"/>
      <c r="E50" s="897"/>
      <c r="F50" s="922"/>
      <c r="G50" s="897"/>
      <c r="H50" s="922"/>
      <c r="I50" s="897"/>
      <c r="J50" s="922"/>
      <c r="K50" s="897"/>
      <c r="L50" s="922"/>
      <c r="M50" s="897"/>
      <c r="N50" s="922"/>
      <c r="O50" s="897"/>
      <c r="P50" s="922"/>
      <c r="Q50" s="897"/>
      <c r="R50" s="922"/>
      <c r="S50" s="897"/>
      <c r="T50" s="922"/>
      <c r="U50" s="897"/>
      <c r="V50" s="922"/>
      <c r="W50" s="897"/>
      <c r="X50" s="922"/>
      <c r="Y50" s="897"/>
      <c r="Z50" s="922"/>
      <c r="AA50" s="897"/>
      <c r="AB50" s="922"/>
      <c r="AC50" s="897"/>
      <c r="AD50" s="922"/>
      <c r="AE50" s="902"/>
      <c r="AF50" s="922"/>
    </row>
    <row r="51" spans="1:32">
      <c r="A51" s="891"/>
      <c r="B51" s="891"/>
      <c r="C51" s="891"/>
      <c r="D51" s="891"/>
      <c r="E51" s="891"/>
      <c r="F51" s="891"/>
      <c r="G51" s="891"/>
      <c r="H51" s="891"/>
      <c r="I51" s="891"/>
      <c r="J51" s="891"/>
      <c r="K51" s="891"/>
      <c r="L51" s="891"/>
      <c r="M51" s="891"/>
      <c r="N51" s="891"/>
      <c r="O51" s="891"/>
      <c r="P51" s="891"/>
      <c r="Q51" s="891"/>
      <c r="R51" s="891"/>
      <c r="S51" s="891"/>
      <c r="T51" s="891"/>
      <c r="U51" s="891"/>
      <c r="V51" s="891"/>
      <c r="W51" s="891"/>
      <c r="X51" s="891"/>
      <c r="Y51" s="891"/>
      <c r="Z51" s="891"/>
      <c r="AA51" s="891"/>
      <c r="AB51" s="891"/>
      <c r="AC51" s="891"/>
      <c r="AD51" s="891"/>
      <c r="AE51" s="891"/>
      <c r="AF51" s="891"/>
    </row>
    <row r="52" spans="1:32">
      <c r="A52" s="923">
        <f>A50+0.01</f>
        <v>14.01</v>
      </c>
      <c r="B52" s="892"/>
      <c r="C52" s="919"/>
      <c r="D52" s="919"/>
      <c r="E52" s="892"/>
      <c r="F52" s="914">
        <v>0</v>
      </c>
      <c r="G52" s="892"/>
      <c r="H52" s="914">
        <v>0</v>
      </c>
      <c r="I52" s="892"/>
      <c r="J52" s="914">
        <v>0</v>
      </c>
      <c r="K52" s="892"/>
      <c r="L52" s="914">
        <v>0</v>
      </c>
      <c r="M52" s="892"/>
      <c r="N52" s="914">
        <v>0</v>
      </c>
      <c r="O52" s="892"/>
      <c r="P52" s="914">
        <v>0</v>
      </c>
      <c r="Q52" s="892"/>
      <c r="R52" s="914">
        <v>0</v>
      </c>
      <c r="S52" s="892"/>
      <c r="T52" s="914">
        <v>0</v>
      </c>
      <c r="U52" s="892"/>
      <c r="V52" s="914">
        <v>0</v>
      </c>
      <c r="W52" s="892"/>
      <c r="X52" s="914">
        <v>0</v>
      </c>
      <c r="Y52" s="892"/>
      <c r="Z52" s="914">
        <v>0</v>
      </c>
      <c r="AA52" s="892"/>
      <c r="AB52" s="914">
        <v>0</v>
      </c>
      <c r="AC52" s="892"/>
      <c r="AD52" s="914">
        <v>0</v>
      </c>
      <c r="AE52" s="892"/>
      <c r="AF52" s="911">
        <f>SUM(F52:AD52)/13</f>
        <v>0</v>
      </c>
    </row>
    <row r="53" spans="1:32">
      <c r="A53" s="923">
        <f>A52+0.01</f>
        <v>14.02</v>
      </c>
      <c r="B53" s="892"/>
      <c r="C53" s="919"/>
      <c r="D53" s="919"/>
      <c r="E53" s="892"/>
      <c r="F53" s="914"/>
      <c r="G53" s="892"/>
      <c r="H53" s="914"/>
      <c r="I53" s="892"/>
      <c r="J53" s="914"/>
      <c r="K53" s="892"/>
      <c r="L53" s="914"/>
      <c r="M53" s="892"/>
      <c r="N53" s="914"/>
      <c r="O53" s="892"/>
      <c r="P53" s="914"/>
      <c r="Q53" s="892"/>
      <c r="R53" s="914"/>
      <c r="S53" s="892"/>
      <c r="T53" s="914"/>
      <c r="U53" s="892"/>
      <c r="V53" s="914"/>
      <c r="W53" s="892"/>
      <c r="X53" s="914"/>
      <c r="Y53" s="892"/>
      <c r="Z53" s="914"/>
      <c r="AA53" s="892"/>
      <c r="AB53" s="914"/>
      <c r="AC53" s="892"/>
      <c r="AD53" s="914"/>
      <c r="AE53" s="892"/>
      <c r="AF53" s="911">
        <f>SUM(F53:AD53)/13</f>
        <v>0</v>
      </c>
    </row>
    <row r="54" spans="1:32">
      <c r="A54" s="891">
        <f>A50+1</f>
        <v>15</v>
      </c>
      <c r="B54" s="892"/>
      <c r="C54" s="919" t="str">
        <f ca="1">"Sum of Lines "&amp;A52&amp;" through "&amp;OFFSET(A54,-1,0)</f>
        <v>Sum of Lines 14.01 through 14.02</v>
      </c>
      <c r="D54" s="920"/>
      <c r="E54" s="892"/>
      <c r="F54" s="915">
        <f>SUM(F52:F53)</f>
        <v>0</v>
      </c>
      <c r="G54" s="892"/>
      <c r="H54" s="915">
        <f>SUM(H52:H53)</f>
        <v>0</v>
      </c>
      <c r="I54" s="892"/>
      <c r="J54" s="915">
        <f>SUM(J52:J53)</f>
        <v>0</v>
      </c>
      <c r="K54" s="892"/>
      <c r="L54" s="915">
        <f>SUM(L52:L53)</f>
        <v>0</v>
      </c>
      <c r="M54" s="892"/>
      <c r="N54" s="915">
        <f>SUM(N52:N53)</f>
        <v>0</v>
      </c>
      <c r="O54" s="892"/>
      <c r="P54" s="915">
        <f>SUM(P52:P53)</f>
        <v>0</v>
      </c>
      <c r="Q54" s="892"/>
      <c r="R54" s="915">
        <f>SUM(R52:R53)</f>
        <v>0</v>
      </c>
      <c r="S54" s="892"/>
      <c r="T54" s="915">
        <f>SUM(T52:T53)</f>
        <v>0</v>
      </c>
      <c r="U54" s="892"/>
      <c r="V54" s="915">
        <f>SUM(V52:V53)</f>
        <v>0</v>
      </c>
      <c r="W54" s="892"/>
      <c r="X54" s="915">
        <f>SUM(X52:X53)</f>
        <v>0</v>
      </c>
      <c r="Y54" s="892"/>
      <c r="Z54" s="915">
        <f>SUM(Z52:Z53)</f>
        <v>0</v>
      </c>
      <c r="AA54" s="892"/>
      <c r="AB54" s="915">
        <f>SUM(AB52:AB53)</f>
        <v>0</v>
      </c>
      <c r="AC54" s="892"/>
      <c r="AD54" s="915">
        <f>SUM(AD52:AD53)</f>
        <v>0</v>
      </c>
      <c r="AE54" s="892"/>
      <c r="AF54" s="915">
        <f>SUM(AF52:AF53)</f>
        <v>0</v>
      </c>
    </row>
    <row r="55" spans="1:32">
      <c r="A55" s="891"/>
      <c r="B55" s="891"/>
      <c r="C55" s="892"/>
      <c r="D55" s="892"/>
      <c r="E55" s="892"/>
      <c r="F55" s="911"/>
      <c r="G55" s="892"/>
      <c r="H55" s="911"/>
      <c r="I55" s="892"/>
      <c r="J55" s="911"/>
      <c r="K55" s="892"/>
      <c r="L55" s="911"/>
      <c r="M55" s="892"/>
      <c r="N55" s="911"/>
      <c r="O55" s="892"/>
      <c r="P55" s="911"/>
      <c r="Q55" s="892"/>
      <c r="R55" s="911"/>
      <c r="S55" s="892"/>
      <c r="T55" s="911"/>
      <c r="U55" s="892"/>
      <c r="V55" s="911"/>
      <c r="W55" s="892"/>
      <c r="X55" s="911"/>
      <c r="Y55" s="892"/>
      <c r="Z55" s="911"/>
      <c r="AA55" s="892"/>
      <c r="AB55" s="911"/>
      <c r="AC55" s="892"/>
      <c r="AD55" s="891"/>
      <c r="AE55" s="892"/>
      <c r="AF55" s="891"/>
    </row>
    <row r="56" spans="1:32">
      <c r="A56" s="908">
        <f>A54+1</f>
        <v>16</v>
      </c>
      <c r="B56" s="897"/>
      <c r="C56" s="910" t="s">
        <v>1066</v>
      </c>
      <c r="D56" s="910"/>
      <c r="E56" s="897"/>
      <c r="F56" s="922"/>
      <c r="G56" s="897"/>
      <c r="H56" s="922"/>
      <c r="I56" s="897"/>
      <c r="J56" s="922"/>
      <c r="K56" s="897"/>
      <c r="L56" s="922"/>
      <c r="M56" s="897"/>
      <c r="N56" s="922"/>
      <c r="O56" s="897"/>
      <c r="P56" s="922"/>
      <c r="Q56" s="897"/>
      <c r="R56" s="922"/>
      <c r="S56" s="897"/>
      <c r="T56" s="922"/>
      <c r="U56" s="897"/>
      <c r="V56" s="922"/>
      <c r="W56" s="897"/>
      <c r="X56" s="922"/>
      <c r="Y56" s="897"/>
      <c r="Z56" s="922"/>
      <c r="AA56" s="897"/>
      <c r="AB56" s="922"/>
      <c r="AC56" s="897"/>
      <c r="AD56" s="922"/>
      <c r="AE56" s="902"/>
      <c r="AF56" s="922"/>
    </row>
    <row r="57" spans="1:32">
      <c r="A57" s="891"/>
      <c r="B57" s="891"/>
      <c r="C57" s="891"/>
      <c r="D57" s="891"/>
      <c r="E57" s="891"/>
      <c r="F57" s="891"/>
      <c r="G57" s="891"/>
      <c r="H57" s="891"/>
      <c r="I57" s="891"/>
      <c r="J57" s="891"/>
      <c r="K57" s="891"/>
      <c r="L57" s="891"/>
      <c r="M57" s="891"/>
      <c r="N57" s="891"/>
      <c r="O57" s="891"/>
      <c r="P57" s="891"/>
      <c r="Q57" s="891"/>
      <c r="R57" s="891"/>
      <c r="S57" s="891"/>
      <c r="T57" s="891"/>
      <c r="U57" s="891"/>
      <c r="V57" s="891"/>
      <c r="W57" s="891"/>
      <c r="X57" s="891"/>
      <c r="Y57" s="891"/>
      <c r="Z57" s="891"/>
      <c r="AA57" s="891"/>
      <c r="AB57" s="891"/>
      <c r="AC57" s="891"/>
      <c r="AD57" s="891"/>
      <c r="AE57" s="891"/>
      <c r="AF57" s="891"/>
    </row>
    <row r="58" spans="1:32">
      <c r="A58" s="923">
        <f>A56+0.01</f>
        <v>16.010000000000002</v>
      </c>
      <c r="B58" s="892"/>
      <c r="C58" s="919"/>
      <c r="D58" s="919"/>
      <c r="E58" s="892"/>
      <c r="F58" s="914"/>
      <c r="G58" s="892"/>
      <c r="H58" s="914"/>
      <c r="I58" s="892"/>
      <c r="J58" s="914"/>
      <c r="K58" s="892"/>
      <c r="L58" s="914"/>
      <c r="M58" s="892"/>
      <c r="N58" s="914"/>
      <c r="O58" s="892"/>
      <c r="P58" s="914"/>
      <c r="Q58" s="892"/>
      <c r="R58" s="914"/>
      <c r="S58" s="892"/>
      <c r="T58" s="914"/>
      <c r="U58" s="892"/>
      <c r="V58" s="914"/>
      <c r="W58" s="892"/>
      <c r="X58" s="914"/>
      <c r="Y58" s="892"/>
      <c r="Z58" s="914"/>
      <c r="AA58" s="892"/>
      <c r="AB58" s="914"/>
      <c r="AC58" s="892"/>
      <c r="AD58" s="914"/>
      <c r="AE58" s="892"/>
      <c r="AF58" s="911">
        <f>SUM(F58:AD58)/13</f>
        <v>0</v>
      </c>
    </row>
    <row r="59" spans="1:32">
      <c r="A59" s="923">
        <f>A58+0.01</f>
        <v>16.020000000000003</v>
      </c>
      <c r="B59" s="892"/>
      <c r="C59" s="919"/>
      <c r="D59" s="919"/>
      <c r="E59" s="892"/>
      <c r="F59" s="914"/>
      <c r="G59" s="892"/>
      <c r="H59" s="914"/>
      <c r="I59" s="892"/>
      <c r="J59" s="914"/>
      <c r="K59" s="892"/>
      <c r="L59" s="914"/>
      <c r="M59" s="892"/>
      <c r="N59" s="914"/>
      <c r="O59" s="892"/>
      <c r="P59" s="914"/>
      <c r="Q59" s="892"/>
      <c r="R59" s="914"/>
      <c r="S59" s="892"/>
      <c r="T59" s="914"/>
      <c r="U59" s="892"/>
      <c r="V59" s="914"/>
      <c r="W59" s="892"/>
      <c r="X59" s="914"/>
      <c r="Y59" s="892"/>
      <c r="Z59" s="914"/>
      <c r="AA59" s="892"/>
      <c r="AB59" s="914"/>
      <c r="AC59" s="892"/>
      <c r="AD59" s="914"/>
      <c r="AE59" s="892"/>
      <c r="AF59" s="911">
        <f>SUM(F59:AD59)/13</f>
        <v>0</v>
      </c>
    </row>
    <row r="60" spans="1:32">
      <c r="A60" s="891">
        <f>A56+1</f>
        <v>17</v>
      </c>
      <c r="B60" s="892"/>
      <c r="C60" s="919" t="str">
        <f ca="1">"Sum of Lines "&amp;A58&amp;" through "&amp;OFFSET(A60,-1,0)</f>
        <v>Sum of Lines 16.01 through 16.02</v>
      </c>
      <c r="D60" s="920"/>
      <c r="E60" s="892"/>
      <c r="F60" s="915">
        <f>SUM(F58:F59)</f>
        <v>0</v>
      </c>
      <c r="G60" s="892"/>
      <c r="H60" s="915">
        <f>SUM(H58:H59)</f>
        <v>0</v>
      </c>
      <c r="I60" s="892"/>
      <c r="J60" s="915">
        <f>SUM(J58:J59)</f>
        <v>0</v>
      </c>
      <c r="K60" s="892"/>
      <c r="L60" s="915">
        <f>SUM(L58:L59)</f>
        <v>0</v>
      </c>
      <c r="M60" s="892"/>
      <c r="N60" s="915">
        <f>SUM(N58:N59)</f>
        <v>0</v>
      </c>
      <c r="O60" s="892"/>
      <c r="P60" s="915">
        <f>SUM(P58:P59)</f>
        <v>0</v>
      </c>
      <c r="Q60" s="892"/>
      <c r="R60" s="915">
        <f>SUM(R58:R59)</f>
        <v>0</v>
      </c>
      <c r="S60" s="892"/>
      <c r="T60" s="915">
        <f>SUM(T58:T59)</f>
        <v>0</v>
      </c>
      <c r="U60" s="892"/>
      <c r="V60" s="915">
        <f>SUM(V58:V59)</f>
        <v>0</v>
      </c>
      <c r="W60" s="892"/>
      <c r="X60" s="915">
        <f>SUM(X58:X59)</f>
        <v>0</v>
      </c>
      <c r="Y60" s="892"/>
      <c r="Z60" s="915">
        <f>SUM(Z58:Z59)</f>
        <v>0</v>
      </c>
      <c r="AA60" s="892"/>
      <c r="AB60" s="915">
        <f>SUM(AB58:AB59)</f>
        <v>0</v>
      </c>
      <c r="AC60" s="892"/>
      <c r="AD60" s="915">
        <f>SUM(AD58:AD59)</f>
        <v>0</v>
      </c>
      <c r="AE60" s="892"/>
      <c r="AF60" s="915">
        <f>SUM(AF58:AF59)</f>
        <v>0</v>
      </c>
    </row>
    <row r="61" spans="1:32">
      <c r="A61" s="891"/>
      <c r="B61" s="892"/>
      <c r="C61" s="892"/>
      <c r="D61" s="892"/>
      <c r="E61" s="892"/>
      <c r="F61" s="925"/>
      <c r="G61" s="892"/>
      <c r="H61" s="911"/>
      <c r="I61" s="892"/>
      <c r="J61" s="911"/>
      <c r="K61" s="892"/>
      <c r="L61" s="911"/>
      <c r="M61" s="892"/>
      <c r="N61" s="911"/>
      <c r="O61" s="892"/>
      <c r="P61" s="911"/>
      <c r="Q61" s="892"/>
      <c r="R61" s="911"/>
      <c r="S61" s="892"/>
      <c r="T61" s="911"/>
      <c r="U61" s="892"/>
      <c r="V61" s="911"/>
      <c r="W61" s="892"/>
      <c r="X61" s="911"/>
      <c r="Y61" s="892"/>
      <c r="Z61" s="911"/>
      <c r="AA61" s="892"/>
      <c r="AB61" s="925"/>
      <c r="AC61" s="925"/>
      <c r="AD61" s="925"/>
      <c r="AE61" s="892"/>
      <c r="AF61" s="911"/>
    </row>
    <row r="62" spans="1:32" ht="18.75">
      <c r="A62" s="891">
        <f>A60+1</f>
        <v>18</v>
      </c>
      <c r="B62" s="926" t="s">
        <v>348</v>
      </c>
      <c r="C62" s="899" t="str">
        <f>"Total Unfunded Reserve (Line "&amp;A30&amp;" + Line "&amp;A36&amp;" + Line "&amp;A42&amp;" + Line "&amp;A48&amp;" + Line "&amp;A54&amp;"  + Line "&amp;A60&amp;")"</f>
        <v>Total Unfunded Reserve (Line 7 + Line 9 + Line 11 + Line 13 + Line 15  + Line 17)</v>
      </c>
      <c r="D62" s="899"/>
      <c r="E62" s="892"/>
      <c r="F62" s="911"/>
      <c r="G62" s="911"/>
      <c r="H62" s="911"/>
      <c r="I62" s="892"/>
      <c r="J62" s="911"/>
      <c r="K62" s="892"/>
      <c r="L62" s="911"/>
      <c r="M62" s="892"/>
      <c r="N62" s="911"/>
      <c r="O62" s="892"/>
      <c r="P62" s="911"/>
      <c r="Q62" s="892"/>
      <c r="R62" s="911"/>
      <c r="S62" s="892"/>
      <c r="T62" s="911"/>
      <c r="U62" s="892"/>
      <c r="V62" s="911"/>
      <c r="W62" s="892"/>
      <c r="X62" s="911"/>
      <c r="Y62" s="892"/>
      <c r="Z62" s="911"/>
      <c r="AA62" s="892"/>
      <c r="AB62" s="911"/>
      <c r="AC62" s="892"/>
      <c r="AD62" s="911"/>
      <c r="AE62" s="892"/>
      <c r="AF62" s="927">
        <f>AF30+AF36+AF42+AF48+AF54+AF60</f>
        <v>0</v>
      </c>
    </row>
    <row r="63" spans="1:32" ht="30.75" customHeight="1">
      <c r="A63" s="891"/>
      <c r="B63" s="892"/>
      <c r="C63" s="892"/>
      <c r="D63" s="892"/>
      <c r="E63" s="892"/>
      <c r="F63" s="911"/>
      <c r="G63" s="911"/>
      <c r="H63" s="911"/>
      <c r="I63" s="892"/>
      <c r="J63" s="911"/>
      <c r="K63" s="892"/>
      <c r="L63" s="911"/>
      <c r="M63" s="892"/>
      <c r="N63" s="911"/>
      <c r="O63" s="892"/>
      <c r="P63" s="911"/>
      <c r="Q63" s="892"/>
      <c r="R63" s="911"/>
      <c r="S63" s="892"/>
      <c r="T63" s="911"/>
      <c r="U63" s="892"/>
      <c r="V63" s="911"/>
      <c r="W63" s="892"/>
      <c r="X63" s="911"/>
      <c r="Y63" s="892"/>
      <c r="Z63" s="911"/>
      <c r="AA63" s="892"/>
      <c r="AB63" s="911"/>
      <c r="AC63" s="892"/>
      <c r="AD63" s="911"/>
      <c r="AE63" s="892"/>
      <c r="AF63" s="911"/>
    </row>
    <row r="64" spans="1:32">
      <c r="A64" s="891"/>
      <c r="B64" s="892"/>
      <c r="C64" s="892"/>
      <c r="D64" s="892"/>
      <c r="E64" s="892"/>
      <c r="F64" s="911"/>
      <c r="G64" s="911"/>
      <c r="H64" s="911"/>
      <c r="I64" s="892"/>
      <c r="J64" s="911"/>
      <c r="K64" s="892"/>
      <c r="L64" s="911"/>
      <c r="M64" s="892"/>
      <c r="N64" s="928"/>
      <c r="O64" s="928"/>
      <c r="P64" s="928"/>
      <c r="Q64" s="928"/>
      <c r="R64" s="928"/>
      <c r="S64" s="892"/>
      <c r="T64" s="911"/>
      <c r="U64" s="892"/>
      <c r="V64" s="911"/>
      <c r="W64" s="892"/>
      <c r="X64" s="911"/>
      <c r="Y64" s="892"/>
      <c r="Z64" s="911"/>
      <c r="AA64" s="892"/>
      <c r="AB64" s="911"/>
      <c r="AC64" s="892"/>
      <c r="AD64" s="911"/>
      <c r="AE64" s="892"/>
      <c r="AF64" s="891"/>
    </row>
    <row r="65" spans="1:32">
      <c r="A65" s="891"/>
      <c r="B65" s="892"/>
      <c r="C65" s="892"/>
      <c r="D65" s="892"/>
      <c r="E65" s="892"/>
      <c r="F65" s="911"/>
      <c r="G65" s="911"/>
      <c r="H65" s="911"/>
      <c r="I65" s="892"/>
      <c r="J65" s="911"/>
      <c r="K65" s="892"/>
      <c r="L65" s="911"/>
      <c r="M65" s="892"/>
      <c r="N65" s="928"/>
      <c r="O65" s="928"/>
      <c r="P65" s="928"/>
      <c r="Q65" s="928"/>
      <c r="R65" s="928"/>
      <c r="S65" s="892"/>
      <c r="T65" s="911"/>
      <c r="U65" s="892"/>
      <c r="V65" s="911"/>
      <c r="W65" s="892"/>
      <c r="X65" s="911"/>
      <c r="Y65" s="892"/>
      <c r="Z65" s="911"/>
      <c r="AA65" s="892"/>
      <c r="AB65" s="911"/>
      <c r="AC65" s="892"/>
      <c r="AD65" s="911"/>
      <c r="AE65" s="892"/>
      <c r="AF65" s="891"/>
    </row>
    <row r="66" spans="1:32">
      <c r="A66" s="892"/>
      <c r="B66" s="892"/>
      <c r="C66" s="929" t="s">
        <v>194</v>
      </c>
      <c r="D66" s="929"/>
      <c r="E66" s="891"/>
      <c r="F66" s="911"/>
      <c r="G66" s="892"/>
      <c r="H66" s="911"/>
      <c r="I66" s="892"/>
      <c r="J66" s="911"/>
      <c r="K66" s="892"/>
      <c r="L66" s="911"/>
      <c r="M66" s="892"/>
      <c r="N66" s="928"/>
      <c r="O66" s="928"/>
      <c r="P66" s="928"/>
      <c r="Q66" s="928"/>
      <c r="R66" s="928"/>
      <c r="S66" s="892"/>
      <c r="T66" s="911"/>
      <c r="U66" s="892"/>
      <c r="V66" s="911"/>
      <c r="W66" s="892"/>
      <c r="X66" s="911"/>
      <c r="Y66" s="892"/>
      <c r="Z66" s="911"/>
      <c r="AA66" s="892"/>
      <c r="AB66" s="911"/>
      <c r="AC66" s="892"/>
      <c r="AD66" s="911"/>
      <c r="AE66" s="892"/>
      <c r="AF66" s="911"/>
    </row>
    <row r="67" spans="1:32">
      <c r="A67" s="892"/>
      <c r="B67" s="892"/>
      <c r="C67" s="1059" t="s">
        <v>1067</v>
      </c>
      <c r="D67" s="1059"/>
      <c r="E67" s="1059"/>
      <c r="F67" s="924"/>
      <c r="G67" s="892"/>
      <c r="H67" s="930"/>
      <c r="I67" s="892"/>
      <c r="J67" s="911"/>
      <c r="K67" s="892"/>
      <c r="L67" s="931"/>
      <c r="M67" s="932"/>
      <c r="N67" s="928"/>
      <c r="O67" s="928"/>
      <c r="P67" s="928"/>
      <c r="Q67" s="928"/>
      <c r="R67" s="928"/>
      <c r="S67" s="892"/>
      <c r="T67" s="911"/>
      <c r="U67" s="892"/>
      <c r="V67" s="911"/>
      <c r="W67" s="892"/>
      <c r="X67" s="911"/>
      <c r="Y67" s="892"/>
      <c r="Z67" s="911"/>
      <c r="AA67" s="892"/>
      <c r="AB67" s="911"/>
      <c r="AC67" s="892"/>
      <c r="AD67" s="911"/>
      <c r="AE67" s="892"/>
      <c r="AF67" s="891"/>
    </row>
    <row r="68" spans="1:32" ht="15.75" customHeight="1">
      <c r="A68" s="892"/>
      <c r="B68" s="892"/>
      <c r="C68" s="1060" t="s">
        <v>1090</v>
      </c>
      <c r="D68" s="1060"/>
      <c r="E68" s="1060"/>
      <c r="F68" s="924"/>
      <c r="G68" s="892"/>
      <c r="H68" s="930"/>
      <c r="I68" s="892"/>
      <c r="J68" s="911"/>
      <c r="K68" s="892"/>
      <c r="L68" s="911"/>
      <c r="M68" s="892"/>
      <c r="N68" s="928"/>
      <c r="O68" s="928"/>
      <c r="P68" s="928"/>
      <c r="Q68" s="928"/>
      <c r="R68" s="928"/>
      <c r="S68" s="892"/>
      <c r="T68" s="911"/>
      <c r="U68" s="892"/>
      <c r="V68" s="911"/>
      <c r="W68" s="892"/>
      <c r="X68" s="911"/>
      <c r="Y68" s="892"/>
      <c r="Z68" s="911"/>
      <c r="AA68" s="892"/>
      <c r="AB68" s="911"/>
      <c r="AC68" s="892"/>
      <c r="AD68" s="911"/>
      <c r="AE68" s="892"/>
      <c r="AF68" s="891"/>
    </row>
    <row r="69" spans="1:32">
      <c r="A69" s="891"/>
      <c r="B69" s="891"/>
      <c r="C69" s="950" t="s">
        <v>1131</v>
      </c>
      <c r="D69" s="950"/>
      <c r="E69" s="892"/>
      <c r="F69" s="924"/>
      <c r="G69" s="892"/>
      <c r="H69" s="924"/>
      <c r="I69" s="892"/>
      <c r="J69" s="911"/>
      <c r="K69" s="892"/>
      <c r="L69" s="911"/>
      <c r="M69" s="892"/>
      <c r="N69" s="911"/>
      <c r="O69" s="892"/>
      <c r="P69" s="911"/>
      <c r="Q69" s="892"/>
      <c r="R69" s="911"/>
      <c r="S69" s="892"/>
      <c r="T69" s="911"/>
      <c r="U69" s="892"/>
      <c r="V69" s="911"/>
      <c r="W69" s="892"/>
      <c r="X69" s="911"/>
      <c r="Y69" s="892"/>
      <c r="Z69" s="911"/>
      <c r="AA69" s="892"/>
      <c r="AB69" s="911"/>
      <c r="AC69" s="892"/>
      <c r="AD69" s="911"/>
      <c r="AE69" s="892"/>
      <c r="AF69" s="891"/>
    </row>
    <row r="70" spans="1:32" ht="32.25" customHeight="1">
      <c r="A70" s="891"/>
      <c r="B70" s="891"/>
      <c r="C70" s="1061" t="s">
        <v>1068</v>
      </c>
      <c r="D70" s="1061"/>
      <c r="E70" s="1061"/>
      <c r="F70" s="911"/>
      <c r="G70" s="892"/>
      <c r="H70" s="933"/>
      <c r="I70" s="933"/>
      <c r="J70" s="933"/>
      <c r="K70" s="933"/>
      <c r="L70" s="933"/>
      <c r="M70" s="933"/>
      <c r="N70" s="933"/>
      <c r="O70" s="892"/>
      <c r="P70" s="911"/>
      <c r="Q70" s="892"/>
      <c r="R70" s="911"/>
      <c r="S70" s="892"/>
      <c r="T70" s="911"/>
      <c r="U70" s="892"/>
      <c r="V70" s="911"/>
      <c r="W70" s="892"/>
      <c r="X70" s="911"/>
      <c r="Y70" s="892"/>
      <c r="Z70" s="911"/>
      <c r="AA70" s="892"/>
      <c r="AB70" s="911"/>
      <c r="AC70" s="892"/>
      <c r="AD70" s="911"/>
      <c r="AE70" s="892"/>
      <c r="AF70" s="891"/>
    </row>
    <row r="71" spans="1:32">
      <c r="C71" s="33" t="s">
        <v>1069</v>
      </c>
    </row>
    <row r="72" spans="1:32">
      <c r="C72" s="33" t="s">
        <v>1070</v>
      </c>
    </row>
  </sheetData>
  <mergeCells count="3">
    <mergeCell ref="C67:E67"/>
    <mergeCell ref="C68:E68"/>
    <mergeCell ref="C70:E70"/>
  </mergeCells>
  <pageMargins left="0.7" right="0.7" top="0.75" bottom="0.75" header="0.3" footer="0.3"/>
  <pageSetup scale="2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498AC-CEF3-4366-81F7-79C30F2C0396}">
  <dimension ref="A1:K127"/>
  <sheetViews>
    <sheetView view="pageBreakPreview" zoomScale="90" zoomScaleNormal="100" zoomScaleSheetLayoutView="90" workbookViewId="0">
      <selection activeCell="J3" sqref="J3"/>
    </sheetView>
  </sheetViews>
  <sheetFormatPr defaultColWidth="6.88671875" defaultRowHeight="12.75"/>
  <cols>
    <col min="1" max="1" width="7.21875" style="645" customWidth="1"/>
    <col min="2" max="2" width="45" style="645" customWidth="1"/>
    <col min="3" max="3" width="6.88671875" style="645"/>
    <col min="4" max="4" width="21" style="645" customWidth="1"/>
    <col min="5" max="6" width="15.109375" style="645" customWidth="1"/>
    <col min="7" max="7" width="19.5546875" style="645" customWidth="1"/>
    <col min="8" max="8" width="15.109375" style="645" customWidth="1"/>
    <col min="9" max="9" width="20.33203125" style="645" customWidth="1"/>
    <col min="10" max="10" width="15.109375" style="645" customWidth="1"/>
    <col min="11" max="11" width="29.6640625" style="645" bestFit="1" customWidth="1"/>
    <col min="12" max="16384" width="6.88671875" style="645"/>
  </cols>
  <sheetData>
    <row r="1" spans="1:11" ht="15.75">
      <c r="A1" s="644"/>
      <c r="B1" s="644"/>
      <c r="C1" s="644"/>
      <c r="D1" s="644"/>
      <c r="I1" s="646"/>
      <c r="J1" s="647" t="str">
        <f>'Attachment H-34A '!K1&amp;""&amp;", Attachment 15"</f>
        <v>Attachment H-34A, Attachment 15</v>
      </c>
      <c r="K1" s="647"/>
    </row>
    <row r="2" spans="1:11" ht="15.75">
      <c r="A2" s="644"/>
      <c r="B2" s="644"/>
      <c r="C2" s="644"/>
      <c r="D2" s="644"/>
      <c r="I2" s="646"/>
      <c r="J2" s="647" t="s">
        <v>186</v>
      </c>
      <c r="K2" s="647"/>
    </row>
    <row r="3" spans="1:11" ht="15.75">
      <c r="A3" s="644"/>
      <c r="B3" s="644"/>
      <c r="C3" s="644"/>
      <c r="D3" s="644"/>
      <c r="E3" s="648"/>
      <c r="G3" s="649"/>
      <c r="H3" s="650"/>
      <c r="I3" s="651"/>
      <c r="J3" s="647" t="str">
        <f>'Attachment H-34A '!K4</f>
        <v>For the 12 months ended 12/31/2026</v>
      </c>
      <c r="K3" s="647"/>
    </row>
    <row r="4" spans="1:11" ht="15.75">
      <c r="A4" s="644"/>
      <c r="B4" s="644"/>
      <c r="C4" s="644"/>
      <c r="D4" s="644"/>
      <c r="E4" s="648"/>
      <c r="G4" s="649"/>
      <c r="H4" s="650"/>
      <c r="I4" s="651"/>
      <c r="J4" s="647"/>
      <c r="K4" s="647"/>
    </row>
    <row r="5" spans="1:11" ht="15.75">
      <c r="B5" s="1062" t="s">
        <v>702</v>
      </c>
      <c r="C5" s="1062"/>
      <c r="D5" s="1062"/>
      <c r="E5" s="1062"/>
      <c r="F5" s="1062"/>
      <c r="G5" s="1062"/>
      <c r="H5" s="1062"/>
      <c r="I5" s="1062"/>
      <c r="J5" s="652"/>
      <c r="K5" s="652"/>
    </row>
    <row r="6" spans="1:11" ht="15.75">
      <c r="B6" s="1062" t="s">
        <v>703</v>
      </c>
      <c r="C6" s="1062"/>
      <c r="D6" s="1062"/>
      <c r="E6" s="1062"/>
      <c r="F6" s="1062"/>
      <c r="G6" s="1062"/>
      <c r="H6" s="1062"/>
      <c r="I6" s="1062"/>
      <c r="J6" s="653"/>
      <c r="K6" s="653"/>
    </row>
    <row r="7" spans="1:11">
      <c r="B7" s="654"/>
      <c r="C7" s="654"/>
    </row>
    <row r="8" spans="1:11">
      <c r="B8" s="655" t="s">
        <v>571</v>
      </c>
      <c r="C8" s="654"/>
      <c r="D8" s="655" t="s">
        <v>572</v>
      </c>
      <c r="E8" s="655" t="s">
        <v>573</v>
      </c>
      <c r="F8" s="655" t="s">
        <v>574</v>
      </c>
      <c r="G8" s="655" t="s">
        <v>575</v>
      </c>
      <c r="H8" s="655" t="s">
        <v>576</v>
      </c>
      <c r="I8" s="655" t="s">
        <v>704</v>
      </c>
      <c r="J8" s="655" t="s">
        <v>705</v>
      </c>
      <c r="K8" s="655"/>
    </row>
    <row r="9" spans="1:11">
      <c r="B9" s="654"/>
      <c r="C9" s="654"/>
    </row>
    <row r="10" spans="1:11" ht="117" customHeight="1">
      <c r="A10" s="656" t="s">
        <v>177</v>
      </c>
      <c r="B10" s="656" t="s">
        <v>577</v>
      </c>
      <c r="C10" s="646"/>
      <c r="D10" s="656" t="s">
        <v>706</v>
      </c>
      <c r="E10" s="656" t="s">
        <v>707</v>
      </c>
      <c r="F10" s="656" t="s">
        <v>708</v>
      </c>
      <c r="G10" s="656" t="s">
        <v>615</v>
      </c>
      <c r="H10" s="656" t="s">
        <v>709</v>
      </c>
      <c r="I10" s="656" t="s">
        <v>710</v>
      </c>
      <c r="J10" s="656" t="s">
        <v>580</v>
      </c>
      <c r="K10" s="657"/>
    </row>
    <row r="11" spans="1:11" ht="15.75">
      <c r="A11" s="657"/>
      <c r="B11" s="658" t="s">
        <v>711</v>
      </c>
      <c r="C11" s="646"/>
      <c r="D11" s="657"/>
      <c r="E11" s="657"/>
      <c r="F11" s="657"/>
      <c r="G11" s="657"/>
      <c r="H11" s="657"/>
      <c r="I11" s="657"/>
      <c r="J11" s="657"/>
      <c r="K11" s="657"/>
    </row>
    <row r="12" spans="1:11" ht="15.75">
      <c r="A12" s="659">
        <v>1</v>
      </c>
      <c r="B12" s="658" t="s">
        <v>712</v>
      </c>
      <c r="C12" s="646"/>
      <c r="D12" s="657"/>
      <c r="E12" s="657"/>
      <c r="F12" s="657"/>
      <c r="G12" s="657"/>
      <c r="H12" s="657"/>
      <c r="I12" s="646"/>
      <c r="J12" s="657"/>
      <c r="K12" s="657"/>
    </row>
    <row r="13" spans="1:11" ht="15.75">
      <c r="A13" s="660"/>
      <c r="B13" s="667" t="s">
        <v>1230</v>
      </c>
      <c r="C13" s="646"/>
      <c r="D13" s="662"/>
      <c r="E13" s="662"/>
      <c r="F13" s="662"/>
      <c r="G13" s="662"/>
      <c r="H13" s="662"/>
      <c r="I13" s="663"/>
      <c r="J13" s="660"/>
      <c r="K13" s="664"/>
    </row>
    <row r="14" spans="1:11" ht="15.75">
      <c r="A14" s="660" t="s">
        <v>460</v>
      </c>
      <c r="B14" s="979" t="s">
        <v>1208</v>
      </c>
      <c r="C14" s="646"/>
      <c r="D14" s="662">
        <v>318.42609242639787</v>
      </c>
      <c r="E14" s="982"/>
      <c r="F14" s="662">
        <v>10</v>
      </c>
      <c r="G14" s="662">
        <v>1</v>
      </c>
      <c r="H14" s="662">
        <v>159.2129691912007</v>
      </c>
      <c r="I14" s="663">
        <f t="shared" ref="I14:I41" si="0">(D14+E14)-H14</f>
        <v>159.21312323519717</v>
      </c>
      <c r="J14" s="660" t="s">
        <v>121</v>
      </c>
      <c r="K14" s="664"/>
    </row>
    <row r="15" spans="1:11" ht="15.75">
      <c r="A15" s="660" t="s">
        <v>461</v>
      </c>
      <c r="B15" s="979" t="s">
        <v>1209</v>
      </c>
      <c r="C15" s="646"/>
      <c r="D15" s="662">
        <v>1389.4494580115788</v>
      </c>
      <c r="E15" s="982"/>
      <c r="F15" s="662">
        <v>10</v>
      </c>
      <c r="G15" s="662">
        <v>1</v>
      </c>
      <c r="H15" s="662">
        <v>694.72351399614024</v>
      </c>
      <c r="I15" s="663">
        <f t="shared" si="0"/>
        <v>694.72594401543859</v>
      </c>
      <c r="J15" s="660" t="s">
        <v>121</v>
      </c>
      <c r="K15" s="664"/>
    </row>
    <row r="16" spans="1:11" ht="15.75">
      <c r="A16" s="660" t="s">
        <v>462</v>
      </c>
      <c r="B16" s="979" t="s">
        <v>1210</v>
      </c>
      <c r="C16" s="646"/>
      <c r="D16" s="662">
        <v>38.869310743188166</v>
      </c>
      <c r="E16" s="982"/>
      <c r="F16" s="662">
        <v>10</v>
      </c>
      <c r="G16" s="662">
        <v>1</v>
      </c>
      <c r="H16" s="662">
        <v>19.435229752270608</v>
      </c>
      <c r="I16" s="663">
        <f t="shared" si="0"/>
        <v>19.434080990917558</v>
      </c>
      <c r="J16" s="660" t="s">
        <v>121</v>
      </c>
      <c r="K16" s="664"/>
    </row>
    <row r="17" spans="1:11" ht="15.75">
      <c r="A17" s="660" t="s">
        <v>518</v>
      </c>
      <c r="B17" s="979" t="s">
        <v>1211</v>
      </c>
      <c r="C17" s="646"/>
      <c r="D17" s="662">
        <v>11188.94708150471</v>
      </c>
      <c r="E17" s="982"/>
      <c r="F17" s="662">
        <v>10</v>
      </c>
      <c r="G17" s="662">
        <v>1</v>
      </c>
      <c r="H17" s="662">
        <v>5594.4726394984309</v>
      </c>
      <c r="I17" s="663">
        <f t="shared" si="0"/>
        <v>5594.4744420062789</v>
      </c>
      <c r="J17" s="660" t="s">
        <v>121</v>
      </c>
      <c r="K17" s="664"/>
    </row>
    <row r="18" spans="1:11" ht="15.75">
      <c r="A18" s="660" t="s">
        <v>763</v>
      </c>
      <c r="B18" s="979" t="s">
        <v>1212</v>
      </c>
      <c r="C18" s="646"/>
      <c r="D18" s="662">
        <v>15890.450001176219</v>
      </c>
      <c r="E18" s="982"/>
      <c r="F18" s="662">
        <v>10</v>
      </c>
      <c r="G18" s="662">
        <v>1</v>
      </c>
      <c r="H18" s="662">
        <v>7945.2249996079281</v>
      </c>
      <c r="I18" s="663">
        <f t="shared" si="0"/>
        <v>7945.2250015682912</v>
      </c>
      <c r="J18" s="660" t="s">
        <v>121</v>
      </c>
      <c r="K18" s="664"/>
    </row>
    <row r="19" spans="1:11" ht="15.75">
      <c r="A19" s="660" t="s">
        <v>764</v>
      </c>
      <c r="B19" s="979" t="s">
        <v>1213</v>
      </c>
      <c r="C19" s="646"/>
      <c r="D19" s="662">
        <v>804.92511201943807</v>
      </c>
      <c r="E19" s="982"/>
      <c r="F19" s="662">
        <v>10</v>
      </c>
      <c r="G19" s="662">
        <v>1</v>
      </c>
      <c r="H19" s="662">
        <v>402.46329599352072</v>
      </c>
      <c r="I19" s="663">
        <f t="shared" si="0"/>
        <v>402.46181602591736</v>
      </c>
      <c r="J19" s="660" t="s">
        <v>121</v>
      </c>
      <c r="K19" s="664"/>
    </row>
    <row r="20" spans="1:11" ht="15.75">
      <c r="A20" s="660" t="s">
        <v>1195</v>
      </c>
      <c r="B20" s="979" t="s">
        <v>1214</v>
      </c>
      <c r="C20" s="646"/>
      <c r="D20" s="662">
        <v>188.97184124890461</v>
      </c>
      <c r="E20" s="982"/>
      <c r="F20" s="662">
        <v>10</v>
      </c>
      <c r="G20" s="662">
        <v>1</v>
      </c>
      <c r="H20" s="662">
        <v>94.486052917031799</v>
      </c>
      <c r="I20" s="663">
        <f t="shared" si="0"/>
        <v>94.485788331872811</v>
      </c>
      <c r="J20" s="660" t="s">
        <v>121</v>
      </c>
      <c r="K20" s="664"/>
    </row>
    <row r="21" spans="1:11" ht="15.75">
      <c r="A21" s="660" t="s">
        <v>1204</v>
      </c>
      <c r="B21" s="979" t="s">
        <v>1215</v>
      </c>
      <c r="C21" s="646"/>
      <c r="D21" s="662">
        <v>141.99472790061481</v>
      </c>
      <c r="E21" s="982"/>
      <c r="F21" s="662">
        <v>10</v>
      </c>
      <c r="G21" s="662">
        <v>1</v>
      </c>
      <c r="H21" s="662">
        <v>70.998424033128416</v>
      </c>
      <c r="I21" s="663">
        <f t="shared" si="0"/>
        <v>70.99630386748639</v>
      </c>
      <c r="J21" s="660" t="s">
        <v>121</v>
      </c>
      <c r="K21" s="664"/>
    </row>
    <row r="22" spans="1:11" ht="15.75">
      <c r="A22" s="660" t="s">
        <v>1240</v>
      </c>
      <c r="B22" s="979" t="s">
        <v>1216</v>
      </c>
      <c r="C22" s="646"/>
      <c r="D22" s="662">
        <v>2153.9587838777506</v>
      </c>
      <c r="E22" s="982"/>
      <c r="F22" s="662">
        <v>10</v>
      </c>
      <c r="G22" s="662">
        <v>1</v>
      </c>
      <c r="H22" s="662">
        <v>1076.9804053740831</v>
      </c>
      <c r="I22" s="663">
        <f t="shared" si="0"/>
        <v>1076.9783785036675</v>
      </c>
      <c r="J22" s="660" t="s">
        <v>121</v>
      </c>
      <c r="K22" s="664"/>
    </row>
    <row r="23" spans="1:11" ht="15.75">
      <c r="A23" s="660" t="s">
        <v>1241</v>
      </c>
      <c r="B23" s="979" t="s">
        <v>1217</v>
      </c>
      <c r="C23" s="646"/>
      <c r="D23" s="662">
        <v>55.145222569841003</v>
      </c>
      <c r="E23" s="982"/>
      <c r="F23" s="662">
        <v>10</v>
      </c>
      <c r="G23" s="662">
        <v>1</v>
      </c>
      <c r="H23" s="662">
        <v>27.573259143386331</v>
      </c>
      <c r="I23" s="663">
        <f t="shared" si="0"/>
        <v>27.571963426454673</v>
      </c>
      <c r="J23" s="660" t="s">
        <v>121</v>
      </c>
      <c r="K23" s="664"/>
    </row>
    <row r="24" spans="1:11" ht="15.75">
      <c r="A24" s="660" t="s">
        <v>1242</v>
      </c>
      <c r="B24" s="979" t="s">
        <v>1218</v>
      </c>
      <c r="C24" s="646"/>
      <c r="D24" s="662">
        <v>140.19633966588043</v>
      </c>
      <c r="E24" s="982"/>
      <c r="F24" s="662">
        <v>10</v>
      </c>
      <c r="G24" s="662">
        <v>1</v>
      </c>
      <c r="H24" s="662">
        <v>70.09788677803985</v>
      </c>
      <c r="I24" s="663">
        <f t="shared" si="0"/>
        <v>70.09845288784058</v>
      </c>
      <c r="J24" s="660" t="s">
        <v>121</v>
      </c>
      <c r="K24" s="664"/>
    </row>
    <row r="25" spans="1:11" ht="15.75">
      <c r="A25" s="660" t="s">
        <v>1243</v>
      </c>
      <c r="B25" s="979" t="s">
        <v>1219</v>
      </c>
      <c r="C25" s="646"/>
      <c r="D25" s="662">
        <v>-5120.8303656686348</v>
      </c>
      <c r="E25" s="982"/>
      <c r="F25" s="662">
        <v>10</v>
      </c>
      <c r="G25" s="662">
        <v>1</v>
      </c>
      <c r="H25" s="662">
        <v>-2560.414878110455</v>
      </c>
      <c r="I25" s="663">
        <f t="shared" si="0"/>
        <v>-2560.4154875581798</v>
      </c>
      <c r="J25" s="660" t="s">
        <v>121</v>
      </c>
      <c r="K25" s="664"/>
    </row>
    <row r="26" spans="1:11" ht="15.75">
      <c r="A26" s="660" t="s">
        <v>1244</v>
      </c>
      <c r="B26" s="979" t="s">
        <v>1220</v>
      </c>
      <c r="C26" s="646"/>
      <c r="D26" s="662">
        <v>7674.2222206727693</v>
      </c>
      <c r="E26" s="982"/>
      <c r="F26" s="662">
        <v>10</v>
      </c>
      <c r="G26" s="662">
        <v>1</v>
      </c>
      <c r="H26" s="662">
        <v>3837.1109264424099</v>
      </c>
      <c r="I26" s="663">
        <f t="shared" si="0"/>
        <v>3837.1112942303594</v>
      </c>
      <c r="J26" s="660" t="s">
        <v>121</v>
      </c>
      <c r="K26" s="664"/>
    </row>
    <row r="27" spans="1:11" ht="15.75">
      <c r="A27" s="660" t="s">
        <v>1245</v>
      </c>
      <c r="B27" s="979" t="s">
        <v>1221</v>
      </c>
      <c r="C27" s="646"/>
      <c r="D27" s="662">
        <v>6906.0664336961536</v>
      </c>
      <c r="E27" s="982"/>
      <c r="F27" s="662">
        <v>10</v>
      </c>
      <c r="G27" s="662">
        <v>1</v>
      </c>
      <c r="H27" s="662">
        <v>3453.0328554346152</v>
      </c>
      <c r="I27" s="663">
        <f t="shared" si="0"/>
        <v>3453.0335782615384</v>
      </c>
      <c r="J27" s="660" t="s">
        <v>121</v>
      </c>
      <c r="K27" s="664"/>
    </row>
    <row r="28" spans="1:11" ht="15.75">
      <c r="A28" s="660" t="s">
        <v>1246</v>
      </c>
      <c r="B28" s="979" t="s">
        <v>1222</v>
      </c>
      <c r="C28" s="646"/>
      <c r="D28" s="662">
        <v>302831.57357737224</v>
      </c>
      <c r="E28" s="982"/>
      <c r="F28" s="662">
        <v>10</v>
      </c>
      <c r="G28" s="662">
        <v>1</v>
      </c>
      <c r="H28" s="662">
        <v>151415.78714087591</v>
      </c>
      <c r="I28" s="663">
        <f t="shared" si="0"/>
        <v>151415.78643649633</v>
      </c>
      <c r="J28" s="660" t="s">
        <v>121</v>
      </c>
      <c r="K28" s="664"/>
    </row>
    <row r="29" spans="1:11" ht="15.75">
      <c r="A29" s="660" t="s">
        <v>1247</v>
      </c>
      <c r="B29" s="979" t="s">
        <v>1223</v>
      </c>
      <c r="C29" s="646"/>
      <c r="D29" s="662">
        <v>7275.6608353297124</v>
      </c>
      <c r="E29" s="982"/>
      <c r="F29" s="662">
        <v>10</v>
      </c>
      <c r="G29" s="662">
        <v>1</v>
      </c>
      <c r="H29" s="662">
        <v>3637.8313882234288</v>
      </c>
      <c r="I29" s="663">
        <f t="shared" si="0"/>
        <v>3637.8294471062836</v>
      </c>
      <c r="J29" s="660" t="s">
        <v>121</v>
      </c>
      <c r="K29" s="664"/>
    </row>
    <row r="30" spans="1:11" ht="15.75">
      <c r="A30" s="660" t="s">
        <v>1248</v>
      </c>
      <c r="B30" s="979" t="s">
        <v>1224</v>
      </c>
      <c r="C30" s="646"/>
      <c r="D30" s="662">
        <v>-0.7942830393499769</v>
      </c>
      <c r="E30" s="982"/>
      <c r="F30" s="662">
        <v>10</v>
      </c>
      <c r="G30" s="662">
        <v>1</v>
      </c>
      <c r="H30" s="662">
        <v>-0.39690565355000773</v>
      </c>
      <c r="I30" s="663">
        <f t="shared" si="0"/>
        <v>-0.39737738579996917</v>
      </c>
      <c r="J30" s="660" t="s">
        <v>121</v>
      </c>
      <c r="K30" s="664"/>
    </row>
    <row r="31" spans="1:11" ht="15.75">
      <c r="A31" s="660" t="s">
        <v>1249</v>
      </c>
      <c r="B31" s="979" t="s">
        <v>1225</v>
      </c>
      <c r="C31" s="646"/>
      <c r="D31" s="662">
        <v>-61874.145519446174</v>
      </c>
      <c r="E31" s="982"/>
      <c r="F31" s="662">
        <v>10</v>
      </c>
      <c r="G31" s="662">
        <v>1</v>
      </c>
      <c r="H31" s="662">
        <v>-30937.073160184606</v>
      </c>
      <c r="I31" s="663">
        <f t="shared" si="0"/>
        <v>-30937.072359261569</v>
      </c>
      <c r="J31" s="660" t="s">
        <v>121</v>
      </c>
      <c r="K31" s="664"/>
    </row>
    <row r="32" spans="1:11" ht="15.75">
      <c r="A32" s="660" t="s">
        <v>1250</v>
      </c>
      <c r="B32" s="979" t="s">
        <v>1226</v>
      </c>
      <c r="C32" s="646"/>
      <c r="D32" s="662">
        <v>143.2007197787986</v>
      </c>
      <c r="E32" s="982"/>
      <c r="F32" s="662">
        <v>10</v>
      </c>
      <c r="G32" s="662">
        <v>1</v>
      </c>
      <c r="H32" s="662">
        <v>71.601426740400456</v>
      </c>
      <c r="I32" s="663">
        <f t="shared" si="0"/>
        <v>71.599293038398145</v>
      </c>
      <c r="J32" s="660" t="s">
        <v>121</v>
      </c>
      <c r="K32" s="664"/>
    </row>
    <row r="33" spans="1:11" ht="15.75">
      <c r="A33" s="660" t="s">
        <v>1251</v>
      </c>
      <c r="B33" s="979" t="s">
        <v>1227</v>
      </c>
      <c r="C33" s="646"/>
      <c r="D33" s="662">
        <v>9951.8086187515619</v>
      </c>
      <c r="E33" s="982"/>
      <c r="F33" s="662">
        <v>10</v>
      </c>
      <c r="G33" s="662">
        <v>1</v>
      </c>
      <c r="H33" s="662">
        <v>4975.9054604161465</v>
      </c>
      <c r="I33" s="663">
        <f t="shared" si="0"/>
        <v>4975.9031583354154</v>
      </c>
      <c r="J33" s="660" t="s">
        <v>121</v>
      </c>
      <c r="K33" s="664"/>
    </row>
    <row r="34" spans="1:11" ht="15.75">
      <c r="A34" s="660" t="s">
        <v>1252</v>
      </c>
      <c r="B34" s="979" t="s">
        <v>1228</v>
      </c>
      <c r="C34" s="646"/>
      <c r="D34" s="662">
        <v>17159.952152392623</v>
      </c>
      <c r="E34" s="982"/>
      <c r="F34" s="662">
        <v>10</v>
      </c>
      <c r="G34" s="662">
        <v>1</v>
      </c>
      <c r="H34" s="662">
        <v>8579.9759492024623</v>
      </c>
      <c r="I34" s="663">
        <f t="shared" si="0"/>
        <v>8579.976203190161</v>
      </c>
      <c r="J34" s="660" t="s">
        <v>121</v>
      </c>
      <c r="K34" s="664"/>
    </row>
    <row r="35" spans="1:11" ht="15.75">
      <c r="A35" s="660" t="s">
        <v>1253</v>
      </c>
      <c r="B35" s="979" t="s">
        <v>1229</v>
      </c>
      <c r="C35" s="646"/>
      <c r="D35" s="662">
        <v>3101.8771092639613</v>
      </c>
      <c r="E35" s="982"/>
      <c r="F35" s="662">
        <v>10</v>
      </c>
      <c r="G35" s="662">
        <v>1</v>
      </c>
      <c r="H35" s="662">
        <v>1550.9376302453461</v>
      </c>
      <c r="I35" s="663">
        <f t="shared" si="0"/>
        <v>1550.9394790186152</v>
      </c>
      <c r="J35" s="660" t="s">
        <v>121</v>
      </c>
      <c r="K35" s="664"/>
    </row>
    <row r="36" spans="1:11" ht="15.75">
      <c r="A36" s="660" t="s">
        <v>1306</v>
      </c>
      <c r="B36" s="979" t="s">
        <v>1222</v>
      </c>
      <c r="C36" s="646"/>
      <c r="D36" s="662">
        <v>918398</v>
      </c>
      <c r="E36" s="982"/>
      <c r="F36" s="662">
        <v>3</v>
      </c>
      <c r="G36" s="662">
        <v>1</v>
      </c>
      <c r="H36" s="662">
        <v>459199.09468999994</v>
      </c>
      <c r="I36" s="663">
        <f t="shared" si="0"/>
        <v>459198.90531000006</v>
      </c>
      <c r="J36" s="660" t="s">
        <v>124</v>
      </c>
      <c r="K36" s="664"/>
    </row>
    <row r="37" spans="1:11" ht="15.75">
      <c r="A37" s="660"/>
      <c r="B37" s="979"/>
      <c r="C37" s="646"/>
      <c r="D37" s="662"/>
      <c r="E37" s="662"/>
      <c r="F37" s="662"/>
      <c r="G37" s="662"/>
      <c r="H37" s="662"/>
      <c r="I37" s="663"/>
      <c r="J37" s="660"/>
      <c r="K37" s="664"/>
    </row>
    <row r="38" spans="1:11" ht="15.75">
      <c r="A38" s="660"/>
      <c r="B38" s="980" t="s">
        <v>1231</v>
      </c>
      <c r="C38" s="646"/>
      <c r="D38" s="662"/>
      <c r="E38" s="662"/>
      <c r="F38" s="662"/>
      <c r="G38" s="662"/>
      <c r="H38" s="662"/>
      <c r="I38" s="663"/>
      <c r="J38" s="660"/>
      <c r="K38" s="664"/>
    </row>
    <row r="39" spans="1:11" ht="15.75" customHeight="1">
      <c r="A39" s="660"/>
      <c r="B39" s="979"/>
      <c r="C39" s="646"/>
      <c r="D39" s="662"/>
      <c r="E39" s="662"/>
      <c r="F39" s="662"/>
      <c r="G39" s="662"/>
      <c r="H39" s="662"/>
      <c r="I39" s="663"/>
      <c r="J39" s="660"/>
      <c r="K39" s="664"/>
    </row>
    <row r="40" spans="1:11" ht="15.75" customHeight="1">
      <c r="A40" s="660" t="s">
        <v>1307</v>
      </c>
      <c r="B40" s="979" t="s">
        <v>1232</v>
      </c>
      <c r="C40" s="646"/>
      <c r="D40" s="662">
        <v>252.83897100000104</v>
      </c>
      <c r="E40" s="662"/>
      <c r="F40" s="982">
        <v>10</v>
      </c>
      <c r="G40" s="982">
        <f t="shared" ref="G40:G47" si="1">F40-4</f>
        <v>6</v>
      </c>
      <c r="H40" s="662">
        <v>36.119853000000148</v>
      </c>
      <c r="I40" s="663">
        <f t="shared" si="0"/>
        <v>216.71911800000089</v>
      </c>
      <c r="J40" s="660" t="s">
        <v>121</v>
      </c>
      <c r="K40" s="664"/>
    </row>
    <row r="41" spans="1:11" ht="15.75" customHeight="1">
      <c r="A41" s="660" t="s">
        <v>1254</v>
      </c>
      <c r="B41" s="979" t="s">
        <v>1233</v>
      </c>
      <c r="C41" s="646"/>
      <c r="D41" s="662">
        <v>1073.7258840000031</v>
      </c>
      <c r="E41" s="662"/>
      <c r="F41" s="982">
        <v>10</v>
      </c>
      <c r="G41" s="982">
        <f t="shared" si="1"/>
        <v>6</v>
      </c>
      <c r="H41" s="662">
        <v>153.38941200000045</v>
      </c>
      <c r="I41" s="663">
        <f t="shared" si="0"/>
        <v>920.33647200000269</v>
      </c>
      <c r="J41" s="660" t="s">
        <v>121</v>
      </c>
      <c r="K41" s="664"/>
    </row>
    <row r="42" spans="1:11" ht="15.75" customHeight="1">
      <c r="A42" s="660" t="s">
        <v>1308</v>
      </c>
      <c r="B42" s="979" t="s">
        <v>1234</v>
      </c>
      <c r="C42" s="646"/>
      <c r="D42" s="662">
        <v>-1452.5474039999842</v>
      </c>
      <c r="E42" s="662"/>
      <c r="F42" s="982">
        <v>10</v>
      </c>
      <c r="G42" s="982">
        <f t="shared" si="1"/>
        <v>6</v>
      </c>
      <c r="H42" s="662">
        <v>-207.50677199999774</v>
      </c>
      <c r="I42" s="663">
        <f t="shared" ref="I42:I47" si="2">(D42+E42)-H42</f>
        <v>-1245.0406319999865</v>
      </c>
      <c r="J42" s="660" t="s">
        <v>121</v>
      </c>
      <c r="K42" s="664"/>
    </row>
    <row r="43" spans="1:11" ht="15.75" customHeight="1">
      <c r="A43" s="660" t="s">
        <v>1309</v>
      </c>
      <c r="B43" s="979" t="s">
        <v>1235</v>
      </c>
      <c r="C43" s="646"/>
      <c r="D43" s="662">
        <v>-75404.39302599011</v>
      </c>
      <c r="E43" s="662"/>
      <c r="F43" s="982">
        <v>10</v>
      </c>
      <c r="G43" s="982">
        <f t="shared" si="1"/>
        <v>6</v>
      </c>
      <c r="H43" s="662">
        <v>-10772.056146570016</v>
      </c>
      <c r="I43" s="663">
        <f t="shared" si="2"/>
        <v>-64632.336879420094</v>
      </c>
      <c r="J43" s="660" t="s">
        <v>121</v>
      </c>
      <c r="K43" s="664"/>
    </row>
    <row r="44" spans="1:11" ht="15.75" customHeight="1">
      <c r="A44" s="660" t="s">
        <v>1310</v>
      </c>
      <c r="B44" s="979" t="s">
        <v>1236</v>
      </c>
      <c r="C44" s="646"/>
      <c r="D44" s="662">
        <v>94565.010413960015</v>
      </c>
      <c r="E44" s="662"/>
      <c r="F44" s="982">
        <v>5</v>
      </c>
      <c r="G44" s="982">
        <f t="shared" si="1"/>
        <v>1</v>
      </c>
      <c r="H44" s="662">
        <v>47282.50520698</v>
      </c>
      <c r="I44" s="663">
        <f t="shared" si="2"/>
        <v>47282.505206980015</v>
      </c>
      <c r="J44" s="660" t="s">
        <v>121</v>
      </c>
      <c r="K44" s="664"/>
    </row>
    <row r="45" spans="1:11" ht="15.75" customHeight="1">
      <c r="A45" s="660" t="s">
        <v>1255</v>
      </c>
      <c r="B45" s="979" t="s">
        <v>1237</v>
      </c>
      <c r="C45" s="646"/>
      <c r="D45" s="662">
        <v>1135.5754410000013</v>
      </c>
      <c r="E45" s="662"/>
      <c r="F45" s="982">
        <v>10</v>
      </c>
      <c r="G45" s="982">
        <f t="shared" si="1"/>
        <v>6</v>
      </c>
      <c r="H45" s="662">
        <v>162.22506300000023</v>
      </c>
      <c r="I45" s="663">
        <f t="shared" si="2"/>
        <v>973.35037800000111</v>
      </c>
      <c r="J45" s="660" t="s">
        <v>121</v>
      </c>
      <c r="K45" s="664"/>
    </row>
    <row r="46" spans="1:11" ht="15.75" customHeight="1">
      <c r="A46" s="660" t="s">
        <v>1311</v>
      </c>
      <c r="B46" s="979" t="s">
        <v>1238</v>
      </c>
      <c r="C46" s="646"/>
      <c r="D46" s="662">
        <v>-34813.125269999779</v>
      </c>
      <c r="E46" s="662"/>
      <c r="F46" s="982">
        <v>10</v>
      </c>
      <c r="G46" s="982">
        <f t="shared" si="1"/>
        <v>6</v>
      </c>
      <c r="H46" s="662">
        <v>-4973.3036099999681</v>
      </c>
      <c r="I46" s="663">
        <f t="shared" si="2"/>
        <v>-29839.821659999812</v>
      </c>
      <c r="J46" s="660" t="s">
        <v>121</v>
      </c>
      <c r="K46" s="664"/>
    </row>
    <row r="47" spans="1:11" ht="15.75" customHeight="1">
      <c r="A47" s="660" t="s">
        <v>1256</v>
      </c>
      <c r="B47" s="979" t="s">
        <v>1239</v>
      </c>
      <c r="C47" s="646"/>
      <c r="D47" s="662">
        <v>3624.3745353899867</v>
      </c>
      <c r="E47" s="662"/>
      <c r="F47" s="982">
        <v>10</v>
      </c>
      <c r="G47" s="982">
        <f t="shared" si="1"/>
        <v>6</v>
      </c>
      <c r="H47" s="662">
        <v>517.7677907699981</v>
      </c>
      <c r="I47" s="663">
        <f t="shared" si="2"/>
        <v>3106.6067446199886</v>
      </c>
      <c r="J47" s="660" t="s">
        <v>121</v>
      </c>
      <c r="K47" s="664"/>
    </row>
    <row r="48" spans="1:11" ht="15.75" customHeight="1">
      <c r="A48" s="660"/>
      <c r="B48" s="979"/>
      <c r="C48" s="646"/>
      <c r="D48" s="662"/>
      <c r="E48" s="662"/>
      <c r="F48" s="662"/>
      <c r="G48" s="662"/>
      <c r="H48" s="662"/>
      <c r="I48" s="663"/>
      <c r="J48" s="660"/>
      <c r="K48" s="664"/>
    </row>
    <row r="49" spans="1:11" ht="15.75" customHeight="1">
      <c r="A49" s="660"/>
      <c r="B49" s="979"/>
      <c r="C49" s="646"/>
      <c r="D49" s="662"/>
      <c r="E49" s="662"/>
      <c r="F49" s="662"/>
      <c r="G49" s="662"/>
      <c r="H49" s="662"/>
      <c r="I49" s="663"/>
      <c r="J49" s="660"/>
      <c r="K49" s="664"/>
    </row>
    <row r="50" spans="1:11" ht="15.75">
      <c r="A50" s="660"/>
      <c r="B50" s="661"/>
      <c r="C50" s="646"/>
      <c r="D50" s="662"/>
      <c r="E50" s="662"/>
      <c r="F50" s="662"/>
      <c r="G50" s="662"/>
      <c r="H50" s="662"/>
      <c r="I50" s="663"/>
      <c r="J50" s="660"/>
      <c r="K50" s="664"/>
    </row>
    <row r="51" spans="1:11" ht="15.75">
      <c r="A51" s="664"/>
      <c r="B51" s="646"/>
      <c r="C51" s="646"/>
      <c r="D51" s="665"/>
      <c r="E51" s="665"/>
      <c r="F51" s="665"/>
      <c r="G51" s="665"/>
      <c r="H51" s="665"/>
      <c r="I51" s="663"/>
      <c r="J51" s="664"/>
      <c r="K51" s="664"/>
    </row>
    <row r="52" spans="1:11" ht="15.75">
      <c r="A52" s="659">
        <v>2</v>
      </c>
      <c r="B52" s="658" t="s">
        <v>713</v>
      </c>
      <c r="C52" s="646"/>
      <c r="D52" s="657"/>
      <c r="E52" s="657"/>
      <c r="F52" s="657"/>
      <c r="G52" s="657"/>
      <c r="H52" s="657"/>
      <c r="I52" s="646"/>
      <c r="J52" s="657"/>
      <c r="K52" s="657"/>
    </row>
    <row r="53" spans="1:11" ht="15.75">
      <c r="A53" s="660" t="s">
        <v>427</v>
      </c>
      <c r="B53" s="661"/>
      <c r="C53" s="646"/>
      <c r="D53" s="662"/>
      <c r="E53" s="662">
        <v>0</v>
      </c>
      <c r="F53" s="662"/>
      <c r="G53" s="662"/>
      <c r="H53" s="662"/>
      <c r="I53" s="663">
        <f>(D53+E53)-H53</f>
        <v>0</v>
      </c>
      <c r="J53" s="660"/>
      <c r="K53" s="664"/>
    </row>
    <row r="54" spans="1:11" s="666" customFormat="1" ht="15.75">
      <c r="A54" s="653"/>
      <c r="B54" s="653"/>
      <c r="C54" s="653"/>
      <c r="D54" s="653"/>
      <c r="E54" s="653"/>
      <c r="F54" s="653"/>
      <c r="G54" s="653"/>
      <c r="H54" s="653"/>
      <c r="I54" s="653"/>
      <c r="J54" s="653"/>
      <c r="K54" s="653"/>
    </row>
    <row r="55" spans="1:11" ht="15.75">
      <c r="A55" s="659">
        <v>3</v>
      </c>
      <c r="B55" s="658" t="s">
        <v>714</v>
      </c>
      <c r="C55" s="646"/>
      <c r="D55" s="657"/>
      <c r="E55" s="657"/>
      <c r="F55" s="657"/>
      <c r="G55" s="657"/>
      <c r="H55" s="657"/>
      <c r="I55" s="646"/>
      <c r="J55" s="657"/>
      <c r="K55" s="657"/>
    </row>
    <row r="56" spans="1:11" ht="15.75">
      <c r="A56" s="660"/>
      <c r="B56" s="667" t="s">
        <v>1268</v>
      </c>
      <c r="C56" s="646"/>
      <c r="D56" s="662"/>
      <c r="E56" s="662"/>
      <c r="F56" s="662"/>
      <c r="G56" s="662"/>
      <c r="H56" s="662"/>
      <c r="I56" s="663"/>
      <c r="J56" s="660"/>
      <c r="K56" s="664"/>
    </row>
    <row r="57" spans="1:11" ht="15.75">
      <c r="A57" s="981" t="s">
        <v>514</v>
      </c>
      <c r="B57" s="661" t="s">
        <v>1259</v>
      </c>
      <c r="C57" s="646"/>
      <c r="D57" s="662">
        <v>-23257.387347419135</v>
      </c>
      <c r="E57" s="982">
        <v>0</v>
      </c>
      <c r="F57" s="982">
        <v>10</v>
      </c>
      <c r="G57" s="982">
        <v>1</v>
      </c>
      <c r="H57" s="982">
        <v>-11628.692550860285</v>
      </c>
      <c r="I57" s="663">
        <f t="shared" ref="I57:I62" si="3">(D57+E57)-H57</f>
        <v>-11628.69479655885</v>
      </c>
      <c r="J57" s="981" t="s">
        <v>121</v>
      </c>
      <c r="K57" s="995"/>
    </row>
    <row r="58" spans="1:11" ht="15.75">
      <c r="A58" s="981" t="s">
        <v>464</v>
      </c>
      <c r="B58" s="661" t="s">
        <v>1260</v>
      </c>
      <c r="C58" s="646"/>
      <c r="D58" s="662">
        <v>-27611.548765035623</v>
      </c>
      <c r="E58" s="982">
        <v>0</v>
      </c>
      <c r="F58" s="982">
        <v>10</v>
      </c>
      <c r="G58" s="982">
        <v>1</v>
      </c>
      <c r="H58" s="982">
        <v>-13805.773744988124</v>
      </c>
      <c r="I58" s="663">
        <f t="shared" si="3"/>
        <v>-13805.775020047498</v>
      </c>
      <c r="J58" s="981" t="s">
        <v>121</v>
      </c>
      <c r="K58" s="995"/>
    </row>
    <row r="59" spans="1:11" ht="15.75">
      <c r="A59" s="981" t="s">
        <v>465</v>
      </c>
      <c r="B59" s="661" t="s">
        <v>1261</v>
      </c>
      <c r="C59" s="646"/>
      <c r="D59" s="662">
        <v>-2361.7889519825976</v>
      </c>
      <c r="E59" s="982">
        <v>0</v>
      </c>
      <c r="F59" s="982">
        <v>10</v>
      </c>
      <c r="G59" s="982">
        <v>1</v>
      </c>
      <c r="H59" s="982">
        <v>-1180.8936826724678</v>
      </c>
      <c r="I59" s="663">
        <f t="shared" si="3"/>
        <v>-1180.8952693101298</v>
      </c>
      <c r="J59" s="981" t="s">
        <v>121</v>
      </c>
      <c r="K59" s="995"/>
    </row>
    <row r="60" spans="1:11" ht="15.75">
      <c r="A60" s="981" t="s">
        <v>517</v>
      </c>
      <c r="B60" s="661" t="s">
        <v>1262</v>
      </c>
      <c r="C60" s="646"/>
      <c r="D60" s="662">
        <v>-3.738547928572082</v>
      </c>
      <c r="E60" s="982">
        <v>0</v>
      </c>
      <c r="F60" s="982">
        <v>10</v>
      </c>
      <c r="G60" s="982">
        <v>1</v>
      </c>
      <c r="H60" s="982">
        <v>-1.8704840238093059</v>
      </c>
      <c r="I60" s="663">
        <f t="shared" si="3"/>
        <v>-1.8680639047627761</v>
      </c>
      <c r="J60" s="981" t="s">
        <v>121</v>
      </c>
      <c r="K60" s="995"/>
    </row>
    <row r="61" spans="1:11" ht="15.75">
      <c r="A61" s="981" t="s">
        <v>1257</v>
      </c>
      <c r="B61" s="661" t="s">
        <v>1263</v>
      </c>
      <c r="C61" s="646"/>
      <c r="D61" s="662">
        <v>-10790.636391016866</v>
      </c>
      <c r="E61" s="982">
        <v>0</v>
      </c>
      <c r="F61" s="982">
        <v>10</v>
      </c>
      <c r="G61" s="982">
        <v>1</v>
      </c>
      <c r="H61" s="982">
        <v>-5395.3178696610457</v>
      </c>
      <c r="I61" s="663">
        <f t="shared" si="3"/>
        <v>-5395.3185213558199</v>
      </c>
      <c r="J61" s="981" t="s">
        <v>121</v>
      </c>
      <c r="K61" s="995"/>
    </row>
    <row r="62" spans="1:11" ht="15.75">
      <c r="A62" s="981" t="s">
        <v>1258</v>
      </c>
      <c r="B62" s="661" t="s">
        <v>1264</v>
      </c>
      <c r="C62" s="646"/>
      <c r="D62" s="662">
        <v>-23871.067939929846</v>
      </c>
      <c r="E62" s="982">
        <v>0</v>
      </c>
      <c r="F62" s="982">
        <v>10</v>
      </c>
      <c r="G62" s="982">
        <v>1</v>
      </c>
      <c r="H62" s="982">
        <v>-11935.534020023386</v>
      </c>
      <c r="I62" s="663">
        <f t="shared" si="3"/>
        <v>-11935.53391990646</v>
      </c>
      <c r="J62" s="981" t="s">
        <v>121</v>
      </c>
      <c r="K62" s="995"/>
    </row>
    <row r="63" spans="1:11" ht="15.75">
      <c r="A63" s="660"/>
      <c r="B63" s="661"/>
      <c r="C63" s="646"/>
      <c r="D63" s="662"/>
      <c r="E63" s="662"/>
      <c r="F63" s="662"/>
      <c r="G63" s="662"/>
      <c r="H63" s="662"/>
      <c r="I63" s="663"/>
      <c r="J63" s="660"/>
      <c r="K63" s="664"/>
    </row>
    <row r="64" spans="1:11" ht="15.75">
      <c r="A64" s="660"/>
      <c r="B64" s="980" t="s">
        <v>1265</v>
      </c>
      <c r="C64" s="646"/>
      <c r="D64" s="662"/>
      <c r="E64" s="662"/>
      <c r="F64" s="662"/>
      <c r="G64" s="662"/>
      <c r="H64" s="662"/>
      <c r="I64" s="663"/>
      <c r="J64" s="660"/>
      <c r="K64" s="664"/>
    </row>
    <row r="65" spans="1:11" ht="15.75">
      <c r="A65" s="660" t="s">
        <v>1273</v>
      </c>
      <c r="B65" s="979" t="s">
        <v>1266</v>
      </c>
      <c r="C65" s="646"/>
      <c r="D65" s="662">
        <v>7310.1468270600017</v>
      </c>
      <c r="E65" s="662">
        <v>0</v>
      </c>
      <c r="F65" s="662">
        <v>10</v>
      </c>
      <c r="G65" s="982">
        <v>6</v>
      </c>
      <c r="H65" s="982">
        <v>1044</v>
      </c>
      <c r="I65" s="663">
        <f t="shared" ref="I65:I66" si="4">(D65+E65)-H65</f>
        <v>6266.1468270600017</v>
      </c>
      <c r="J65" s="981" t="s">
        <v>121</v>
      </c>
      <c r="K65" s="995"/>
    </row>
    <row r="66" spans="1:11" ht="15.75">
      <c r="A66" s="660" t="s">
        <v>1274</v>
      </c>
      <c r="B66" s="979" t="s">
        <v>1267</v>
      </c>
      <c r="C66" s="646"/>
      <c r="D66" s="662">
        <v>-37923.317513731323</v>
      </c>
      <c r="E66" s="662">
        <v>0</v>
      </c>
      <c r="F66" s="662">
        <v>10</v>
      </c>
      <c r="G66" s="982">
        <v>6</v>
      </c>
      <c r="H66" s="982">
        <v>-5418</v>
      </c>
      <c r="I66" s="663">
        <f t="shared" si="4"/>
        <v>-32505.317513731323</v>
      </c>
      <c r="J66" s="981" t="s">
        <v>121</v>
      </c>
      <c r="K66" s="995"/>
    </row>
    <row r="67" spans="1:11" ht="15.75">
      <c r="A67" s="660"/>
      <c r="B67" s="661"/>
      <c r="C67" s="646"/>
      <c r="D67" s="662"/>
      <c r="E67" s="662"/>
      <c r="F67" s="662"/>
      <c r="G67" s="662"/>
      <c r="H67" s="662"/>
      <c r="I67" s="663"/>
      <c r="J67" s="660"/>
      <c r="K67" s="664"/>
    </row>
    <row r="68" spans="1:11" ht="15.75">
      <c r="A68" s="660"/>
      <c r="B68" s="980" t="s">
        <v>1270</v>
      </c>
      <c r="C68" s="646"/>
      <c r="D68" s="662"/>
      <c r="E68" s="662"/>
      <c r="F68" s="662"/>
      <c r="G68" s="662"/>
      <c r="H68" s="662"/>
      <c r="I68" s="663"/>
      <c r="J68" s="660"/>
      <c r="K68" s="664"/>
    </row>
    <row r="69" spans="1:11" ht="15.75">
      <c r="A69" s="660" t="s">
        <v>1275</v>
      </c>
      <c r="B69" s="661" t="s">
        <v>1269</v>
      </c>
      <c r="C69" s="646"/>
      <c r="D69" s="662">
        <v>-16979.879230769337</v>
      </c>
      <c r="E69" s="662">
        <v>0</v>
      </c>
      <c r="F69" s="662">
        <v>13</v>
      </c>
      <c r="G69" s="662">
        <v>10</v>
      </c>
      <c r="H69" s="662">
        <v>-1544</v>
      </c>
      <c r="I69" s="663">
        <f t="shared" ref="I69" si="5">(D69+E69)-H69</f>
        <v>-15435.879230769337</v>
      </c>
      <c r="J69" s="660" t="s">
        <v>121</v>
      </c>
      <c r="K69" s="664"/>
    </row>
    <row r="70" spans="1:11" ht="15.75">
      <c r="A70" s="660"/>
      <c r="B70" s="661"/>
      <c r="C70" s="646"/>
      <c r="D70" s="662"/>
      <c r="E70" s="662"/>
      <c r="F70" s="662"/>
      <c r="G70" s="662"/>
      <c r="H70" s="662"/>
      <c r="I70" s="663"/>
      <c r="J70" s="660"/>
      <c r="K70" s="664"/>
    </row>
    <row r="71" spans="1:11" ht="15.75">
      <c r="A71" s="660"/>
      <c r="B71" s="980" t="s">
        <v>1271</v>
      </c>
      <c r="C71" s="646"/>
      <c r="D71" s="662"/>
      <c r="E71" s="662"/>
      <c r="F71" s="662"/>
      <c r="G71" s="662"/>
      <c r="H71" s="662"/>
      <c r="I71" s="663"/>
      <c r="J71" s="660"/>
      <c r="K71" s="664"/>
    </row>
    <row r="72" spans="1:11" ht="15.75">
      <c r="A72" s="660" t="s">
        <v>1276</v>
      </c>
      <c r="B72" s="979" t="s">
        <v>1272</v>
      </c>
      <c r="C72" s="646"/>
      <c r="D72" s="662">
        <v>-16979.876336499718</v>
      </c>
      <c r="E72" s="662">
        <v>0</v>
      </c>
      <c r="F72" s="662">
        <v>12</v>
      </c>
      <c r="G72" s="662">
        <v>10</v>
      </c>
      <c r="H72" s="662">
        <v>-1544</v>
      </c>
      <c r="I72" s="663">
        <f t="shared" ref="I72" si="6">(D72+E72)-H72</f>
        <v>-15435.876336499718</v>
      </c>
      <c r="J72" s="660" t="s">
        <v>121</v>
      </c>
      <c r="K72" s="664"/>
    </row>
    <row r="73" spans="1:11" ht="15.75">
      <c r="A73" s="660"/>
      <c r="B73" s="979"/>
      <c r="C73" s="646"/>
      <c r="D73" s="662"/>
      <c r="E73" s="662"/>
      <c r="F73" s="662"/>
      <c r="G73" s="662"/>
      <c r="H73" s="662"/>
      <c r="I73" s="663"/>
      <c r="J73" s="660"/>
      <c r="K73" s="664"/>
    </row>
    <row r="74" spans="1:11" ht="15.75">
      <c r="A74" s="660"/>
      <c r="B74" s="980" t="s">
        <v>1271</v>
      </c>
      <c r="C74" s="646"/>
      <c r="D74" s="662"/>
      <c r="E74" s="662"/>
      <c r="F74" s="662"/>
      <c r="G74" s="662"/>
      <c r="H74" s="662"/>
      <c r="I74" s="663"/>
      <c r="J74" s="660"/>
      <c r="K74" s="664"/>
    </row>
    <row r="75" spans="1:11" ht="15.75">
      <c r="A75" s="660" t="s">
        <v>1312</v>
      </c>
      <c r="B75" s="979" t="s">
        <v>1313</v>
      </c>
      <c r="C75" s="646"/>
      <c r="D75" s="662">
        <v>-16979.876336499718</v>
      </c>
      <c r="E75" s="662">
        <v>0</v>
      </c>
      <c r="F75" s="662">
        <v>11</v>
      </c>
      <c r="G75" s="662">
        <v>10</v>
      </c>
      <c r="H75" s="662">
        <v>-1544</v>
      </c>
      <c r="I75" s="663">
        <f t="shared" ref="I75" si="7">(D75+E75)-H75</f>
        <v>-15435.876336499718</v>
      </c>
      <c r="J75" s="660"/>
      <c r="K75" s="664"/>
    </row>
    <row r="76" spans="1:11" ht="15.75">
      <c r="A76" s="664"/>
      <c r="B76" s="646"/>
      <c r="C76" s="646"/>
      <c r="D76" s="665"/>
      <c r="E76" s="665"/>
      <c r="F76" s="665"/>
      <c r="G76" s="665"/>
      <c r="H76" s="665"/>
      <c r="I76" s="663"/>
      <c r="J76" s="664"/>
      <c r="K76" s="664"/>
    </row>
    <row r="77" spans="1:11" ht="15.75">
      <c r="A77" s="660">
        <v>4</v>
      </c>
      <c r="B77" s="667" t="s">
        <v>715</v>
      </c>
      <c r="C77" s="646"/>
      <c r="D77" s="662">
        <f>SUM(D13:D75)*('Attachment H-34A '!$D$163-1)</f>
        <v>389778.03173724026</v>
      </c>
      <c r="E77" s="662"/>
      <c r="F77" s="662"/>
      <c r="G77" s="662"/>
      <c r="H77" s="662">
        <f>SUM(H13:H75)*('Attachment H-34A '!$D$163-1)</f>
        <v>220478.7342988973</v>
      </c>
      <c r="I77" s="663">
        <f t="shared" ref="I77" si="8">(D77+E77)-H77</f>
        <v>169299.29743834297</v>
      </c>
      <c r="J77" s="660" t="s">
        <v>1277</v>
      </c>
      <c r="K77" s="664"/>
    </row>
    <row r="78" spans="1:11" ht="15.75">
      <c r="A78" s="664"/>
      <c r="B78" s="668"/>
      <c r="C78" s="646"/>
      <c r="D78" s="669"/>
      <c r="E78" s="669"/>
      <c r="F78" s="665"/>
      <c r="G78" s="665"/>
      <c r="H78" s="669"/>
      <c r="I78" s="670"/>
      <c r="J78" s="664"/>
      <c r="K78" s="664"/>
    </row>
    <row r="79" spans="1:11" ht="15.75">
      <c r="A79" s="660">
        <v>5</v>
      </c>
      <c r="B79" s="667" t="s">
        <v>716</v>
      </c>
      <c r="C79" s="646"/>
      <c r="D79" s="671">
        <f>SUM(D13:D78)</f>
        <v>1448068.446219096</v>
      </c>
      <c r="E79" s="671">
        <f>SUM(E13:E78)</f>
        <v>0</v>
      </c>
      <c r="F79" s="672"/>
      <c r="G79" s="672"/>
      <c r="H79" s="671">
        <f>SUM(H13:H78)</f>
        <v>819102.85394376551</v>
      </c>
      <c r="I79" s="671">
        <f>SUM(I13:I78)</f>
        <v>628965.59227533056</v>
      </c>
      <c r="J79" s="646"/>
      <c r="K79" s="646"/>
    </row>
    <row r="80" spans="1:11" ht="15.75">
      <c r="A80" s="646"/>
      <c r="B80" s="668"/>
      <c r="C80" s="646"/>
      <c r="D80" s="672"/>
      <c r="E80" s="671"/>
      <c r="F80" s="672"/>
      <c r="G80" s="672"/>
      <c r="H80" s="671"/>
      <c r="I80" s="646"/>
      <c r="J80" s="646"/>
      <c r="K80" s="646"/>
    </row>
    <row r="81" spans="1:11" ht="78.75">
      <c r="A81" s="656" t="s">
        <v>177</v>
      </c>
      <c r="B81" s="656" t="s">
        <v>577</v>
      </c>
      <c r="C81" s="646"/>
      <c r="D81" s="656" t="s">
        <v>717</v>
      </c>
      <c r="E81" s="656" t="s">
        <v>707</v>
      </c>
      <c r="F81" s="656" t="s">
        <v>708</v>
      </c>
      <c r="G81" s="656" t="s">
        <v>615</v>
      </c>
      <c r="H81" s="656" t="s">
        <v>709</v>
      </c>
      <c r="I81" s="656" t="s">
        <v>710</v>
      </c>
      <c r="J81" s="656" t="s">
        <v>580</v>
      </c>
      <c r="K81" s="657"/>
    </row>
    <row r="82" spans="1:11" ht="15.75">
      <c r="A82" s="657"/>
      <c r="B82" s="658" t="s">
        <v>718</v>
      </c>
      <c r="C82" s="646"/>
      <c r="D82" s="657"/>
      <c r="E82" s="657"/>
      <c r="F82" s="657"/>
      <c r="G82" s="657"/>
      <c r="H82" s="657"/>
      <c r="I82" s="657"/>
      <c r="J82" s="657"/>
      <c r="K82" s="657"/>
    </row>
    <row r="83" spans="1:11" ht="15.75">
      <c r="A83" s="660">
        <f>A79+1</f>
        <v>6</v>
      </c>
      <c r="B83" s="646" t="s">
        <v>1294</v>
      </c>
      <c r="C83" s="646"/>
      <c r="D83" s="662">
        <v>255137.66000000003</v>
      </c>
      <c r="E83" s="662"/>
      <c r="F83" s="673" t="s">
        <v>579</v>
      </c>
      <c r="G83" s="673" t="s">
        <v>579</v>
      </c>
      <c r="H83" s="674">
        <v>4572.01</v>
      </c>
      <c r="I83" s="663">
        <f>(D83+E83)-H83</f>
        <v>250565.65000000002</v>
      </c>
      <c r="J83" s="660" t="s">
        <v>1277</v>
      </c>
      <c r="K83" s="664"/>
    </row>
    <row r="84" spans="1:11" ht="15.75">
      <c r="A84" s="660">
        <v>7</v>
      </c>
      <c r="B84" s="646" t="s">
        <v>1295</v>
      </c>
      <c r="C84" s="646"/>
      <c r="D84" s="662">
        <v>-14972218.860000001</v>
      </c>
      <c r="E84" s="662"/>
      <c r="F84" s="673" t="s">
        <v>579</v>
      </c>
      <c r="G84" s="673" t="s">
        <v>579</v>
      </c>
      <c r="H84" s="674">
        <v>-185805.1</v>
      </c>
      <c r="I84" s="663">
        <f t="shared" ref="I84:I101" si="9">(D84+E84)-H84</f>
        <v>-14786413.760000002</v>
      </c>
      <c r="J84" s="660" t="s">
        <v>1277</v>
      </c>
      <c r="K84" s="664"/>
    </row>
    <row r="85" spans="1:11" ht="15.75">
      <c r="A85" s="660">
        <v>8</v>
      </c>
      <c r="B85" s="646" t="s">
        <v>1296</v>
      </c>
      <c r="C85" s="646"/>
      <c r="D85" s="675">
        <v>0</v>
      </c>
      <c r="E85" s="675"/>
      <c r="F85" s="673" t="s">
        <v>579</v>
      </c>
      <c r="G85" s="673" t="s">
        <v>579</v>
      </c>
      <c r="H85" s="675">
        <v>0</v>
      </c>
      <c r="I85" s="663">
        <f t="shared" si="9"/>
        <v>0</v>
      </c>
      <c r="J85" s="660" t="s">
        <v>1277</v>
      </c>
      <c r="K85" s="664"/>
    </row>
    <row r="86" spans="1:11" ht="15.75">
      <c r="A86" s="660">
        <v>9</v>
      </c>
      <c r="B86" s="646" t="s">
        <v>1297</v>
      </c>
      <c r="C86" s="646"/>
      <c r="D86" s="662">
        <f>SUM(D83:D85)*('Attachment H-34A '!$D$163-1)</f>
        <v>-5420435.5104753645</v>
      </c>
      <c r="E86" s="987"/>
      <c r="F86" s="673" t="s">
        <v>579</v>
      </c>
      <c r="G86" s="673" t="s">
        <v>579</v>
      </c>
      <c r="H86" s="662">
        <f>SUM(H83:H85)*('Attachment H-34A '!$D$163-1)</f>
        <v>-66749.80339913987</v>
      </c>
      <c r="I86" s="663">
        <f t="shared" si="9"/>
        <v>-5353685.7070762245</v>
      </c>
      <c r="J86" s="660" t="s">
        <v>1277</v>
      </c>
      <c r="K86" s="664"/>
    </row>
    <row r="87" spans="1:11" ht="31.5">
      <c r="A87" s="660">
        <v>10</v>
      </c>
      <c r="B87" s="988" t="s">
        <v>1330</v>
      </c>
      <c r="C87" s="646"/>
      <c r="D87" s="675">
        <v>42477.39</v>
      </c>
      <c r="E87" s="675"/>
      <c r="F87" s="673" t="s">
        <v>579</v>
      </c>
      <c r="G87" s="673" t="s">
        <v>579</v>
      </c>
      <c r="H87" s="675">
        <v>856.34</v>
      </c>
      <c r="I87" s="663">
        <f t="shared" si="9"/>
        <v>41621.050000000003</v>
      </c>
      <c r="J87" s="660" t="s">
        <v>1277</v>
      </c>
      <c r="K87" s="664"/>
    </row>
    <row r="88" spans="1:11" ht="31.5">
      <c r="A88" s="660">
        <v>11</v>
      </c>
      <c r="B88" s="988" t="s">
        <v>1329</v>
      </c>
      <c r="C88" s="646"/>
      <c r="D88" s="675">
        <v>-1032617.65</v>
      </c>
      <c r="E88" s="675"/>
      <c r="F88" s="673" t="s">
        <v>579</v>
      </c>
      <c r="G88" s="673" t="s">
        <v>579</v>
      </c>
      <c r="H88" s="675">
        <v>-9107.34</v>
      </c>
      <c r="I88" s="663">
        <f t="shared" si="9"/>
        <v>-1023510.31</v>
      </c>
      <c r="J88" s="660" t="s">
        <v>1277</v>
      </c>
      <c r="K88" s="664"/>
    </row>
    <row r="89" spans="1:11" ht="31.5">
      <c r="A89" s="660">
        <v>12</v>
      </c>
      <c r="B89" s="988" t="s">
        <v>1328</v>
      </c>
      <c r="C89" s="646"/>
      <c r="D89" s="675">
        <v>0</v>
      </c>
      <c r="E89" s="675"/>
      <c r="F89" s="673" t="s">
        <v>579</v>
      </c>
      <c r="G89" s="673" t="s">
        <v>579</v>
      </c>
      <c r="H89" s="675">
        <v>0</v>
      </c>
      <c r="I89" s="663">
        <f t="shared" si="9"/>
        <v>0</v>
      </c>
      <c r="J89" s="660" t="s">
        <v>1277</v>
      </c>
      <c r="K89" s="664"/>
    </row>
    <row r="90" spans="1:11" ht="31.5">
      <c r="A90" s="660">
        <v>13</v>
      </c>
      <c r="B90" s="988" t="s">
        <v>1327</v>
      </c>
      <c r="C90" s="646"/>
      <c r="D90" s="675">
        <f>SUM(D87:D89)*('Attachment H-34A '!$D$163-1)</f>
        <v>-364677.70699364692</v>
      </c>
      <c r="E90" s="675"/>
      <c r="F90" s="673" t="s">
        <v>579</v>
      </c>
      <c r="G90" s="673" t="s">
        <v>579</v>
      </c>
      <c r="H90" s="675">
        <f>SUM(H87:H89)*('Attachment H-34A '!$D$163-1)</f>
        <v>-3038.9187087540313</v>
      </c>
      <c r="I90" s="994">
        <f t="shared" si="9"/>
        <v>-361638.78828489291</v>
      </c>
      <c r="J90" s="660" t="s">
        <v>1277</v>
      </c>
      <c r="K90" s="664"/>
    </row>
    <row r="91" spans="1:11" ht="31.5">
      <c r="A91" s="660">
        <v>14</v>
      </c>
      <c r="B91" s="988" t="s">
        <v>1326</v>
      </c>
      <c r="C91" s="646"/>
      <c r="D91" s="675">
        <v>37180.61</v>
      </c>
      <c r="E91" s="675"/>
      <c r="F91" s="673" t="s">
        <v>579</v>
      </c>
      <c r="G91" s="673" t="s">
        <v>579</v>
      </c>
      <c r="H91" s="675">
        <v>706.14</v>
      </c>
      <c r="I91" s="994">
        <f t="shared" si="9"/>
        <v>36474.47</v>
      </c>
      <c r="J91" s="660" t="s">
        <v>1277</v>
      </c>
      <c r="K91" s="664"/>
    </row>
    <row r="92" spans="1:11" ht="31.5">
      <c r="A92" s="660">
        <v>15</v>
      </c>
      <c r="B92" s="988" t="s">
        <v>1325</v>
      </c>
      <c r="C92" s="646"/>
      <c r="D92" s="675">
        <v>-839244.76</v>
      </c>
      <c r="E92" s="675"/>
      <c r="F92" s="673" t="s">
        <v>579</v>
      </c>
      <c r="G92" s="673" t="s">
        <v>579</v>
      </c>
      <c r="H92" s="675">
        <v>-7827.9900000000007</v>
      </c>
      <c r="I92" s="994">
        <f t="shared" si="9"/>
        <v>-831416.77</v>
      </c>
      <c r="J92" s="660" t="s">
        <v>1277</v>
      </c>
      <c r="K92" s="664"/>
    </row>
    <row r="93" spans="1:11" ht="31.5">
      <c r="A93" s="660">
        <v>16</v>
      </c>
      <c r="B93" s="988" t="s">
        <v>1324</v>
      </c>
      <c r="C93" s="646"/>
      <c r="D93" s="675">
        <v>0</v>
      </c>
      <c r="E93" s="675"/>
      <c r="F93" s="673" t="s">
        <v>579</v>
      </c>
      <c r="G93" s="673" t="s">
        <v>579</v>
      </c>
      <c r="H93" s="675">
        <v>0</v>
      </c>
      <c r="I93" s="994">
        <f t="shared" si="9"/>
        <v>0</v>
      </c>
      <c r="J93" s="660" t="s">
        <v>1277</v>
      </c>
      <c r="K93" s="664"/>
    </row>
    <row r="94" spans="1:11" ht="31.5">
      <c r="A94" s="660">
        <v>17</v>
      </c>
      <c r="B94" s="988" t="s">
        <v>1323</v>
      </c>
      <c r="C94" s="646"/>
      <c r="D94" s="675">
        <f>SUM(D91:D93)*('Attachment H-34A '!$D$163-1)</f>
        <v>-295407.55678777111</v>
      </c>
      <c r="E94" s="675"/>
      <c r="F94" s="673" t="s">
        <v>579</v>
      </c>
      <c r="G94" s="673" t="s">
        <v>579</v>
      </c>
      <c r="H94" s="675">
        <f>SUM(H91:H93)*('Attachment H-34A '!$D$163-1)</f>
        <v>-2623.0424440601014</v>
      </c>
      <c r="I94" s="994">
        <f t="shared" si="9"/>
        <v>-292784.51434371102</v>
      </c>
      <c r="J94" s="660" t="s">
        <v>1277</v>
      </c>
      <c r="K94" s="664"/>
    </row>
    <row r="95" spans="1:11" ht="31.5">
      <c r="A95" s="660">
        <v>18</v>
      </c>
      <c r="B95" s="988" t="s">
        <v>1322</v>
      </c>
      <c r="C95" s="646"/>
      <c r="D95" s="675">
        <v>31762.65</v>
      </c>
      <c r="E95" s="675"/>
      <c r="F95" s="673" t="s">
        <v>579</v>
      </c>
      <c r="G95" s="673" t="s">
        <v>579</v>
      </c>
      <c r="H95" s="675">
        <v>569.54999999999995</v>
      </c>
      <c r="I95" s="994">
        <f t="shared" si="9"/>
        <v>31193.100000000002</v>
      </c>
      <c r="J95" s="660" t="s">
        <v>1277</v>
      </c>
      <c r="K95" s="664"/>
    </row>
    <row r="96" spans="1:11" ht="31.5">
      <c r="A96" s="660">
        <v>19</v>
      </c>
      <c r="B96" s="988" t="s">
        <v>1321</v>
      </c>
      <c r="C96" s="646"/>
      <c r="D96" s="675">
        <v>-689586.42</v>
      </c>
      <c r="E96" s="675"/>
      <c r="F96" s="673" t="s">
        <v>579</v>
      </c>
      <c r="G96" s="673" t="s">
        <v>579</v>
      </c>
      <c r="H96" s="675">
        <v>-8654.98</v>
      </c>
      <c r="I96" s="994">
        <f t="shared" si="9"/>
        <v>-680931.44000000006</v>
      </c>
      <c r="J96" s="660" t="s">
        <v>1277</v>
      </c>
      <c r="K96" s="664"/>
    </row>
    <row r="97" spans="1:11" ht="31.5">
      <c r="A97" s="660">
        <v>20</v>
      </c>
      <c r="B97" s="988" t="s">
        <v>1320</v>
      </c>
      <c r="C97" s="646"/>
      <c r="D97" s="675">
        <v>0</v>
      </c>
      <c r="E97" s="675"/>
      <c r="F97" s="673" t="s">
        <v>579</v>
      </c>
      <c r="G97" s="673" t="s">
        <v>579</v>
      </c>
      <c r="H97" s="675">
        <v>0</v>
      </c>
      <c r="I97" s="994">
        <f t="shared" si="9"/>
        <v>0</v>
      </c>
      <c r="J97" s="660" t="s">
        <v>1277</v>
      </c>
      <c r="K97" s="664"/>
    </row>
    <row r="98" spans="1:11" ht="31.5">
      <c r="A98" s="660">
        <v>21</v>
      </c>
      <c r="B98" s="988" t="s">
        <v>1319</v>
      </c>
      <c r="C98" s="646"/>
      <c r="D98" s="675">
        <f>SUM(D95:D97)*('Attachment H-34A '!$D$163-1)</f>
        <v>-242282.50657085309</v>
      </c>
      <c r="E98" s="675"/>
      <c r="F98" s="673" t="s">
        <v>579</v>
      </c>
      <c r="G98" s="673" t="s">
        <v>579</v>
      </c>
      <c r="H98" s="675">
        <f>SUM(H95:H97)*('Attachment H-34A '!$D$163-1)</f>
        <v>-2977.9377645523095</v>
      </c>
      <c r="I98" s="994">
        <f t="shared" si="9"/>
        <v>-239304.56880630078</v>
      </c>
      <c r="J98" s="660" t="s">
        <v>1277</v>
      </c>
      <c r="K98" s="664"/>
    </row>
    <row r="99" spans="1:11" ht="31.5">
      <c r="A99" s="660">
        <v>22</v>
      </c>
      <c r="B99" s="988" t="s">
        <v>1318</v>
      </c>
      <c r="C99" s="646"/>
      <c r="D99" s="675">
        <v>58632.990000000005</v>
      </c>
      <c r="E99" s="675"/>
      <c r="F99" s="673" t="s">
        <v>579</v>
      </c>
      <c r="G99" s="673" t="s">
        <v>579</v>
      </c>
      <c r="H99" s="675">
        <v>872.72</v>
      </c>
      <c r="I99" s="994">
        <f t="shared" si="9"/>
        <v>57760.270000000004</v>
      </c>
      <c r="J99" s="660" t="s">
        <v>1277</v>
      </c>
      <c r="K99" s="664"/>
    </row>
    <row r="100" spans="1:11" ht="31.5">
      <c r="A100" s="660">
        <v>23</v>
      </c>
      <c r="B100" s="988" t="s">
        <v>1317</v>
      </c>
      <c r="C100" s="646"/>
      <c r="D100" s="675">
        <v>-1141926.5799999998</v>
      </c>
      <c r="E100" s="675"/>
      <c r="F100" s="673" t="s">
        <v>579</v>
      </c>
      <c r="G100" s="673" t="s">
        <v>579</v>
      </c>
      <c r="H100" s="675">
        <v>-11469.34</v>
      </c>
      <c r="I100" s="994">
        <f t="shared" si="9"/>
        <v>-1130457.2399999998</v>
      </c>
      <c r="J100" s="660" t="s">
        <v>1277</v>
      </c>
      <c r="K100" s="664"/>
    </row>
    <row r="101" spans="1:11" ht="31.5">
      <c r="A101" s="660">
        <v>24</v>
      </c>
      <c r="B101" s="988" t="s">
        <v>1316</v>
      </c>
      <c r="C101" s="646"/>
      <c r="D101" s="675">
        <v>0</v>
      </c>
      <c r="E101" s="675"/>
      <c r="F101" s="673" t="s">
        <v>579</v>
      </c>
      <c r="G101" s="673" t="s">
        <v>579</v>
      </c>
      <c r="H101" s="675">
        <v>0</v>
      </c>
      <c r="I101" s="994">
        <f t="shared" si="9"/>
        <v>0</v>
      </c>
      <c r="J101" s="660" t="s">
        <v>1277</v>
      </c>
      <c r="K101" s="664"/>
    </row>
    <row r="102" spans="1:11" ht="31.5">
      <c r="A102" s="660">
        <v>25</v>
      </c>
      <c r="B102" s="988" t="s">
        <v>1315</v>
      </c>
      <c r="C102" s="646"/>
      <c r="D102" s="676">
        <f>SUM(D99:D101)*('Attachment H-34A '!$D$163-1)</f>
        <v>-398986.92979327578</v>
      </c>
      <c r="E102" s="676"/>
      <c r="F102" s="673" t="s">
        <v>579</v>
      </c>
      <c r="G102" s="673" t="s">
        <v>579</v>
      </c>
      <c r="H102" s="676">
        <f>SUM(H99:H101)*('Attachment H-34A '!$D$163-1)</f>
        <v>-3902.8319921896914</v>
      </c>
      <c r="I102" s="669">
        <f t="shared" ref="I102" si="10">(D102+E102)-H102</f>
        <v>-395084.09780108609</v>
      </c>
      <c r="J102" s="660" t="s">
        <v>1277</v>
      </c>
      <c r="K102" s="664"/>
    </row>
    <row r="103" spans="1:11" ht="15.75">
      <c r="A103" s="660">
        <v>26</v>
      </c>
      <c r="B103" s="667" t="s">
        <v>719</v>
      </c>
      <c r="C103" s="646"/>
      <c r="D103" s="677">
        <f>SUM(D83:D102)</f>
        <v>-24972193.180620916</v>
      </c>
      <c r="E103" s="677">
        <f>SUM(E83:E90)</f>
        <v>0</v>
      </c>
      <c r="F103" s="672"/>
      <c r="G103" s="672"/>
      <c r="H103" s="677">
        <f>SUM(H83:H102)</f>
        <v>-294580.52430869604</v>
      </c>
      <c r="I103" s="677">
        <f>SUM(I83:I102)</f>
        <v>-24677612.656312216</v>
      </c>
      <c r="J103" s="664"/>
      <c r="K103" s="664"/>
    </row>
    <row r="104" spans="1:11" ht="15.75">
      <c r="A104" s="664"/>
      <c r="B104" s="668"/>
      <c r="C104" s="646"/>
      <c r="D104" s="678"/>
      <c r="E104" s="678"/>
      <c r="F104" s="672"/>
      <c r="G104" s="672"/>
      <c r="H104" s="679"/>
      <c r="I104" s="677"/>
      <c r="J104" s="664"/>
      <c r="K104" s="664"/>
    </row>
    <row r="105" spans="1:11" ht="15.75">
      <c r="A105" s="660">
        <v>27</v>
      </c>
      <c r="B105" s="668" t="s">
        <v>720</v>
      </c>
      <c r="C105" s="646"/>
      <c r="D105" s="672"/>
      <c r="E105" s="672"/>
      <c r="F105" s="672"/>
      <c r="G105" s="672"/>
      <c r="H105" s="662"/>
      <c r="I105" s="646"/>
      <c r="J105" s="664"/>
      <c r="K105" s="664"/>
    </row>
    <row r="106" spans="1:11" ht="15.75">
      <c r="A106" s="664"/>
      <c r="B106" s="668"/>
      <c r="C106" s="646"/>
      <c r="D106" s="680"/>
      <c r="E106" s="680"/>
      <c r="F106" s="680"/>
      <c r="G106" s="680"/>
      <c r="H106" s="671"/>
      <c r="I106" s="646"/>
      <c r="J106" s="664"/>
      <c r="K106" s="664"/>
    </row>
    <row r="107" spans="1:11" ht="15.75">
      <c r="A107" s="660">
        <v>28</v>
      </c>
      <c r="B107" s="668" t="s">
        <v>721</v>
      </c>
      <c r="C107" s="646"/>
      <c r="D107" s="672"/>
      <c r="E107" s="672"/>
      <c r="F107" s="672"/>
      <c r="G107" s="672"/>
      <c r="H107" s="671">
        <f>SUM(H13:H75)+SUM(H83:H85)+H105+SUM(H87:H89)+SUM(H91:H93)+SUM(H95:H97)+SUM(H99:H101)</f>
        <v>383336.12964486826</v>
      </c>
      <c r="I107" s="646"/>
      <c r="J107" s="660" t="s">
        <v>1277</v>
      </c>
      <c r="K107" s="664"/>
    </row>
    <row r="108" spans="1:11" ht="15.75">
      <c r="A108" s="681"/>
      <c r="B108" s="668"/>
      <c r="D108" s="672"/>
      <c r="E108" s="672"/>
      <c r="F108" s="672"/>
      <c r="G108" s="672"/>
      <c r="H108" s="671"/>
      <c r="J108" s="681"/>
    </row>
    <row r="109" spans="1:11">
      <c r="A109" s="682" t="s">
        <v>224</v>
      </c>
      <c r="D109" s="683"/>
      <c r="E109" s="683"/>
      <c r="F109" s="683"/>
      <c r="G109" s="683"/>
      <c r="H109" s="684"/>
    </row>
    <row r="110" spans="1:11" ht="96.6" customHeight="1">
      <c r="A110" s="685" t="s">
        <v>104</v>
      </c>
      <c r="B110" s="1063" t="s">
        <v>1091</v>
      </c>
      <c r="C110" s="1063"/>
      <c r="D110" s="1063"/>
      <c r="E110" s="1063"/>
      <c r="F110" s="1063"/>
      <c r="G110" s="1063"/>
      <c r="H110" s="1063"/>
      <c r="I110" s="1063"/>
      <c r="J110" s="1063"/>
    </row>
    <row r="111" spans="1:11">
      <c r="A111" s="685" t="s">
        <v>105</v>
      </c>
      <c r="B111" s="686" t="s">
        <v>722</v>
      </c>
      <c r="C111" s="686"/>
      <c r="D111" s="687"/>
      <c r="E111" s="687"/>
      <c r="F111" s="687"/>
      <c r="G111" s="688"/>
      <c r="H111" s="689"/>
      <c r="I111" s="686"/>
      <c r="J111" s="686"/>
    </row>
    <row r="112" spans="1:11">
      <c r="A112" s="685" t="s">
        <v>106</v>
      </c>
      <c r="B112" s="686" t="s">
        <v>723</v>
      </c>
      <c r="C112" s="686"/>
      <c r="D112" s="687"/>
      <c r="E112" s="687"/>
      <c r="F112" s="687"/>
      <c r="G112" s="688"/>
      <c r="H112" s="689"/>
      <c r="I112" s="686"/>
      <c r="J112" s="686"/>
    </row>
    <row r="113" spans="1:10">
      <c r="A113" s="685" t="s">
        <v>107</v>
      </c>
      <c r="B113" s="686" t="s">
        <v>724</v>
      </c>
      <c r="C113" s="686"/>
      <c r="D113" s="688"/>
      <c r="E113" s="688"/>
      <c r="F113" s="688"/>
      <c r="G113" s="688"/>
      <c r="H113" s="689"/>
      <c r="I113" s="686"/>
      <c r="J113" s="686"/>
    </row>
    <row r="114" spans="1:10">
      <c r="A114" s="685"/>
      <c r="B114" s="686" t="s">
        <v>725</v>
      </c>
      <c r="C114" s="686" t="s">
        <v>726</v>
      </c>
      <c r="D114" s="687"/>
      <c r="E114" s="687"/>
      <c r="F114" s="687"/>
      <c r="G114" s="687"/>
      <c r="H114" s="689"/>
      <c r="I114" s="686"/>
      <c r="J114" s="686"/>
    </row>
    <row r="115" spans="1:10">
      <c r="A115" s="685"/>
      <c r="B115" s="686" t="s">
        <v>727</v>
      </c>
      <c r="C115" s="686"/>
      <c r="D115" s="688"/>
      <c r="E115" s="688"/>
      <c r="F115" s="688"/>
      <c r="G115" s="688"/>
      <c r="H115" s="689"/>
      <c r="I115" s="686"/>
      <c r="J115" s="686"/>
    </row>
    <row r="116" spans="1:10">
      <c r="A116" s="685" t="s">
        <v>108</v>
      </c>
      <c r="B116" s="686" t="s">
        <v>828</v>
      </c>
      <c r="C116" s="686"/>
      <c r="D116" s="688"/>
      <c r="E116" s="688"/>
      <c r="F116" s="688"/>
      <c r="H116" s="689"/>
      <c r="I116" s="686"/>
      <c r="J116" s="789"/>
    </row>
    <row r="117" spans="1:10">
      <c r="A117" s="685" t="s">
        <v>109</v>
      </c>
      <c r="B117" s="686" t="s">
        <v>728</v>
      </c>
      <c r="C117" s="686"/>
      <c r="D117" s="687"/>
      <c r="E117" s="687"/>
      <c r="F117" s="687"/>
      <c r="G117" s="688"/>
      <c r="H117" s="689"/>
      <c r="I117" s="686"/>
      <c r="J117" s="686"/>
    </row>
    <row r="118" spans="1:10" ht="15.75" customHeight="1">
      <c r="A118" s="685" t="s">
        <v>110</v>
      </c>
      <c r="B118" s="1063" t="s">
        <v>1093</v>
      </c>
      <c r="C118" s="1063"/>
      <c r="D118" s="1063"/>
      <c r="E118" s="1063"/>
      <c r="F118" s="1063"/>
      <c r="G118" s="1063"/>
      <c r="H118" s="1063"/>
      <c r="I118" s="1063"/>
      <c r="J118" s="1063"/>
    </row>
    <row r="119" spans="1:10" ht="15.75">
      <c r="A119" s="681"/>
      <c r="D119" s="680"/>
      <c r="E119" s="680"/>
      <c r="F119" s="680"/>
      <c r="G119" s="672"/>
      <c r="H119" s="671"/>
    </row>
    <row r="120" spans="1:10" ht="15.75">
      <c r="A120" s="681"/>
      <c r="D120" s="680"/>
      <c r="E120" s="680"/>
      <c r="F120" s="680"/>
      <c r="G120" s="672"/>
      <c r="H120" s="671"/>
    </row>
    <row r="121" spans="1:10" ht="15.75">
      <c r="A121" s="681"/>
      <c r="D121" s="680"/>
      <c r="E121" s="680"/>
      <c r="F121" s="680"/>
      <c r="G121" s="672"/>
      <c r="H121" s="671"/>
    </row>
    <row r="122" spans="1:10" ht="15.75">
      <c r="A122" s="690"/>
      <c r="D122" s="672"/>
      <c r="E122" s="672"/>
      <c r="F122" s="672"/>
      <c r="G122" s="672"/>
      <c r="H122" s="671"/>
    </row>
    <row r="123" spans="1:10" ht="15.75">
      <c r="A123" s="690"/>
      <c r="D123" s="672"/>
      <c r="E123" s="672"/>
      <c r="F123" s="672"/>
      <c r="G123" s="672"/>
      <c r="H123" s="671"/>
    </row>
    <row r="124" spans="1:10" ht="15.75">
      <c r="A124" s="690"/>
      <c r="D124" s="672"/>
      <c r="E124" s="672"/>
      <c r="F124" s="672"/>
      <c r="G124" s="672"/>
      <c r="H124" s="671"/>
    </row>
    <row r="125" spans="1:10" ht="15.75">
      <c r="A125" s="690"/>
      <c r="D125" s="672"/>
      <c r="E125" s="672"/>
      <c r="F125" s="672"/>
      <c r="G125" s="672"/>
      <c r="H125" s="671"/>
    </row>
    <row r="126" spans="1:10" ht="15.75">
      <c r="D126" s="672"/>
      <c r="E126" s="672"/>
      <c r="F126" s="672"/>
      <c r="G126" s="672"/>
      <c r="H126" s="671"/>
    </row>
    <row r="127" spans="1:10" ht="15.75">
      <c r="A127" s="690"/>
      <c r="D127" s="672"/>
      <c r="E127" s="672"/>
      <c r="F127" s="672"/>
    </row>
  </sheetData>
  <mergeCells count="4">
    <mergeCell ref="B5:I5"/>
    <mergeCell ref="B6:I6"/>
    <mergeCell ref="B110:J110"/>
    <mergeCell ref="B118:J118"/>
  </mergeCells>
  <pageMargins left="0.7" right="0.7" top="0.75" bottom="0.75" header="0.3" footer="0.3"/>
  <pageSetup scale="2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CDD4-99B8-4745-A088-5B53C67DB1AC}">
  <dimension ref="A2:AC52"/>
  <sheetViews>
    <sheetView view="pageBreakPreview" zoomScale="60" zoomScaleNormal="100" workbookViewId="0">
      <selection activeCell="A2" sqref="A2"/>
    </sheetView>
  </sheetViews>
  <sheetFormatPr defaultRowHeight="15"/>
  <cols>
    <col min="2" max="2" width="2" customWidth="1"/>
    <col min="3" max="3" width="35" customWidth="1"/>
    <col min="4" max="4" width="9.21875" customWidth="1"/>
    <col min="5" max="5" width="16.77734375" customWidth="1"/>
    <col min="6" max="6" width="14.21875" customWidth="1"/>
    <col min="7" max="7" width="6" customWidth="1"/>
    <col min="8" max="8" width="16" customWidth="1"/>
    <col min="9" max="9" width="15.21875" customWidth="1"/>
    <col min="10" max="10" width="16.44140625" customWidth="1"/>
    <col min="11" max="12" width="13" customWidth="1"/>
    <col min="13" max="13" width="12.5546875" customWidth="1"/>
    <col min="14" max="14" width="9.5546875" customWidth="1"/>
    <col min="15" max="15" width="10.6640625" customWidth="1"/>
    <col min="17" max="17" width="8.77734375" customWidth="1"/>
    <col min="18" max="20" width="9" bestFit="1" customWidth="1"/>
    <col min="22" max="22" width="13.21875" customWidth="1"/>
    <col min="23" max="23" width="10" customWidth="1"/>
    <col min="24" max="24" width="12.109375" customWidth="1"/>
    <col min="25" max="25" width="11.77734375" customWidth="1"/>
    <col min="26" max="26" width="9.88671875" customWidth="1"/>
    <col min="27" max="27" width="9.44140625" customWidth="1"/>
    <col min="28" max="28" width="11.77734375" customWidth="1"/>
    <col min="29" max="29" width="29.21875" bestFit="1" customWidth="1"/>
  </cols>
  <sheetData>
    <row r="2" spans="1:29" ht="15.75">
      <c r="AA2" s="758"/>
      <c r="AB2" s="758"/>
      <c r="AC2" s="759" t="str">
        <f>'Attachment H-34A '!K1&amp;""&amp;", Attachment 16"</f>
        <v>Attachment H-34A, Attachment 16</v>
      </c>
    </row>
    <row r="3" spans="1:29" ht="15.75">
      <c r="AA3" s="758"/>
      <c r="AB3" s="758"/>
      <c r="AC3" s="759" t="s">
        <v>186</v>
      </c>
    </row>
    <row r="4" spans="1:29" ht="15.75">
      <c r="AA4" s="758"/>
      <c r="AB4" s="758"/>
      <c r="AC4" s="760" t="str">
        <f>'Attachment H-34A '!K4</f>
        <v>For the 12 months ended 12/31/2026</v>
      </c>
    </row>
    <row r="5" spans="1:29" ht="15.75">
      <c r="M5" s="757" t="s">
        <v>987</v>
      </c>
    </row>
    <row r="7" spans="1:29" ht="15.75">
      <c r="A7" s="693"/>
      <c r="B7" s="632"/>
      <c r="C7" s="790"/>
      <c r="D7" s="790"/>
      <c r="E7" s="631"/>
      <c r="F7" s="631"/>
      <c r="G7" s="631"/>
      <c r="H7" s="631"/>
      <c r="I7" s="631"/>
      <c r="J7" s="631"/>
      <c r="K7" s="631"/>
      <c r="L7" s="631" t="s">
        <v>692</v>
      </c>
      <c r="M7" s="631" t="str">
        <f>"("&amp;CHAR(CODE(MID(L7,2,1))+1)&amp;")"</f>
        <v>(B)</v>
      </c>
      <c r="N7" s="631" t="str">
        <f t="shared" ref="N7:AC7" si="0">"("&amp;CHAR(CODE(MID(M7,2,1))+1)&amp;")"</f>
        <v>(C)</v>
      </c>
      <c r="O7" s="631" t="str">
        <f t="shared" si="0"/>
        <v>(D)</v>
      </c>
      <c r="P7" s="631" t="str">
        <f t="shared" si="0"/>
        <v>(E)</v>
      </c>
      <c r="Q7" s="631" t="str">
        <f t="shared" si="0"/>
        <v>(F)</v>
      </c>
      <c r="R7" s="631" t="str">
        <f t="shared" si="0"/>
        <v>(G)</v>
      </c>
      <c r="S7" s="631" t="str">
        <f t="shared" si="0"/>
        <v>(H)</v>
      </c>
      <c r="T7" s="631" t="str">
        <f t="shared" si="0"/>
        <v>(I)</v>
      </c>
      <c r="U7" s="631" t="str">
        <f t="shared" si="0"/>
        <v>(J)</v>
      </c>
      <c r="V7" s="631" t="str">
        <f>"("&amp;CHAR(CODE(MID(U7,2,1))+1)&amp;")"</f>
        <v>(K)</v>
      </c>
      <c r="W7" s="631" t="str">
        <f t="shared" si="0"/>
        <v>(L)</v>
      </c>
      <c r="X7" s="631" t="str">
        <f t="shared" si="0"/>
        <v>(M)</v>
      </c>
      <c r="Y7" s="631" t="str">
        <f t="shared" si="0"/>
        <v>(N)</v>
      </c>
      <c r="Z7" s="631" t="str">
        <f>"("&amp;CHAR(CODE(MID(Y7,2,1))+1)&amp;")"</f>
        <v>(O)</v>
      </c>
      <c r="AA7" s="631" t="str">
        <f t="shared" si="0"/>
        <v>(P)</v>
      </c>
      <c r="AB7" s="631" t="str">
        <f t="shared" si="0"/>
        <v>(Q)</v>
      </c>
      <c r="AC7" s="631" t="str">
        <f t="shared" si="0"/>
        <v>(R)</v>
      </c>
    </row>
    <row r="8" spans="1:29" ht="29.45" customHeight="1">
      <c r="A8" s="693"/>
      <c r="B8" s="632"/>
      <c r="C8" s="632"/>
      <c r="D8" s="632"/>
      <c r="E8" s="632"/>
      <c r="F8" s="632"/>
      <c r="G8" s="632"/>
      <c r="H8" s="632"/>
      <c r="I8" s="632"/>
      <c r="J8" s="632"/>
      <c r="K8" s="632"/>
      <c r="L8" s="632"/>
      <c r="M8" s="788">
        <f>(MID(AC4:AC4,31,10)-1)</f>
        <v>2025</v>
      </c>
      <c r="N8" s="694">
        <f t="shared" ref="N8:Y8" si="1">$M$8+1</f>
        <v>2026</v>
      </c>
      <c r="O8" s="694">
        <f t="shared" si="1"/>
        <v>2026</v>
      </c>
      <c r="P8" s="694">
        <f t="shared" si="1"/>
        <v>2026</v>
      </c>
      <c r="Q8" s="694">
        <f t="shared" si="1"/>
        <v>2026</v>
      </c>
      <c r="R8" s="694">
        <f t="shared" si="1"/>
        <v>2026</v>
      </c>
      <c r="S8" s="694">
        <f t="shared" si="1"/>
        <v>2026</v>
      </c>
      <c r="T8" s="694">
        <f t="shared" si="1"/>
        <v>2026</v>
      </c>
      <c r="U8" s="694">
        <f t="shared" si="1"/>
        <v>2026</v>
      </c>
      <c r="V8" s="694">
        <f t="shared" si="1"/>
        <v>2026</v>
      </c>
      <c r="W8" s="694">
        <f t="shared" si="1"/>
        <v>2026</v>
      </c>
      <c r="X8" s="694">
        <f t="shared" si="1"/>
        <v>2026</v>
      </c>
      <c r="Y8" s="694">
        <f t="shared" si="1"/>
        <v>2026</v>
      </c>
      <c r="Z8" s="693"/>
      <c r="AA8" s="744"/>
      <c r="AB8" s="693"/>
      <c r="AC8" s="693"/>
    </row>
    <row r="9" spans="1:29" ht="67.150000000000006" customHeight="1">
      <c r="A9" s="695" t="s">
        <v>177</v>
      </c>
      <c r="B9" s="745"/>
      <c r="C9" s="699" t="s">
        <v>775</v>
      </c>
      <c r="D9" s="699" t="s">
        <v>193</v>
      </c>
      <c r="E9" s="699" t="s">
        <v>776</v>
      </c>
      <c r="F9" s="699" t="s">
        <v>774</v>
      </c>
      <c r="G9" s="699" t="s">
        <v>781</v>
      </c>
      <c r="H9" s="699" t="s">
        <v>773</v>
      </c>
      <c r="I9" s="699" t="s">
        <v>802</v>
      </c>
      <c r="J9" s="699" t="s">
        <v>783</v>
      </c>
      <c r="K9" s="699" t="s">
        <v>771</v>
      </c>
      <c r="L9" s="699" t="s">
        <v>772</v>
      </c>
      <c r="M9" s="700" t="s">
        <v>234</v>
      </c>
      <c r="N9" s="700" t="s">
        <v>732</v>
      </c>
      <c r="O9" s="700" t="s">
        <v>733</v>
      </c>
      <c r="P9" s="700" t="s">
        <v>734</v>
      </c>
      <c r="Q9" s="700" t="s">
        <v>735</v>
      </c>
      <c r="R9" s="700" t="s">
        <v>736</v>
      </c>
      <c r="S9" s="700" t="s">
        <v>737</v>
      </c>
      <c r="T9" s="700" t="s">
        <v>738</v>
      </c>
      <c r="U9" s="700" t="s">
        <v>739</v>
      </c>
      <c r="V9" s="700" t="s">
        <v>740</v>
      </c>
      <c r="W9" s="700" t="s">
        <v>741</v>
      </c>
      <c r="X9" s="700" t="s">
        <v>742</v>
      </c>
      <c r="Y9" s="700" t="s">
        <v>234</v>
      </c>
      <c r="Z9" s="700" t="s">
        <v>777</v>
      </c>
      <c r="AA9" s="746" t="s">
        <v>778</v>
      </c>
      <c r="AB9" s="700" t="s">
        <v>779</v>
      </c>
      <c r="AC9" s="700" t="s">
        <v>780</v>
      </c>
    </row>
    <row r="10" spans="1:29" ht="15.75">
      <c r="A10" s="751">
        <v>1</v>
      </c>
      <c r="B10" s="693"/>
      <c r="C10" s="748"/>
      <c r="D10" s="317"/>
      <c r="E10" s="776"/>
      <c r="F10" s="776"/>
      <c r="G10" s="776"/>
      <c r="H10" s="777"/>
      <c r="I10" s="707">
        <f>IF(G10=0,0,(G10*12))</f>
        <v>0</v>
      </c>
      <c r="J10" s="707">
        <f>IF(I10=0,F10,(F10-I10+12))</f>
        <v>0</v>
      </c>
      <c r="K10" s="707">
        <f>IF(I10=0,0,IFERROR(E10/J10,0))</f>
        <v>0</v>
      </c>
      <c r="L10" s="707">
        <f>K10*12</f>
        <v>0</v>
      </c>
      <c r="M10" s="707">
        <f>E10</f>
        <v>0</v>
      </c>
      <c r="N10" s="707">
        <f>M10-K10</f>
        <v>0</v>
      </c>
      <c r="O10" s="707">
        <f>IF(N10-$K10&gt;=0,N10-$K10,0)</f>
        <v>0</v>
      </c>
      <c r="P10" s="707">
        <f t="shared" ref="P10:Y11" si="2">IF(O10-$K10&gt;=0,O10-$K10,0)</f>
        <v>0</v>
      </c>
      <c r="Q10" s="707">
        <f>IF(P10-$K10&gt;=0,P10-$K10,0)</f>
        <v>0</v>
      </c>
      <c r="R10" s="707">
        <f t="shared" si="2"/>
        <v>0</v>
      </c>
      <c r="S10" s="707">
        <f t="shared" si="2"/>
        <v>0</v>
      </c>
      <c r="T10" s="707">
        <f t="shared" si="2"/>
        <v>0</v>
      </c>
      <c r="U10" s="707">
        <f t="shared" si="2"/>
        <v>0</v>
      </c>
      <c r="V10" s="707">
        <f t="shared" si="2"/>
        <v>0</v>
      </c>
      <c r="W10" s="707">
        <f t="shared" si="2"/>
        <v>0</v>
      </c>
      <c r="X10" s="707">
        <f t="shared" si="2"/>
        <v>0</v>
      </c>
      <c r="Y10" s="707">
        <f>IF(X10-$K10&gt;=0,X10-$K10,0)</f>
        <v>0</v>
      </c>
      <c r="Z10" s="707">
        <f>SUM(M10:Y10)/13</f>
        <v>0</v>
      </c>
      <c r="AA10" s="750">
        <f>Z10*'Attachment H-34A '!$I$263</f>
        <v>0</v>
      </c>
      <c r="AB10" s="707">
        <f>AA10*'Attachment H-34A '!$D$160</f>
        <v>0</v>
      </c>
      <c r="AC10" s="782">
        <f>L10+AA10+AB10</f>
        <v>0</v>
      </c>
    </row>
    <row r="11" spans="1:29" ht="15.75">
      <c r="A11" s="751">
        <v>1.01</v>
      </c>
      <c r="B11" s="632"/>
      <c r="C11" s="748"/>
      <c r="D11" s="317"/>
      <c r="E11" s="776"/>
      <c r="F11" s="776"/>
      <c r="G11" s="776"/>
      <c r="H11" s="777"/>
      <c r="I11" s="707">
        <f>IF(G11=0,0,(G11*12))</f>
        <v>0</v>
      </c>
      <c r="J11" s="707">
        <f t="shared" ref="J11:J20" si="3">IF(I11=0,F11,(F11-I11+12))</f>
        <v>0</v>
      </c>
      <c r="K11" s="707">
        <f>IF(I11=0,0,IFERROR(E11/J11,0))</f>
        <v>0</v>
      </c>
      <c r="L11" s="707">
        <f>K11*12</f>
        <v>0</v>
      </c>
      <c r="M11" s="707">
        <f>E11</f>
        <v>0</v>
      </c>
      <c r="N11" s="707">
        <f>M11-K11</f>
        <v>0</v>
      </c>
      <c r="O11" s="707">
        <f>IF(N11-$K11&gt;=0,N11-$K11,0)</f>
        <v>0</v>
      </c>
      <c r="P11" s="707">
        <f t="shared" si="2"/>
        <v>0</v>
      </c>
      <c r="Q11" s="707">
        <f t="shared" si="2"/>
        <v>0</v>
      </c>
      <c r="R11" s="707">
        <f t="shared" si="2"/>
        <v>0</v>
      </c>
      <c r="S11" s="707">
        <f t="shared" si="2"/>
        <v>0</v>
      </c>
      <c r="T11" s="707">
        <f t="shared" si="2"/>
        <v>0</v>
      </c>
      <c r="U11" s="707">
        <f t="shared" si="2"/>
        <v>0</v>
      </c>
      <c r="V11" s="707">
        <f t="shared" si="2"/>
        <v>0</v>
      </c>
      <c r="W11" s="707">
        <f t="shared" si="2"/>
        <v>0</v>
      </c>
      <c r="X11" s="707">
        <f t="shared" si="2"/>
        <v>0</v>
      </c>
      <c r="Y11" s="707">
        <f t="shared" si="2"/>
        <v>0</v>
      </c>
      <c r="Z11" s="707">
        <f>SUM(M11:Y11)/13</f>
        <v>0</v>
      </c>
      <c r="AA11" s="750">
        <f>Z11*'Attachment H-34A '!$I$263</f>
        <v>0</v>
      </c>
      <c r="AB11" s="707">
        <f>AA11*'Attachment H-34A '!$D$160</f>
        <v>0</v>
      </c>
      <c r="AC11" s="707">
        <f>L11+AA11+AB11</f>
        <v>0</v>
      </c>
    </row>
    <row r="12" spans="1:29" ht="15.75">
      <c r="A12" s="751">
        <f>A11+0.01</f>
        <v>1.02</v>
      </c>
      <c r="B12" s="632"/>
      <c r="C12" s="748"/>
      <c r="D12" s="749"/>
      <c r="E12" s="776"/>
      <c r="F12" s="776"/>
      <c r="G12" s="776"/>
      <c r="H12" s="777"/>
      <c r="I12" s="707">
        <f t="shared" ref="I12:I20" si="4">IF(G12=0,0,(G12*12))</f>
        <v>0</v>
      </c>
      <c r="J12" s="707">
        <f t="shared" si="3"/>
        <v>0</v>
      </c>
      <c r="K12" s="707">
        <f t="shared" ref="K12:K20" si="5">IF(I12=0,0,IFERROR(E12/J12,0))</f>
        <v>0</v>
      </c>
      <c r="L12" s="707">
        <f t="shared" ref="L12:L20" si="6">K12*12</f>
        <v>0</v>
      </c>
      <c r="M12" s="707">
        <f t="shared" ref="M12:M20" si="7">E12</f>
        <v>0</v>
      </c>
      <c r="N12" s="707">
        <f t="shared" ref="N12:N20" si="8">M12-K12</f>
        <v>0</v>
      </c>
      <c r="O12" s="707">
        <f t="shared" ref="O12:Y12" si="9">IF(N12-$K12&gt;=0,N12-$K12,0)</f>
        <v>0</v>
      </c>
      <c r="P12" s="707">
        <f t="shared" si="9"/>
        <v>0</v>
      </c>
      <c r="Q12" s="707">
        <f t="shared" si="9"/>
        <v>0</v>
      </c>
      <c r="R12" s="707">
        <f t="shared" si="9"/>
        <v>0</v>
      </c>
      <c r="S12" s="707">
        <f t="shared" si="9"/>
        <v>0</v>
      </c>
      <c r="T12" s="707">
        <f t="shared" si="9"/>
        <v>0</v>
      </c>
      <c r="U12" s="707">
        <f t="shared" si="9"/>
        <v>0</v>
      </c>
      <c r="V12" s="707">
        <f t="shared" si="9"/>
        <v>0</v>
      </c>
      <c r="W12" s="707">
        <f t="shared" si="9"/>
        <v>0</v>
      </c>
      <c r="X12" s="707">
        <f t="shared" si="9"/>
        <v>0</v>
      </c>
      <c r="Y12" s="707">
        <f t="shared" si="9"/>
        <v>0</v>
      </c>
      <c r="Z12" s="707">
        <f t="shared" ref="Z12:Z19" si="10">SUM(M12:Y12)/13</f>
        <v>0</v>
      </c>
      <c r="AA12" s="750">
        <f>Z12*'Attachment H-34A '!$I$263</f>
        <v>0</v>
      </c>
      <c r="AB12" s="707">
        <f>AA12*'Attachment H-34A '!$D$160</f>
        <v>0</v>
      </c>
      <c r="AC12" s="707">
        <f t="shared" ref="AC12:AC20" si="11">L12+AA12+AB12</f>
        <v>0</v>
      </c>
    </row>
    <row r="13" spans="1:29" ht="15.75">
      <c r="A13" s="751">
        <f t="shared" ref="A13:A20" si="12">A12+0.01</f>
        <v>1.03</v>
      </c>
      <c r="B13" s="632"/>
      <c r="C13" s="748"/>
      <c r="D13" s="749"/>
      <c r="E13" s="776"/>
      <c r="F13" s="776"/>
      <c r="G13" s="776"/>
      <c r="H13" s="777"/>
      <c r="I13" s="707">
        <f t="shared" si="4"/>
        <v>0</v>
      </c>
      <c r="J13" s="707">
        <f t="shared" si="3"/>
        <v>0</v>
      </c>
      <c r="K13" s="707">
        <f t="shared" si="5"/>
        <v>0</v>
      </c>
      <c r="L13" s="707">
        <f t="shared" si="6"/>
        <v>0</v>
      </c>
      <c r="M13" s="707">
        <f t="shared" si="7"/>
        <v>0</v>
      </c>
      <c r="N13" s="707">
        <f t="shared" si="8"/>
        <v>0</v>
      </c>
      <c r="O13" s="707">
        <f t="shared" ref="O13:Y13" si="13">IF(N13-$K13&gt;=0,N13-$K13,0)</f>
        <v>0</v>
      </c>
      <c r="P13" s="707">
        <f t="shared" si="13"/>
        <v>0</v>
      </c>
      <c r="Q13" s="707">
        <f t="shared" si="13"/>
        <v>0</v>
      </c>
      <c r="R13" s="707">
        <f t="shared" si="13"/>
        <v>0</v>
      </c>
      <c r="S13" s="707">
        <f t="shared" si="13"/>
        <v>0</v>
      </c>
      <c r="T13" s="707">
        <f t="shared" si="13"/>
        <v>0</v>
      </c>
      <c r="U13" s="707">
        <f t="shared" si="13"/>
        <v>0</v>
      </c>
      <c r="V13" s="707">
        <f t="shared" si="13"/>
        <v>0</v>
      </c>
      <c r="W13" s="707">
        <f t="shared" si="13"/>
        <v>0</v>
      </c>
      <c r="X13" s="707">
        <f t="shared" si="13"/>
        <v>0</v>
      </c>
      <c r="Y13" s="707">
        <f t="shared" si="13"/>
        <v>0</v>
      </c>
      <c r="Z13" s="707">
        <f t="shared" si="10"/>
        <v>0</v>
      </c>
      <c r="AA13" s="750">
        <f>Z13*'Attachment H-34A '!$I$263</f>
        <v>0</v>
      </c>
      <c r="AB13" s="707">
        <f>AA13*'Attachment H-34A '!$D$160</f>
        <v>0</v>
      </c>
      <c r="AC13" s="707">
        <f t="shared" si="11"/>
        <v>0</v>
      </c>
    </row>
    <row r="14" spans="1:29" ht="15.75">
      <c r="A14" s="751">
        <f t="shared" si="12"/>
        <v>1.04</v>
      </c>
      <c r="B14" s="632"/>
      <c r="C14" s="748"/>
      <c r="D14" s="749"/>
      <c r="E14" s="776"/>
      <c r="F14" s="776"/>
      <c r="G14" s="776"/>
      <c r="H14" s="777"/>
      <c r="I14" s="707">
        <f t="shared" si="4"/>
        <v>0</v>
      </c>
      <c r="J14" s="707">
        <f t="shared" si="3"/>
        <v>0</v>
      </c>
      <c r="K14" s="707">
        <f t="shared" si="5"/>
        <v>0</v>
      </c>
      <c r="L14" s="707">
        <f t="shared" si="6"/>
        <v>0</v>
      </c>
      <c r="M14" s="707">
        <f t="shared" si="7"/>
        <v>0</v>
      </c>
      <c r="N14" s="707">
        <f t="shared" si="8"/>
        <v>0</v>
      </c>
      <c r="O14" s="707">
        <f>IF(N14-$K14&gt;=0,N14-$K14,0)</f>
        <v>0</v>
      </c>
      <c r="P14" s="707">
        <f t="shared" ref="P14:Y14" si="14">IF(O14-$K14&gt;=0,O14-$K14,0)</f>
        <v>0</v>
      </c>
      <c r="Q14" s="707">
        <f t="shared" si="14"/>
        <v>0</v>
      </c>
      <c r="R14" s="707">
        <f t="shared" si="14"/>
        <v>0</v>
      </c>
      <c r="S14" s="707">
        <f t="shared" si="14"/>
        <v>0</v>
      </c>
      <c r="T14" s="707">
        <f t="shared" si="14"/>
        <v>0</v>
      </c>
      <c r="U14" s="707">
        <f t="shared" si="14"/>
        <v>0</v>
      </c>
      <c r="V14" s="707">
        <f t="shared" si="14"/>
        <v>0</v>
      </c>
      <c r="W14" s="707">
        <f t="shared" si="14"/>
        <v>0</v>
      </c>
      <c r="X14" s="707">
        <f t="shared" si="14"/>
        <v>0</v>
      </c>
      <c r="Y14" s="707">
        <f t="shared" si="14"/>
        <v>0</v>
      </c>
      <c r="Z14" s="707">
        <f t="shared" si="10"/>
        <v>0</v>
      </c>
      <c r="AA14" s="750">
        <f>Z14*'Attachment H-34A '!$I$263</f>
        <v>0</v>
      </c>
      <c r="AB14" s="707">
        <f>AA14*'Attachment H-34A '!$D$160</f>
        <v>0</v>
      </c>
      <c r="AC14" s="707">
        <f t="shared" si="11"/>
        <v>0</v>
      </c>
    </row>
    <row r="15" spans="1:29" ht="15.75">
      <c r="A15" s="751">
        <f t="shared" si="12"/>
        <v>1.05</v>
      </c>
      <c r="B15" s="632"/>
      <c r="C15" s="748"/>
      <c r="D15" s="749"/>
      <c r="E15" s="776"/>
      <c r="F15" s="776"/>
      <c r="G15" s="776"/>
      <c r="H15" s="777"/>
      <c r="I15" s="707">
        <f t="shared" si="4"/>
        <v>0</v>
      </c>
      <c r="J15" s="707">
        <f t="shared" si="3"/>
        <v>0</v>
      </c>
      <c r="K15" s="707">
        <f t="shared" si="5"/>
        <v>0</v>
      </c>
      <c r="L15" s="707">
        <f t="shared" si="6"/>
        <v>0</v>
      </c>
      <c r="M15" s="707">
        <f t="shared" si="7"/>
        <v>0</v>
      </c>
      <c r="N15" s="707">
        <f t="shared" si="8"/>
        <v>0</v>
      </c>
      <c r="O15" s="707">
        <f t="shared" ref="O15:Y15" si="15">IF(N15-$K15&gt;=0,N15-$K15,0)</f>
        <v>0</v>
      </c>
      <c r="P15" s="707">
        <f t="shared" si="15"/>
        <v>0</v>
      </c>
      <c r="Q15" s="707">
        <f t="shared" si="15"/>
        <v>0</v>
      </c>
      <c r="R15" s="707">
        <f t="shared" si="15"/>
        <v>0</v>
      </c>
      <c r="S15" s="707">
        <f t="shared" si="15"/>
        <v>0</v>
      </c>
      <c r="T15" s="707">
        <f t="shared" si="15"/>
        <v>0</v>
      </c>
      <c r="U15" s="707">
        <f t="shared" si="15"/>
        <v>0</v>
      </c>
      <c r="V15" s="707">
        <f t="shared" si="15"/>
        <v>0</v>
      </c>
      <c r="W15" s="707">
        <f t="shared" si="15"/>
        <v>0</v>
      </c>
      <c r="X15" s="707">
        <f t="shared" si="15"/>
        <v>0</v>
      </c>
      <c r="Y15" s="707">
        <f t="shared" si="15"/>
        <v>0</v>
      </c>
      <c r="Z15" s="707">
        <f t="shared" si="10"/>
        <v>0</v>
      </c>
      <c r="AA15" s="750">
        <f>Z15*'Attachment H-34A '!$I$263</f>
        <v>0</v>
      </c>
      <c r="AB15" s="707">
        <f>AA15*'Attachment H-34A '!$D$160</f>
        <v>0</v>
      </c>
      <c r="AC15" s="707">
        <f t="shared" si="11"/>
        <v>0</v>
      </c>
    </row>
    <row r="16" spans="1:29" ht="15.75">
      <c r="A16" s="751">
        <f t="shared" si="12"/>
        <v>1.06</v>
      </c>
      <c r="B16" s="632"/>
      <c r="C16" s="748"/>
      <c r="D16" s="749"/>
      <c r="E16" s="776"/>
      <c r="F16" s="776"/>
      <c r="G16" s="776"/>
      <c r="H16" s="777"/>
      <c r="I16" s="707">
        <f t="shared" si="4"/>
        <v>0</v>
      </c>
      <c r="J16" s="707">
        <f t="shared" si="3"/>
        <v>0</v>
      </c>
      <c r="K16" s="707">
        <f t="shared" si="5"/>
        <v>0</v>
      </c>
      <c r="L16" s="707">
        <f t="shared" si="6"/>
        <v>0</v>
      </c>
      <c r="M16" s="707">
        <f t="shared" si="7"/>
        <v>0</v>
      </c>
      <c r="N16" s="707">
        <f t="shared" si="8"/>
        <v>0</v>
      </c>
      <c r="O16" s="707">
        <f t="shared" ref="O16:Y16" si="16">IF(N16-$K16&gt;=0,N16-$K16,0)</f>
        <v>0</v>
      </c>
      <c r="P16" s="707">
        <f t="shared" si="16"/>
        <v>0</v>
      </c>
      <c r="Q16" s="707">
        <f t="shared" si="16"/>
        <v>0</v>
      </c>
      <c r="R16" s="707">
        <f t="shared" si="16"/>
        <v>0</v>
      </c>
      <c r="S16" s="707">
        <f t="shared" si="16"/>
        <v>0</v>
      </c>
      <c r="T16" s="707">
        <f t="shared" si="16"/>
        <v>0</v>
      </c>
      <c r="U16" s="707">
        <f t="shared" si="16"/>
        <v>0</v>
      </c>
      <c r="V16" s="707">
        <f t="shared" si="16"/>
        <v>0</v>
      </c>
      <c r="W16" s="707">
        <f t="shared" si="16"/>
        <v>0</v>
      </c>
      <c r="X16" s="707">
        <f t="shared" si="16"/>
        <v>0</v>
      </c>
      <c r="Y16" s="707">
        <f t="shared" si="16"/>
        <v>0</v>
      </c>
      <c r="Z16" s="707">
        <f t="shared" si="10"/>
        <v>0</v>
      </c>
      <c r="AA16" s="750">
        <f>Z16*'Attachment H-34A '!$I$263</f>
        <v>0</v>
      </c>
      <c r="AB16" s="707">
        <f>AA16*'Attachment H-34A '!$D$160</f>
        <v>0</v>
      </c>
      <c r="AC16" s="707">
        <f t="shared" si="11"/>
        <v>0</v>
      </c>
    </row>
    <row r="17" spans="1:29" ht="15.75">
      <c r="A17" s="751">
        <f t="shared" si="12"/>
        <v>1.07</v>
      </c>
      <c r="B17" s="632"/>
      <c r="C17" s="748"/>
      <c r="D17" s="749"/>
      <c r="E17" s="776"/>
      <c r="F17" s="776"/>
      <c r="G17" s="776"/>
      <c r="H17" s="777"/>
      <c r="I17" s="707">
        <f t="shared" si="4"/>
        <v>0</v>
      </c>
      <c r="J17" s="707">
        <f t="shared" si="3"/>
        <v>0</v>
      </c>
      <c r="K17" s="707">
        <f t="shared" si="5"/>
        <v>0</v>
      </c>
      <c r="L17" s="707">
        <f t="shared" si="6"/>
        <v>0</v>
      </c>
      <c r="M17" s="707">
        <f t="shared" si="7"/>
        <v>0</v>
      </c>
      <c r="N17" s="707">
        <f t="shared" si="8"/>
        <v>0</v>
      </c>
      <c r="O17" s="707">
        <f t="shared" ref="O17:Y17" si="17">IF(N17-$K17&gt;=0,N17-$K17,0)</f>
        <v>0</v>
      </c>
      <c r="P17" s="707">
        <f t="shared" si="17"/>
        <v>0</v>
      </c>
      <c r="Q17" s="707">
        <f t="shared" si="17"/>
        <v>0</v>
      </c>
      <c r="R17" s="707">
        <f t="shared" si="17"/>
        <v>0</v>
      </c>
      <c r="S17" s="707">
        <f t="shared" si="17"/>
        <v>0</v>
      </c>
      <c r="T17" s="707">
        <f t="shared" si="17"/>
        <v>0</v>
      </c>
      <c r="U17" s="707">
        <f t="shared" si="17"/>
        <v>0</v>
      </c>
      <c r="V17" s="707">
        <f t="shared" si="17"/>
        <v>0</v>
      </c>
      <c r="W17" s="707">
        <f t="shared" si="17"/>
        <v>0</v>
      </c>
      <c r="X17" s="707">
        <f t="shared" si="17"/>
        <v>0</v>
      </c>
      <c r="Y17" s="707">
        <f t="shared" si="17"/>
        <v>0</v>
      </c>
      <c r="Z17" s="707">
        <f t="shared" si="10"/>
        <v>0</v>
      </c>
      <c r="AA17" s="750">
        <f>Z17*'Attachment H-34A '!$I$263</f>
        <v>0</v>
      </c>
      <c r="AB17" s="707">
        <f>AA17*'Attachment H-34A '!$D$160</f>
        <v>0</v>
      </c>
      <c r="AC17" s="707">
        <f t="shared" si="11"/>
        <v>0</v>
      </c>
    </row>
    <row r="18" spans="1:29" ht="15.75">
      <c r="A18" s="751">
        <f t="shared" si="12"/>
        <v>1.08</v>
      </c>
      <c r="B18" s="632"/>
      <c r="C18" s="748"/>
      <c r="D18" s="749"/>
      <c r="E18" s="776"/>
      <c r="F18" s="776"/>
      <c r="G18" s="776"/>
      <c r="H18" s="777"/>
      <c r="I18" s="707">
        <f t="shared" si="4"/>
        <v>0</v>
      </c>
      <c r="J18" s="707">
        <f t="shared" si="3"/>
        <v>0</v>
      </c>
      <c r="K18" s="707">
        <f t="shared" si="5"/>
        <v>0</v>
      </c>
      <c r="L18" s="707">
        <f t="shared" si="6"/>
        <v>0</v>
      </c>
      <c r="M18" s="707">
        <f t="shared" si="7"/>
        <v>0</v>
      </c>
      <c r="N18" s="707">
        <f t="shared" si="8"/>
        <v>0</v>
      </c>
      <c r="O18" s="707">
        <f t="shared" ref="O18:Y18" si="18">IF(N18-$K18&gt;=0,N18-$K18,0)</f>
        <v>0</v>
      </c>
      <c r="P18" s="707">
        <f t="shared" si="18"/>
        <v>0</v>
      </c>
      <c r="Q18" s="707">
        <f t="shared" si="18"/>
        <v>0</v>
      </c>
      <c r="R18" s="707">
        <f>IF(Q18-$K18&gt;=0,Q18-$K18,0)</f>
        <v>0</v>
      </c>
      <c r="S18" s="707">
        <f t="shared" si="18"/>
        <v>0</v>
      </c>
      <c r="T18" s="707">
        <f t="shared" si="18"/>
        <v>0</v>
      </c>
      <c r="U18" s="707">
        <f t="shared" si="18"/>
        <v>0</v>
      </c>
      <c r="V18" s="707">
        <f>IF(U18-$K18&gt;=0,U18-$K18,0)</f>
        <v>0</v>
      </c>
      <c r="W18" s="707">
        <f t="shared" si="18"/>
        <v>0</v>
      </c>
      <c r="X18" s="707">
        <f t="shared" si="18"/>
        <v>0</v>
      </c>
      <c r="Y18" s="707">
        <f t="shared" si="18"/>
        <v>0</v>
      </c>
      <c r="Z18" s="707">
        <f t="shared" si="10"/>
        <v>0</v>
      </c>
      <c r="AA18" s="750">
        <f>Z18*'Attachment H-34A '!$I$263</f>
        <v>0</v>
      </c>
      <c r="AB18" s="707">
        <f>AA18*'Attachment H-34A '!$D$160</f>
        <v>0</v>
      </c>
      <c r="AC18" s="707">
        <f t="shared" si="11"/>
        <v>0</v>
      </c>
    </row>
    <row r="19" spans="1:29" ht="15.75">
      <c r="A19" s="751">
        <f t="shared" si="12"/>
        <v>1.0900000000000001</v>
      </c>
      <c r="B19" s="632"/>
      <c r="C19" s="748"/>
      <c r="D19" s="749"/>
      <c r="E19" s="776"/>
      <c r="F19" s="776"/>
      <c r="G19" s="776"/>
      <c r="H19" s="777"/>
      <c r="I19" s="707">
        <f t="shared" si="4"/>
        <v>0</v>
      </c>
      <c r="J19" s="707">
        <f t="shared" si="3"/>
        <v>0</v>
      </c>
      <c r="K19" s="707">
        <f t="shared" si="5"/>
        <v>0</v>
      </c>
      <c r="L19" s="707">
        <f t="shared" si="6"/>
        <v>0</v>
      </c>
      <c r="M19" s="707">
        <f t="shared" si="7"/>
        <v>0</v>
      </c>
      <c r="N19" s="707">
        <f t="shared" si="8"/>
        <v>0</v>
      </c>
      <c r="O19" s="707">
        <f t="shared" ref="O19:Y19" si="19">IF(N19-$K19&gt;=0,N19-$K19,0)</f>
        <v>0</v>
      </c>
      <c r="P19" s="707">
        <f t="shared" si="19"/>
        <v>0</v>
      </c>
      <c r="Q19" s="707">
        <f t="shared" si="19"/>
        <v>0</v>
      </c>
      <c r="R19" s="707">
        <f t="shared" si="19"/>
        <v>0</v>
      </c>
      <c r="S19" s="707">
        <f t="shared" si="19"/>
        <v>0</v>
      </c>
      <c r="T19" s="707">
        <f t="shared" si="19"/>
        <v>0</v>
      </c>
      <c r="U19" s="707">
        <f t="shared" si="19"/>
        <v>0</v>
      </c>
      <c r="V19" s="707">
        <f t="shared" si="19"/>
        <v>0</v>
      </c>
      <c r="W19" s="707">
        <f t="shared" si="19"/>
        <v>0</v>
      </c>
      <c r="X19" s="707">
        <f t="shared" si="19"/>
        <v>0</v>
      </c>
      <c r="Y19" s="707">
        <f t="shared" si="19"/>
        <v>0</v>
      </c>
      <c r="Z19" s="707">
        <f t="shared" si="10"/>
        <v>0</v>
      </c>
      <c r="AA19" s="750">
        <f>Z19*'Attachment H-34A '!$I$263</f>
        <v>0</v>
      </c>
      <c r="AB19" s="707">
        <f>AA19*'Attachment H-34A '!$D$160</f>
        <v>0</v>
      </c>
      <c r="AC19" s="707">
        <f t="shared" si="11"/>
        <v>0</v>
      </c>
    </row>
    <row r="20" spans="1:29" ht="15.75">
      <c r="A20" s="751">
        <f t="shared" si="12"/>
        <v>1.1000000000000001</v>
      </c>
      <c r="B20" s="632"/>
      <c r="C20" s="748"/>
      <c r="D20" s="749"/>
      <c r="E20" s="776"/>
      <c r="F20" s="776"/>
      <c r="G20" s="776"/>
      <c r="H20" s="777"/>
      <c r="I20" s="707">
        <f t="shared" si="4"/>
        <v>0</v>
      </c>
      <c r="J20" s="707">
        <f t="shared" si="3"/>
        <v>0</v>
      </c>
      <c r="K20" s="707">
        <f t="shared" si="5"/>
        <v>0</v>
      </c>
      <c r="L20" s="707">
        <f t="shared" si="6"/>
        <v>0</v>
      </c>
      <c r="M20" s="707">
        <f t="shared" si="7"/>
        <v>0</v>
      </c>
      <c r="N20" s="707">
        <f t="shared" si="8"/>
        <v>0</v>
      </c>
      <c r="O20" s="707">
        <f t="shared" ref="O20:Y20" si="20">IF(N20-$K20&gt;=0,N20-$K20,0)</f>
        <v>0</v>
      </c>
      <c r="P20" s="707">
        <f t="shared" si="20"/>
        <v>0</v>
      </c>
      <c r="Q20" s="707">
        <f>IF(P20-$K20&gt;=0,P20-$K20,0)</f>
        <v>0</v>
      </c>
      <c r="R20" s="707">
        <f t="shared" si="20"/>
        <v>0</v>
      </c>
      <c r="S20" s="707">
        <f t="shared" si="20"/>
        <v>0</v>
      </c>
      <c r="T20" s="707">
        <f t="shared" si="20"/>
        <v>0</v>
      </c>
      <c r="U20" s="707">
        <f>IF(T20-$K20&gt;=0,T20-$K20,0)</f>
        <v>0</v>
      </c>
      <c r="V20" s="707">
        <f t="shared" si="20"/>
        <v>0</v>
      </c>
      <c r="W20" s="707">
        <f t="shared" si="20"/>
        <v>0</v>
      </c>
      <c r="X20" s="707">
        <f>IF(W20-$K20&gt;=0,W20-$K20,0)</f>
        <v>0</v>
      </c>
      <c r="Y20" s="707">
        <f t="shared" si="20"/>
        <v>0</v>
      </c>
      <c r="Z20" s="707">
        <f>SUM(M20:Y20)/13</f>
        <v>0</v>
      </c>
      <c r="AA20" s="750">
        <f>Z20*'Attachment H-34A '!$I$263</f>
        <v>0</v>
      </c>
      <c r="AB20" s="707">
        <f>AA20*'Attachment H-34A '!$D$160</f>
        <v>0</v>
      </c>
      <c r="AC20" s="707">
        <f t="shared" si="11"/>
        <v>0</v>
      </c>
    </row>
    <row r="21" spans="1:29" ht="17.45" customHeight="1">
      <c r="A21" s="693"/>
      <c r="B21" s="693"/>
      <c r="C21" s="632"/>
      <c r="D21" s="707"/>
      <c r="E21" s="707"/>
      <c r="F21" s="707"/>
      <c r="G21" s="707"/>
      <c r="H21" s="707"/>
      <c r="I21" s="631"/>
      <c r="J21" s="631"/>
      <c r="K21" s="631"/>
      <c r="L21" s="631"/>
      <c r="M21" s="707"/>
      <c r="N21" s="707"/>
      <c r="O21" s="707"/>
      <c r="P21" s="707"/>
      <c r="Q21" s="707"/>
      <c r="R21" s="707"/>
      <c r="S21" s="707"/>
      <c r="T21" s="707"/>
      <c r="U21" s="707"/>
      <c r="V21" s="707"/>
      <c r="W21" s="707"/>
      <c r="X21" s="693"/>
      <c r="Y21" s="693"/>
      <c r="Z21" s="693"/>
      <c r="AA21" s="744"/>
      <c r="AB21" s="693"/>
      <c r="AC21" s="693"/>
    </row>
    <row r="22" spans="1:29" ht="17.45" customHeight="1">
      <c r="A22" s="693"/>
      <c r="B22" s="693"/>
      <c r="C22" s="632"/>
      <c r="D22" s="707"/>
      <c r="E22" s="707"/>
      <c r="F22" s="707"/>
      <c r="G22" s="707"/>
      <c r="H22" s="707"/>
      <c r="I22" s="707"/>
      <c r="J22" s="707"/>
      <c r="K22" s="707"/>
      <c r="L22" s="707"/>
      <c r="M22" s="707"/>
      <c r="N22" s="707"/>
      <c r="O22" s="707"/>
      <c r="P22" s="707"/>
      <c r="Q22" s="707"/>
      <c r="R22" s="707"/>
      <c r="S22" s="707"/>
      <c r="T22" s="707"/>
      <c r="U22" s="707"/>
      <c r="V22" s="707"/>
      <c r="W22" s="707"/>
      <c r="X22" s="693"/>
      <c r="Y22" s="693"/>
      <c r="Z22" s="693"/>
      <c r="AA22" s="744"/>
      <c r="AB22" s="693"/>
      <c r="AC22" s="693"/>
    </row>
    <row r="23" spans="1:29" ht="15.6" customHeight="1">
      <c r="A23" s="693"/>
      <c r="B23" s="693"/>
      <c r="C23" s="632"/>
      <c r="D23" s="707"/>
      <c r="E23" s="707"/>
      <c r="F23" s="707"/>
      <c r="G23" s="707"/>
      <c r="H23" s="707"/>
      <c r="I23" s="707"/>
      <c r="J23" s="707"/>
      <c r="K23" s="707"/>
      <c r="L23" s="707"/>
      <c r="M23" s="707"/>
      <c r="N23" s="707"/>
      <c r="O23" s="707"/>
      <c r="P23" s="707"/>
      <c r="Q23" s="707"/>
      <c r="R23" s="707"/>
      <c r="S23" s="707"/>
      <c r="T23" s="707"/>
      <c r="U23" s="707"/>
      <c r="V23" s="707"/>
      <c r="W23" s="707"/>
      <c r="X23" s="693"/>
      <c r="Y23" s="693"/>
      <c r="Z23" s="693"/>
      <c r="AA23" s="744"/>
      <c r="AB23" s="693"/>
      <c r="AC23" s="693"/>
    </row>
    <row r="24" spans="1:29" s="757" customFormat="1" ht="16.5" thickBot="1">
      <c r="A24" s="752">
        <v>2</v>
      </c>
      <c r="B24" s="752"/>
      <c r="C24" s="753" t="s">
        <v>10</v>
      </c>
      <c r="D24" s="754"/>
      <c r="E24" s="754"/>
      <c r="F24" s="754"/>
      <c r="G24" s="754"/>
      <c r="H24" s="754"/>
      <c r="I24" s="754"/>
      <c r="J24" s="754"/>
      <c r="K24" s="754"/>
      <c r="L24" s="754"/>
      <c r="M24" s="754"/>
      <c r="N24" s="754"/>
      <c r="O24" s="754"/>
      <c r="P24" s="754"/>
      <c r="Q24" s="754"/>
      <c r="R24" s="754"/>
      <c r="S24" s="754"/>
      <c r="T24" s="754"/>
      <c r="U24" s="754"/>
      <c r="V24" s="754"/>
      <c r="W24" s="754"/>
      <c r="X24" s="752"/>
      <c r="Y24" s="752"/>
      <c r="Z24" s="755"/>
      <c r="AA24" s="756"/>
      <c r="AB24" s="755"/>
      <c r="AC24" s="781">
        <f>SUM(AC10:AC20)</f>
        <v>0</v>
      </c>
    </row>
    <row r="25" spans="1:29" ht="16.5" thickTop="1">
      <c r="A25" s="693"/>
      <c r="B25" s="693"/>
      <c r="C25" s="632"/>
      <c r="D25" s="707"/>
      <c r="E25" s="707"/>
      <c r="F25" s="707"/>
      <c r="G25" s="707"/>
      <c r="H25" s="707"/>
      <c r="I25" s="707"/>
      <c r="J25" s="707"/>
      <c r="K25" s="707"/>
      <c r="L25" s="707"/>
      <c r="M25" s="707"/>
      <c r="N25" s="707"/>
      <c r="O25" s="707"/>
      <c r="P25" s="707"/>
      <c r="Q25" s="707"/>
      <c r="R25" s="707"/>
      <c r="S25" s="707"/>
      <c r="T25" s="707"/>
      <c r="U25" s="707"/>
      <c r="V25" s="707"/>
      <c r="W25" s="707"/>
      <c r="X25" s="693"/>
      <c r="Y25" s="693"/>
      <c r="Z25" s="693"/>
      <c r="AA25" s="744"/>
      <c r="AB25" s="693"/>
      <c r="AC25" s="693"/>
    </row>
    <row r="26" spans="1:29" ht="15.75">
      <c r="A26" s="693"/>
      <c r="B26" s="693"/>
      <c r="C26" s="632"/>
      <c r="D26" s="707"/>
      <c r="E26" s="707"/>
      <c r="F26" s="707"/>
      <c r="G26" s="707"/>
      <c r="H26" s="707"/>
      <c r="I26" s="707"/>
      <c r="J26" s="707"/>
      <c r="K26" s="707"/>
      <c r="L26" s="707"/>
      <c r="M26" s="707"/>
      <c r="N26" s="707"/>
      <c r="O26" s="707"/>
      <c r="P26" s="707"/>
      <c r="Q26" s="707"/>
      <c r="R26" s="707"/>
      <c r="S26" s="707"/>
      <c r="T26" s="707"/>
      <c r="U26" s="707"/>
      <c r="V26" s="707"/>
      <c r="W26" s="707"/>
      <c r="X26" s="693"/>
      <c r="Y26" s="693"/>
      <c r="Z26" s="693"/>
      <c r="AA26" s="744"/>
      <c r="AB26" s="693"/>
      <c r="AC26" s="693"/>
    </row>
    <row r="27" spans="1:29" ht="15.75">
      <c r="A27" s="693"/>
      <c r="B27" s="693"/>
      <c r="C27" s="632"/>
      <c r="D27" s="707"/>
      <c r="E27" s="707"/>
      <c r="F27" s="707"/>
      <c r="G27" s="707"/>
      <c r="H27" s="707"/>
      <c r="I27" s="707"/>
      <c r="J27" s="707"/>
      <c r="K27" s="707"/>
      <c r="L27" s="707"/>
      <c r="M27" s="707"/>
      <c r="N27" s="707"/>
      <c r="O27" s="707"/>
      <c r="P27" s="707"/>
      <c r="Q27" s="707"/>
      <c r="R27" s="707"/>
      <c r="S27" s="707"/>
      <c r="T27" s="707"/>
      <c r="U27" s="707"/>
      <c r="V27" s="707"/>
      <c r="W27" s="707"/>
      <c r="X27" s="693"/>
      <c r="Y27" s="693"/>
      <c r="Z27" s="693"/>
      <c r="AA27" s="744"/>
      <c r="AB27" s="693"/>
      <c r="AC27" s="693"/>
    </row>
    <row r="28" spans="1:29" ht="15.75">
      <c r="C28" s="710" t="s">
        <v>194</v>
      </c>
      <c r="D28" s="632"/>
      <c r="E28" s="632"/>
      <c r="G28" s="632"/>
    </row>
    <row r="29" spans="1:29" ht="15.75">
      <c r="C29" s="632" t="s">
        <v>1177</v>
      </c>
    </row>
    <row r="30" spans="1:29" ht="15.75">
      <c r="C30" s="632" t="s">
        <v>1132</v>
      </c>
    </row>
    <row r="31" spans="1:29" ht="15.75">
      <c r="C31" s="632" t="s">
        <v>782</v>
      </c>
    </row>
    <row r="32" spans="1:29" ht="15.75">
      <c r="C32" s="632" t="s">
        <v>992</v>
      </c>
      <c r="D32" s="632"/>
      <c r="E32" s="632"/>
      <c r="F32" s="632"/>
      <c r="G32" s="632"/>
      <c r="H32" s="632"/>
    </row>
    <row r="33" spans="3:3" ht="15.75">
      <c r="C33" s="632" t="s">
        <v>989</v>
      </c>
    </row>
    <row r="34" spans="3:3" ht="15.75">
      <c r="C34" s="632" t="s">
        <v>991</v>
      </c>
    </row>
    <row r="35" spans="3:3" ht="15.75">
      <c r="C35" s="632" t="s">
        <v>990</v>
      </c>
    </row>
    <row r="36" spans="3:3" ht="15.75">
      <c r="C36" s="632" t="s">
        <v>801</v>
      </c>
    </row>
    <row r="52" ht="13.9" customHeight="1"/>
  </sheetData>
  <pageMargins left="0.7" right="0.7" top="0.75" bottom="0.75" header="0.3" footer="0.3"/>
  <pageSetup scale="21" orientation="portrait" r:id="rId1"/>
  <ignoredErrors>
    <ignoredError sqref="O9" twoDigitTextYear="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8091A-93B5-402B-8792-789F66A08CAF}">
  <dimension ref="A1:AH21"/>
  <sheetViews>
    <sheetView view="pageBreakPreview" zoomScale="80" zoomScaleNormal="100" zoomScaleSheetLayoutView="80" workbookViewId="0"/>
  </sheetViews>
  <sheetFormatPr defaultColWidth="5" defaultRowHeight="15.75"/>
  <cols>
    <col min="1" max="1" width="5.21875" style="693" bestFit="1" customWidth="1"/>
    <col min="2" max="2" width="2.109375" style="632" bestFit="1" customWidth="1"/>
    <col min="3" max="3" width="13.77734375" style="632" customWidth="1"/>
    <col min="4" max="4" width="2.109375" style="632" bestFit="1" customWidth="1"/>
    <col min="5" max="5" width="35" style="707" customWidth="1"/>
    <col min="6" max="6" width="2.109375" style="632" bestFit="1" customWidth="1"/>
    <col min="7" max="7" width="15.21875" style="707" bestFit="1" customWidth="1"/>
    <col min="8" max="8" width="2.109375" style="632" bestFit="1" customWidth="1"/>
    <col min="9" max="9" width="10.6640625" style="707" customWidth="1"/>
    <col min="10" max="10" width="2.109375" style="632" bestFit="1" customWidth="1"/>
    <col min="11" max="11" width="10.6640625" style="707" customWidth="1"/>
    <col min="12" max="12" width="2.109375" style="632" bestFit="1" customWidth="1"/>
    <col min="13" max="13" width="10.6640625" style="707" customWidth="1"/>
    <col min="14" max="14" width="2.109375" style="632" bestFit="1" customWidth="1"/>
    <col min="15" max="15" width="10.6640625" style="707" customWidth="1"/>
    <col min="16" max="16" width="2.109375" style="632" bestFit="1" customWidth="1"/>
    <col min="17" max="17" width="10.6640625" style="707" customWidth="1"/>
    <col min="18" max="18" width="2.109375" style="632" bestFit="1" customWidth="1"/>
    <col min="19" max="19" width="10.6640625" style="707" customWidth="1"/>
    <col min="20" max="20" width="2.109375" style="632" bestFit="1" customWidth="1"/>
    <col min="21" max="21" width="10.6640625" style="707" customWidth="1"/>
    <col min="22" max="22" width="2.109375" style="632" bestFit="1" customWidth="1"/>
    <col min="23" max="23" width="10.6640625" style="707" customWidth="1"/>
    <col min="24" max="24" width="2.109375" style="632" bestFit="1" customWidth="1"/>
    <col min="25" max="25" width="12.6640625" style="707" customWidth="1"/>
    <col min="26" max="26" width="2.109375" style="632" bestFit="1" customWidth="1"/>
    <col min="27" max="27" width="11.5546875" style="707" customWidth="1"/>
    <col min="28" max="28" width="2.109375" style="632" bestFit="1" customWidth="1"/>
    <col min="29" max="29" width="11.44140625" style="707" customWidth="1"/>
    <col min="30" max="30" width="2.109375" style="632" bestFit="1" customWidth="1"/>
    <col min="31" max="31" width="12.109375" style="693" customWidth="1"/>
    <col min="32" max="32" width="2.109375" style="632" bestFit="1" customWidth="1"/>
    <col min="33" max="33" width="10.6640625" style="693" customWidth="1"/>
    <col min="34" max="34" width="2.21875" style="632" customWidth="1"/>
    <col min="35" max="248" width="5" style="632"/>
    <col min="249" max="249" width="4.6640625" style="632" customWidth="1"/>
    <col min="250" max="250" width="2" style="632" customWidth="1"/>
    <col min="251" max="251" width="40.6640625" style="632" customWidth="1"/>
    <col min="252" max="252" width="3.5546875" style="632" customWidth="1"/>
    <col min="253" max="253" width="11.109375" style="632" customWidth="1"/>
    <col min="254" max="254" width="2.6640625" style="632" customWidth="1"/>
    <col min="255" max="255" width="11.21875" style="632" customWidth="1"/>
    <col min="256" max="256" width="2.6640625" style="632" customWidth="1"/>
    <col min="257" max="257" width="11.21875" style="632" customWidth="1"/>
    <col min="258" max="258" width="2.6640625" style="632" customWidth="1"/>
    <col min="259" max="259" width="19.109375" style="632" bestFit="1" customWidth="1"/>
    <col min="260" max="260" width="1.88671875" style="632" customWidth="1"/>
    <col min="261" max="261" width="6.6640625" style="632" customWidth="1"/>
    <col min="262" max="262" width="14.77734375" style="632" customWidth="1"/>
    <col min="263" max="263" width="9" style="632" bestFit="1" customWidth="1"/>
    <col min="264" max="504" width="5" style="632"/>
    <col min="505" max="505" width="4.6640625" style="632" customWidth="1"/>
    <col min="506" max="506" width="2" style="632" customWidth="1"/>
    <col min="507" max="507" width="40.6640625" style="632" customWidth="1"/>
    <col min="508" max="508" width="3.5546875" style="632" customWidth="1"/>
    <col min="509" max="509" width="11.109375" style="632" customWidth="1"/>
    <col min="510" max="510" width="2.6640625" style="632" customWidth="1"/>
    <col min="511" max="511" width="11.21875" style="632" customWidth="1"/>
    <col min="512" max="512" width="2.6640625" style="632" customWidth="1"/>
    <col min="513" max="513" width="11.21875" style="632" customWidth="1"/>
    <col min="514" max="514" width="2.6640625" style="632" customWidth="1"/>
    <col min="515" max="515" width="19.109375" style="632" bestFit="1" customWidth="1"/>
    <col min="516" max="516" width="1.88671875" style="632" customWidth="1"/>
    <col min="517" max="517" width="6.6640625" style="632" customWidth="1"/>
    <col min="518" max="518" width="14.77734375" style="632" customWidth="1"/>
    <col min="519" max="519" width="9" style="632" bestFit="1" customWidth="1"/>
    <col min="520" max="760" width="5" style="632"/>
    <col min="761" max="761" width="4.6640625" style="632" customWidth="1"/>
    <col min="762" max="762" width="2" style="632" customWidth="1"/>
    <col min="763" max="763" width="40.6640625" style="632" customWidth="1"/>
    <col min="764" max="764" width="3.5546875" style="632" customWidth="1"/>
    <col min="765" max="765" width="11.109375" style="632" customWidth="1"/>
    <col min="766" max="766" width="2.6640625" style="632" customWidth="1"/>
    <col min="767" max="767" width="11.21875" style="632" customWidth="1"/>
    <col min="768" max="768" width="2.6640625" style="632" customWidth="1"/>
    <col min="769" max="769" width="11.21875" style="632" customWidth="1"/>
    <col min="770" max="770" width="2.6640625" style="632" customWidth="1"/>
    <col min="771" max="771" width="19.109375" style="632" bestFit="1" customWidth="1"/>
    <col min="772" max="772" width="1.88671875" style="632" customWidth="1"/>
    <col min="773" max="773" width="6.6640625" style="632" customWidth="1"/>
    <col min="774" max="774" width="14.77734375" style="632" customWidth="1"/>
    <col min="775" max="775" width="9" style="632" bestFit="1" customWidth="1"/>
    <col min="776" max="1016" width="5" style="632"/>
    <col min="1017" max="1017" width="4.6640625" style="632" customWidth="1"/>
    <col min="1018" max="1018" width="2" style="632" customWidth="1"/>
    <col min="1019" max="1019" width="40.6640625" style="632" customWidth="1"/>
    <col min="1020" max="1020" width="3.5546875" style="632" customWidth="1"/>
    <col min="1021" max="1021" width="11.109375" style="632" customWidth="1"/>
    <col min="1022" max="1022" width="2.6640625" style="632" customWidth="1"/>
    <col min="1023" max="1023" width="11.21875" style="632" customWidth="1"/>
    <col min="1024" max="1024" width="2.6640625" style="632" customWidth="1"/>
    <col min="1025" max="1025" width="11.21875" style="632" customWidth="1"/>
    <col min="1026" max="1026" width="2.6640625" style="632" customWidth="1"/>
    <col min="1027" max="1027" width="19.109375" style="632" bestFit="1" customWidth="1"/>
    <col min="1028" max="1028" width="1.88671875" style="632" customWidth="1"/>
    <col min="1029" max="1029" width="6.6640625" style="632" customWidth="1"/>
    <col min="1030" max="1030" width="14.77734375" style="632" customWidth="1"/>
    <col min="1031" max="1031" width="9" style="632" bestFit="1" customWidth="1"/>
    <col min="1032" max="1272" width="5" style="632"/>
    <col min="1273" max="1273" width="4.6640625" style="632" customWidth="1"/>
    <col min="1274" max="1274" width="2" style="632" customWidth="1"/>
    <col min="1275" max="1275" width="40.6640625" style="632" customWidth="1"/>
    <col min="1276" max="1276" width="3.5546875" style="632" customWidth="1"/>
    <col min="1277" max="1277" width="11.109375" style="632" customWidth="1"/>
    <col min="1278" max="1278" width="2.6640625" style="632" customWidth="1"/>
    <col min="1279" max="1279" width="11.21875" style="632" customWidth="1"/>
    <col min="1280" max="1280" width="2.6640625" style="632" customWidth="1"/>
    <col min="1281" max="1281" width="11.21875" style="632" customWidth="1"/>
    <col min="1282" max="1282" width="2.6640625" style="632" customWidth="1"/>
    <col min="1283" max="1283" width="19.109375" style="632" bestFit="1" customWidth="1"/>
    <col min="1284" max="1284" width="1.88671875" style="632" customWidth="1"/>
    <col min="1285" max="1285" width="6.6640625" style="632" customWidth="1"/>
    <col min="1286" max="1286" width="14.77734375" style="632" customWidth="1"/>
    <col min="1287" max="1287" width="9" style="632" bestFit="1" customWidth="1"/>
    <col min="1288" max="1528" width="5" style="632"/>
    <col min="1529" max="1529" width="4.6640625" style="632" customWidth="1"/>
    <col min="1530" max="1530" width="2" style="632" customWidth="1"/>
    <col min="1531" max="1531" width="40.6640625" style="632" customWidth="1"/>
    <col min="1532" max="1532" width="3.5546875" style="632" customWidth="1"/>
    <col min="1533" max="1533" width="11.109375" style="632" customWidth="1"/>
    <col min="1534" max="1534" width="2.6640625" style="632" customWidth="1"/>
    <col min="1535" max="1535" width="11.21875" style="632" customWidth="1"/>
    <col min="1536" max="1536" width="2.6640625" style="632" customWidth="1"/>
    <col min="1537" max="1537" width="11.21875" style="632" customWidth="1"/>
    <col min="1538" max="1538" width="2.6640625" style="632" customWidth="1"/>
    <col min="1539" max="1539" width="19.109375" style="632" bestFit="1" customWidth="1"/>
    <col min="1540" max="1540" width="1.88671875" style="632" customWidth="1"/>
    <col min="1541" max="1541" width="6.6640625" style="632" customWidth="1"/>
    <col min="1542" max="1542" width="14.77734375" style="632" customWidth="1"/>
    <col min="1543" max="1543" width="9" style="632" bestFit="1" customWidth="1"/>
    <col min="1544" max="1784" width="5" style="632"/>
    <col min="1785" max="1785" width="4.6640625" style="632" customWidth="1"/>
    <col min="1786" max="1786" width="2" style="632" customWidth="1"/>
    <col min="1787" max="1787" width="40.6640625" style="632" customWidth="1"/>
    <col min="1788" max="1788" width="3.5546875" style="632" customWidth="1"/>
    <col min="1789" max="1789" width="11.109375" style="632" customWidth="1"/>
    <col min="1790" max="1790" width="2.6640625" style="632" customWidth="1"/>
    <col min="1791" max="1791" width="11.21875" style="632" customWidth="1"/>
    <col min="1792" max="1792" width="2.6640625" style="632" customWidth="1"/>
    <col min="1793" max="1793" width="11.21875" style="632" customWidth="1"/>
    <col min="1794" max="1794" width="2.6640625" style="632" customWidth="1"/>
    <col min="1795" max="1795" width="19.109375" style="632" bestFit="1" customWidth="1"/>
    <col min="1796" max="1796" width="1.88671875" style="632" customWidth="1"/>
    <col min="1797" max="1797" width="6.6640625" style="632" customWidth="1"/>
    <col min="1798" max="1798" width="14.77734375" style="632" customWidth="1"/>
    <col min="1799" max="1799" width="9" style="632" bestFit="1" customWidth="1"/>
    <col min="1800" max="2040" width="5" style="632"/>
    <col min="2041" max="2041" width="4.6640625" style="632" customWidth="1"/>
    <col min="2042" max="2042" width="2" style="632" customWidth="1"/>
    <col min="2043" max="2043" width="40.6640625" style="632" customWidth="1"/>
    <col min="2044" max="2044" width="3.5546875" style="632" customWidth="1"/>
    <col min="2045" max="2045" width="11.109375" style="632" customWidth="1"/>
    <col min="2046" max="2046" width="2.6640625" style="632" customWidth="1"/>
    <col min="2047" max="2047" width="11.21875" style="632" customWidth="1"/>
    <col min="2048" max="2048" width="2.6640625" style="632" customWidth="1"/>
    <col min="2049" max="2049" width="11.21875" style="632" customWidth="1"/>
    <col min="2050" max="2050" width="2.6640625" style="632" customWidth="1"/>
    <col min="2051" max="2051" width="19.109375" style="632" bestFit="1" customWidth="1"/>
    <col min="2052" max="2052" width="1.88671875" style="632" customWidth="1"/>
    <col min="2053" max="2053" width="6.6640625" style="632" customWidth="1"/>
    <col min="2054" max="2054" width="14.77734375" style="632" customWidth="1"/>
    <col min="2055" max="2055" width="9" style="632" bestFit="1" customWidth="1"/>
    <col min="2056" max="2296" width="5" style="632"/>
    <col min="2297" max="2297" width="4.6640625" style="632" customWidth="1"/>
    <col min="2298" max="2298" width="2" style="632" customWidth="1"/>
    <col min="2299" max="2299" width="40.6640625" style="632" customWidth="1"/>
    <col min="2300" max="2300" width="3.5546875" style="632" customWidth="1"/>
    <col min="2301" max="2301" width="11.109375" style="632" customWidth="1"/>
    <col min="2302" max="2302" width="2.6640625" style="632" customWidth="1"/>
    <col min="2303" max="2303" width="11.21875" style="632" customWidth="1"/>
    <col min="2304" max="2304" width="2.6640625" style="632" customWidth="1"/>
    <col min="2305" max="2305" width="11.21875" style="632" customWidth="1"/>
    <col min="2306" max="2306" width="2.6640625" style="632" customWidth="1"/>
    <col min="2307" max="2307" width="19.109375" style="632" bestFit="1" customWidth="1"/>
    <col min="2308" max="2308" width="1.88671875" style="632" customWidth="1"/>
    <col min="2309" max="2309" width="6.6640625" style="632" customWidth="1"/>
    <col min="2310" max="2310" width="14.77734375" style="632" customWidth="1"/>
    <col min="2311" max="2311" width="9" style="632" bestFit="1" customWidth="1"/>
    <col min="2312" max="2552" width="5" style="632"/>
    <col min="2553" max="2553" width="4.6640625" style="632" customWidth="1"/>
    <col min="2554" max="2554" width="2" style="632" customWidth="1"/>
    <col min="2555" max="2555" width="40.6640625" style="632" customWidth="1"/>
    <col min="2556" max="2556" width="3.5546875" style="632" customWidth="1"/>
    <col min="2557" max="2557" width="11.109375" style="632" customWidth="1"/>
    <col min="2558" max="2558" width="2.6640625" style="632" customWidth="1"/>
    <col min="2559" max="2559" width="11.21875" style="632" customWidth="1"/>
    <col min="2560" max="2560" width="2.6640625" style="632" customWidth="1"/>
    <col min="2561" max="2561" width="11.21875" style="632" customWidth="1"/>
    <col min="2562" max="2562" width="2.6640625" style="632" customWidth="1"/>
    <col min="2563" max="2563" width="19.109375" style="632" bestFit="1" customWidth="1"/>
    <col min="2564" max="2564" width="1.88671875" style="632" customWidth="1"/>
    <col min="2565" max="2565" width="6.6640625" style="632" customWidth="1"/>
    <col min="2566" max="2566" width="14.77734375" style="632" customWidth="1"/>
    <col min="2567" max="2567" width="9" style="632" bestFit="1" customWidth="1"/>
    <col min="2568" max="2808" width="5" style="632"/>
    <col min="2809" max="2809" width="4.6640625" style="632" customWidth="1"/>
    <col min="2810" max="2810" width="2" style="632" customWidth="1"/>
    <col min="2811" max="2811" width="40.6640625" style="632" customWidth="1"/>
    <col min="2812" max="2812" width="3.5546875" style="632" customWidth="1"/>
    <col min="2813" max="2813" width="11.109375" style="632" customWidth="1"/>
    <col min="2814" max="2814" width="2.6640625" style="632" customWidth="1"/>
    <col min="2815" max="2815" width="11.21875" style="632" customWidth="1"/>
    <col min="2816" max="2816" width="2.6640625" style="632" customWidth="1"/>
    <col min="2817" max="2817" width="11.21875" style="632" customWidth="1"/>
    <col min="2818" max="2818" width="2.6640625" style="632" customWidth="1"/>
    <col min="2819" max="2819" width="19.109375" style="632" bestFit="1" customWidth="1"/>
    <col min="2820" max="2820" width="1.88671875" style="632" customWidth="1"/>
    <col min="2821" max="2821" width="6.6640625" style="632" customWidth="1"/>
    <col min="2822" max="2822" width="14.77734375" style="632" customWidth="1"/>
    <col min="2823" max="2823" width="9" style="632" bestFit="1" customWidth="1"/>
    <col min="2824" max="3064" width="5" style="632"/>
    <col min="3065" max="3065" width="4.6640625" style="632" customWidth="1"/>
    <col min="3066" max="3066" width="2" style="632" customWidth="1"/>
    <col min="3067" max="3067" width="40.6640625" style="632" customWidth="1"/>
    <col min="3068" max="3068" width="3.5546875" style="632" customWidth="1"/>
    <col min="3069" max="3069" width="11.109375" style="632" customWidth="1"/>
    <col min="3070" max="3070" width="2.6640625" style="632" customWidth="1"/>
    <col min="3071" max="3071" width="11.21875" style="632" customWidth="1"/>
    <col min="3072" max="3072" width="2.6640625" style="632" customWidth="1"/>
    <col min="3073" max="3073" width="11.21875" style="632" customWidth="1"/>
    <col min="3074" max="3074" width="2.6640625" style="632" customWidth="1"/>
    <col min="3075" max="3075" width="19.109375" style="632" bestFit="1" customWidth="1"/>
    <col min="3076" max="3076" width="1.88671875" style="632" customWidth="1"/>
    <col min="3077" max="3077" width="6.6640625" style="632" customWidth="1"/>
    <col min="3078" max="3078" width="14.77734375" style="632" customWidth="1"/>
    <col min="3079" max="3079" width="9" style="632" bestFit="1" customWidth="1"/>
    <col min="3080" max="3320" width="5" style="632"/>
    <col min="3321" max="3321" width="4.6640625" style="632" customWidth="1"/>
    <col min="3322" max="3322" width="2" style="632" customWidth="1"/>
    <col min="3323" max="3323" width="40.6640625" style="632" customWidth="1"/>
    <col min="3324" max="3324" width="3.5546875" style="632" customWidth="1"/>
    <col min="3325" max="3325" width="11.109375" style="632" customWidth="1"/>
    <col min="3326" max="3326" width="2.6640625" style="632" customWidth="1"/>
    <col min="3327" max="3327" width="11.21875" style="632" customWidth="1"/>
    <col min="3328" max="3328" width="2.6640625" style="632" customWidth="1"/>
    <col min="3329" max="3329" width="11.21875" style="632" customWidth="1"/>
    <col min="3330" max="3330" width="2.6640625" style="632" customWidth="1"/>
    <col min="3331" max="3331" width="19.109375" style="632" bestFit="1" customWidth="1"/>
    <col min="3332" max="3332" width="1.88671875" style="632" customWidth="1"/>
    <col min="3333" max="3333" width="6.6640625" style="632" customWidth="1"/>
    <col min="3334" max="3334" width="14.77734375" style="632" customWidth="1"/>
    <col min="3335" max="3335" width="9" style="632" bestFit="1" customWidth="1"/>
    <col min="3336" max="3576" width="5" style="632"/>
    <col min="3577" max="3577" width="4.6640625" style="632" customWidth="1"/>
    <col min="3578" max="3578" width="2" style="632" customWidth="1"/>
    <col min="3579" max="3579" width="40.6640625" style="632" customWidth="1"/>
    <col min="3580" max="3580" width="3.5546875" style="632" customWidth="1"/>
    <col min="3581" max="3581" width="11.109375" style="632" customWidth="1"/>
    <col min="3582" max="3582" width="2.6640625" style="632" customWidth="1"/>
    <col min="3583" max="3583" width="11.21875" style="632" customWidth="1"/>
    <col min="3584" max="3584" width="2.6640625" style="632" customWidth="1"/>
    <col min="3585" max="3585" width="11.21875" style="632" customWidth="1"/>
    <col min="3586" max="3586" width="2.6640625" style="632" customWidth="1"/>
    <col min="3587" max="3587" width="19.109375" style="632" bestFit="1" customWidth="1"/>
    <col min="3588" max="3588" width="1.88671875" style="632" customWidth="1"/>
    <col min="3589" max="3589" width="6.6640625" style="632" customWidth="1"/>
    <col min="3590" max="3590" width="14.77734375" style="632" customWidth="1"/>
    <col min="3591" max="3591" width="9" style="632" bestFit="1" customWidth="1"/>
    <col min="3592" max="3832" width="5" style="632"/>
    <col min="3833" max="3833" width="4.6640625" style="632" customWidth="1"/>
    <col min="3834" max="3834" width="2" style="632" customWidth="1"/>
    <col min="3835" max="3835" width="40.6640625" style="632" customWidth="1"/>
    <col min="3836" max="3836" width="3.5546875" style="632" customWidth="1"/>
    <col min="3837" max="3837" width="11.109375" style="632" customWidth="1"/>
    <col min="3838" max="3838" width="2.6640625" style="632" customWidth="1"/>
    <col min="3839" max="3839" width="11.21875" style="632" customWidth="1"/>
    <col min="3840" max="3840" width="2.6640625" style="632" customWidth="1"/>
    <col min="3841" max="3841" width="11.21875" style="632" customWidth="1"/>
    <col min="3842" max="3842" width="2.6640625" style="632" customWidth="1"/>
    <col min="3843" max="3843" width="19.109375" style="632" bestFit="1" customWidth="1"/>
    <col min="3844" max="3844" width="1.88671875" style="632" customWidth="1"/>
    <col min="3845" max="3845" width="6.6640625" style="632" customWidth="1"/>
    <col min="3846" max="3846" width="14.77734375" style="632" customWidth="1"/>
    <col min="3847" max="3847" width="9" style="632" bestFit="1" customWidth="1"/>
    <col min="3848" max="4088" width="5" style="632"/>
    <col min="4089" max="4089" width="4.6640625" style="632" customWidth="1"/>
    <col min="4090" max="4090" width="2" style="632" customWidth="1"/>
    <col min="4091" max="4091" width="40.6640625" style="632" customWidth="1"/>
    <col min="4092" max="4092" width="3.5546875" style="632" customWidth="1"/>
    <col min="4093" max="4093" width="11.109375" style="632" customWidth="1"/>
    <col min="4094" max="4094" width="2.6640625" style="632" customWidth="1"/>
    <col min="4095" max="4095" width="11.21875" style="632" customWidth="1"/>
    <col min="4096" max="4096" width="2.6640625" style="632" customWidth="1"/>
    <col min="4097" max="4097" width="11.21875" style="632" customWidth="1"/>
    <col min="4098" max="4098" width="2.6640625" style="632" customWidth="1"/>
    <col min="4099" max="4099" width="19.109375" style="632" bestFit="1" customWidth="1"/>
    <col min="4100" max="4100" width="1.88671875" style="632" customWidth="1"/>
    <col min="4101" max="4101" width="6.6640625" style="632" customWidth="1"/>
    <col min="4102" max="4102" width="14.77734375" style="632" customWidth="1"/>
    <col min="4103" max="4103" width="9" style="632" bestFit="1" customWidth="1"/>
    <col min="4104" max="4344" width="5" style="632"/>
    <col min="4345" max="4345" width="4.6640625" style="632" customWidth="1"/>
    <col min="4346" max="4346" width="2" style="632" customWidth="1"/>
    <col min="4347" max="4347" width="40.6640625" style="632" customWidth="1"/>
    <col min="4348" max="4348" width="3.5546875" style="632" customWidth="1"/>
    <col min="4349" max="4349" width="11.109375" style="632" customWidth="1"/>
    <col min="4350" max="4350" width="2.6640625" style="632" customWidth="1"/>
    <col min="4351" max="4351" width="11.21875" style="632" customWidth="1"/>
    <col min="4352" max="4352" width="2.6640625" style="632" customWidth="1"/>
    <col min="4353" max="4353" width="11.21875" style="632" customWidth="1"/>
    <col min="4354" max="4354" width="2.6640625" style="632" customWidth="1"/>
    <col min="4355" max="4355" width="19.109375" style="632" bestFit="1" customWidth="1"/>
    <col min="4356" max="4356" width="1.88671875" style="632" customWidth="1"/>
    <col min="4357" max="4357" width="6.6640625" style="632" customWidth="1"/>
    <col min="4358" max="4358" width="14.77734375" style="632" customWidth="1"/>
    <col min="4359" max="4359" width="9" style="632" bestFit="1" customWidth="1"/>
    <col min="4360" max="4600" width="5" style="632"/>
    <col min="4601" max="4601" width="4.6640625" style="632" customWidth="1"/>
    <col min="4602" max="4602" width="2" style="632" customWidth="1"/>
    <col min="4603" max="4603" width="40.6640625" style="632" customWidth="1"/>
    <col min="4604" max="4604" width="3.5546875" style="632" customWidth="1"/>
    <col min="4605" max="4605" width="11.109375" style="632" customWidth="1"/>
    <col min="4606" max="4606" width="2.6640625" style="632" customWidth="1"/>
    <col min="4607" max="4607" width="11.21875" style="632" customWidth="1"/>
    <col min="4608" max="4608" width="2.6640625" style="632" customWidth="1"/>
    <col min="4609" max="4609" width="11.21875" style="632" customWidth="1"/>
    <col min="4610" max="4610" width="2.6640625" style="632" customWidth="1"/>
    <col min="4611" max="4611" width="19.109375" style="632" bestFit="1" customWidth="1"/>
    <col min="4612" max="4612" width="1.88671875" style="632" customWidth="1"/>
    <col min="4613" max="4613" width="6.6640625" style="632" customWidth="1"/>
    <col min="4614" max="4614" width="14.77734375" style="632" customWidth="1"/>
    <col min="4615" max="4615" width="9" style="632" bestFit="1" customWidth="1"/>
    <col min="4616" max="4856" width="5" style="632"/>
    <col min="4857" max="4857" width="4.6640625" style="632" customWidth="1"/>
    <col min="4858" max="4858" width="2" style="632" customWidth="1"/>
    <col min="4859" max="4859" width="40.6640625" style="632" customWidth="1"/>
    <col min="4860" max="4860" width="3.5546875" style="632" customWidth="1"/>
    <col min="4861" max="4861" width="11.109375" style="632" customWidth="1"/>
    <col min="4862" max="4862" width="2.6640625" style="632" customWidth="1"/>
    <col min="4863" max="4863" width="11.21875" style="632" customWidth="1"/>
    <col min="4864" max="4864" width="2.6640625" style="632" customWidth="1"/>
    <col min="4865" max="4865" width="11.21875" style="632" customWidth="1"/>
    <col min="4866" max="4866" width="2.6640625" style="632" customWidth="1"/>
    <col min="4867" max="4867" width="19.109375" style="632" bestFit="1" customWidth="1"/>
    <col min="4868" max="4868" width="1.88671875" style="632" customWidth="1"/>
    <col min="4869" max="4869" width="6.6640625" style="632" customWidth="1"/>
    <col min="4870" max="4870" width="14.77734375" style="632" customWidth="1"/>
    <col min="4871" max="4871" width="9" style="632" bestFit="1" customWidth="1"/>
    <col min="4872" max="5112" width="5" style="632"/>
    <col min="5113" max="5113" width="4.6640625" style="632" customWidth="1"/>
    <col min="5114" max="5114" width="2" style="632" customWidth="1"/>
    <col min="5115" max="5115" width="40.6640625" style="632" customWidth="1"/>
    <col min="5116" max="5116" width="3.5546875" style="632" customWidth="1"/>
    <col min="5117" max="5117" width="11.109375" style="632" customWidth="1"/>
    <col min="5118" max="5118" width="2.6640625" style="632" customWidth="1"/>
    <col min="5119" max="5119" width="11.21875" style="632" customWidth="1"/>
    <col min="5120" max="5120" width="2.6640625" style="632" customWidth="1"/>
    <col min="5121" max="5121" width="11.21875" style="632" customWidth="1"/>
    <col min="5122" max="5122" width="2.6640625" style="632" customWidth="1"/>
    <col min="5123" max="5123" width="19.109375" style="632" bestFit="1" customWidth="1"/>
    <col min="5124" max="5124" width="1.88671875" style="632" customWidth="1"/>
    <col min="5125" max="5125" width="6.6640625" style="632" customWidth="1"/>
    <col min="5126" max="5126" width="14.77734375" style="632" customWidth="1"/>
    <col min="5127" max="5127" width="9" style="632" bestFit="1" customWidth="1"/>
    <col min="5128" max="5368" width="5" style="632"/>
    <col min="5369" max="5369" width="4.6640625" style="632" customWidth="1"/>
    <col min="5370" max="5370" width="2" style="632" customWidth="1"/>
    <col min="5371" max="5371" width="40.6640625" style="632" customWidth="1"/>
    <col min="5372" max="5372" width="3.5546875" style="632" customWidth="1"/>
    <col min="5373" max="5373" width="11.109375" style="632" customWidth="1"/>
    <col min="5374" max="5374" width="2.6640625" style="632" customWidth="1"/>
    <col min="5375" max="5375" width="11.21875" style="632" customWidth="1"/>
    <col min="5376" max="5376" width="2.6640625" style="632" customWidth="1"/>
    <col min="5377" max="5377" width="11.21875" style="632" customWidth="1"/>
    <col min="5378" max="5378" width="2.6640625" style="632" customWidth="1"/>
    <col min="5379" max="5379" width="19.109375" style="632" bestFit="1" customWidth="1"/>
    <col min="5380" max="5380" width="1.88671875" style="632" customWidth="1"/>
    <col min="5381" max="5381" width="6.6640625" style="632" customWidth="1"/>
    <col min="5382" max="5382" width="14.77734375" style="632" customWidth="1"/>
    <col min="5383" max="5383" width="9" style="632" bestFit="1" customWidth="1"/>
    <col min="5384" max="5624" width="5" style="632"/>
    <col min="5625" max="5625" width="4.6640625" style="632" customWidth="1"/>
    <col min="5626" max="5626" width="2" style="632" customWidth="1"/>
    <col min="5627" max="5627" width="40.6640625" style="632" customWidth="1"/>
    <col min="5628" max="5628" width="3.5546875" style="632" customWidth="1"/>
    <col min="5629" max="5629" width="11.109375" style="632" customWidth="1"/>
    <col min="5630" max="5630" width="2.6640625" style="632" customWidth="1"/>
    <col min="5631" max="5631" width="11.21875" style="632" customWidth="1"/>
    <col min="5632" max="5632" width="2.6640625" style="632" customWidth="1"/>
    <col min="5633" max="5633" width="11.21875" style="632" customWidth="1"/>
    <col min="5634" max="5634" width="2.6640625" style="632" customWidth="1"/>
    <col min="5635" max="5635" width="19.109375" style="632" bestFit="1" customWidth="1"/>
    <col min="5636" max="5636" width="1.88671875" style="632" customWidth="1"/>
    <col min="5637" max="5637" width="6.6640625" style="632" customWidth="1"/>
    <col min="5638" max="5638" width="14.77734375" style="632" customWidth="1"/>
    <col min="5639" max="5639" width="9" style="632" bestFit="1" customWidth="1"/>
    <col min="5640" max="5880" width="5" style="632"/>
    <col min="5881" max="5881" width="4.6640625" style="632" customWidth="1"/>
    <col min="5882" max="5882" width="2" style="632" customWidth="1"/>
    <col min="5883" max="5883" width="40.6640625" style="632" customWidth="1"/>
    <col min="5884" max="5884" width="3.5546875" style="632" customWidth="1"/>
    <col min="5885" max="5885" width="11.109375" style="632" customWidth="1"/>
    <col min="5886" max="5886" width="2.6640625" style="632" customWidth="1"/>
    <col min="5887" max="5887" width="11.21875" style="632" customWidth="1"/>
    <col min="5888" max="5888" width="2.6640625" style="632" customWidth="1"/>
    <col min="5889" max="5889" width="11.21875" style="632" customWidth="1"/>
    <col min="5890" max="5890" width="2.6640625" style="632" customWidth="1"/>
    <col min="5891" max="5891" width="19.109375" style="632" bestFit="1" customWidth="1"/>
    <col min="5892" max="5892" width="1.88671875" style="632" customWidth="1"/>
    <col min="5893" max="5893" width="6.6640625" style="632" customWidth="1"/>
    <col min="5894" max="5894" width="14.77734375" style="632" customWidth="1"/>
    <col min="5895" max="5895" width="9" style="632" bestFit="1" customWidth="1"/>
    <col min="5896" max="6136" width="5" style="632"/>
    <col min="6137" max="6137" width="4.6640625" style="632" customWidth="1"/>
    <col min="6138" max="6138" width="2" style="632" customWidth="1"/>
    <col min="6139" max="6139" width="40.6640625" style="632" customWidth="1"/>
    <col min="6140" max="6140" width="3.5546875" style="632" customWidth="1"/>
    <col min="6141" max="6141" width="11.109375" style="632" customWidth="1"/>
    <col min="6142" max="6142" width="2.6640625" style="632" customWidth="1"/>
    <col min="6143" max="6143" width="11.21875" style="632" customWidth="1"/>
    <col min="6144" max="6144" width="2.6640625" style="632" customWidth="1"/>
    <col min="6145" max="6145" width="11.21875" style="632" customWidth="1"/>
    <col min="6146" max="6146" width="2.6640625" style="632" customWidth="1"/>
    <col min="6147" max="6147" width="19.109375" style="632" bestFit="1" customWidth="1"/>
    <col min="6148" max="6148" width="1.88671875" style="632" customWidth="1"/>
    <col min="6149" max="6149" width="6.6640625" style="632" customWidth="1"/>
    <col min="6150" max="6150" width="14.77734375" style="632" customWidth="1"/>
    <col min="6151" max="6151" width="9" style="632" bestFit="1" customWidth="1"/>
    <col min="6152" max="6392" width="5" style="632"/>
    <col min="6393" max="6393" width="4.6640625" style="632" customWidth="1"/>
    <col min="6394" max="6394" width="2" style="632" customWidth="1"/>
    <col min="6395" max="6395" width="40.6640625" style="632" customWidth="1"/>
    <col min="6396" max="6396" width="3.5546875" style="632" customWidth="1"/>
    <col min="6397" max="6397" width="11.109375" style="632" customWidth="1"/>
    <col min="6398" max="6398" width="2.6640625" style="632" customWidth="1"/>
    <col min="6399" max="6399" width="11.21875" style="632" customWidth="1"/>
    <col min="6400" max="6400" width="2.6640625" style="632" customWidth="1"/>
    <col min="6401" max="6401" width="11.21875" style="632" customWidth="1"/>
    <col min="6402" max="6402" width="2.6640625" style="632" customWidth="1"/>
    <col min="6403" max="6403" width="19.109375" style="632" bestFit="1" customWidth="1"/>
    <col min="6404" max="6404" width="1.88671875" style="632" customWidth="1"/>
    <col min="6405" max="6405" width="6.6640625" style="632" customWidth="1"/>
    <col min="6406" max="6406" width="14.77734375" style="632" customWidth="1"/>
    <col min="6407" max="6407" width="9" style="632" bestFit="1" customWidth="1"/>
    <col min="6408" max="6648" width="5" style="632"/>
    <col min="6649" max="6649" width="4.6640625" style="632" customWidth="1"/>
    <col min="6650" max="6650" width="2" style="632" customWidth="1"/>
    <col min="6651" max="6651" width="40.6640625" style="632" customWidth="1"/>
    <col min="6652" max="6652" width="3.5546875" style="632" customWidth="1"/>
    <col min="6653" max="6653" width="11.109375" style="632" customWidth="1"/>
    <col min="6654" max="6654" width="2.6640625" style="632" customWidth="1"/>
    <col min="6655" max="6655" width="11.21875" style="632" customWidth="1"/>
    <col min="6656" max="6656" width="2.6640625" style="632" customWidth="1"/>
    <col min="6657" max="6657" width="11.21875" style="632" customWidth="1"/>
    <col min="6658" max="6658" width="2.6640625" style="632" customWidth="1"/>
    <col min="6659" max="6659" width="19.109375" style="632" bestFit="1" customWidth="1"/>
    <col min="6660" max="6660" width="1.88671875" style="632" customWidth="1"/>
    <col min="6661" max="6661" width="6.6640625" style="632" customWidth="1"/>
    <col min="6662" max="6662" width="14.77734375" style="632" customWidth="1"/>
    <col min="6663" max="6663" width="9" style="632" bestFit="1" customWidth="1"/>
    <col min="6664" max="6904" width="5" style="632"/>
    <col min="6905" max="6905" width="4.6640625" style="632" customWidth="1"/>
    <col min="6906" max="6906" width="2" style="632" customWidth="1"/>
    <col min="6907" max="6907" width="40.6640625" style="632" customWidth="1"/>
    <col min="6908" max="6908" width="3.5546875" style="632" customWidth="1"/>
    <col min="6909" max="6909" width="11.109375" style="632" customWidth="1"/>
    <col min="6910" max="6910" width="2.6640625" style="632" customWidth="1"/>
    <col min="6911" max="6911" width="11.21875" style="632" customWidth="1"/>
    <col min="6912" max="6912" width="2.6640625" style="632" customWidth="1"/>
    <col min="6913" max="6913" width="11.21875" style="632" customWidth="1"/>
    <col min="6914" max="6914" width="2.6640625" style="632" customWidth="1"/>
    <col min="6915" max="6915" width="19.109375" style="632" bestFit="1" customWidth="1"/>
    <col min="6916" max="6916" width="1.88671875" style="632" customWidth="1"/>
    <col min="6917" max="6917" width="6.6640625" style="632" customWidth="1"/>
    <col min="6918" max="6918" width="14.77734375" style="632" customWidth="1"/>
    <col min="6919" max="6919" width="9" style="632" bestFit="1" customWidth="1"/>
    <col min="6920" max="7160" width="5" style="632"/>
    <col min="7161" max="7161" width="4.6640625" style="632" customWidth="1"/>
    <col min="7162" max="7162" width="2" style="632" customWidth="1"/>
    <col min="7163" max="7163" width="40.6640625" style="632" customWidth="1"/>
    <col min="7164" max="7164" width="3.5546875" style="632" customWidth="1"/>
    <col min="7165" max="7165" width="11.109375" style="632" customWidth="1"/>
    <col min="7166" max="7166" width="2.6640625" style="632" customWidth="1"/>
    <col min="7167" max="7167" width="11.21875" style="632" customWidth="1"/>
    <col min="7168" max="7168" width="2.6640625" style="632" customWidth="1"/>
    <col min="7169" max="7169" width="11.21875" style="632" customWidth="1"/>
    <col min="7170" max="7170" width="2.6640625" style="632" customWidth="1"/>
    <col min="7171" max="7171" width="19.109375" style="632" bestFit="1" customWidth="1"/>
    <col min="7172" max="7172" width="1.88671875" style="632" customWidth="1"/>
    <col min="7173" max="7173" width="6.6640625" style="632" customWidth="1"/>
    <col min="7174" max="7174" width="14.77734375" style="632" customWidth="1"/>
    <col min="7175" max="7175" width="9" style="632" bestFit="1" customWidth="1"/>
    <col min="7176" max="7416" width="5" style="632"/>
    <col min="7417" max="7417" width="4.6640625" style="632" customWidth="1"/>
    <col min="7418" max="7418" width="2" style="632" customWidth="1"/>
    <col min="7419" max="7419" width="40.6640625" style="632" customWidth="1"/>
    <col min="7420" max="7420" width="3.5546875" style="632" customWidth="1"/>
    <col min="7421" max="7421" width="11.109375" style="632" customWidth="1"/>
    <col min="7422" max="7422" width="2.6640625" style="632" customWidth="1"/>
    <col min="7423" max="7423" width="11.21875" style="632" customWidth="1"/>
    <col min="7424" max="7424" width="2.6640625" style="632" customWidth="1"/>
    <col min="7425" max="7425" width="11.21875" style="632" customWidth="1"/>
    <col min="7426" max="7426" width="2.6640625" style="632" customWidth="1"/>
    <col min="7427" max="7427" width="19.109375" style="632" bestFit="1" customWidth="1"/>
    <col min="7428" max="7428" width="1.88671875" style="632" customWidth="1"/>
    <col min="7429" max="7429" width="6.6640625" style="632" customWidth="1"/>
    <col min="7430" max="7430" width="14.77734375" style="632" customWidth="1"/>
    <col min="7431" max="7431" width="9" style="632" bestFit="1" customWidth="1"/>
    <col min="7432" max="7672" width="5" style="632"/>
    <col min="7673" max="7673" width="4.6640625" style="632" customWidth="1"/>
    <col min="7674" max="7674" width="2" style="632" customWidth="1"/>
    <col min="7675" max="7675" width="40.6640625" style="632" customWidth="1"/>
    <col min="7676" max="7676" width="3.5546875" style="632" customWidth="1"/>
    <col min="7677" max="7677" width="11.109375" style="632" customWidth="1"/>
    <col min="7678" max="7678" width="2.6640625" style="632" customWidth="1"/>
    <col min="7679" max="7679" width="11.21875" style="632" customWidth="1"/>
    <col min="7680" max="7680" width="2.6640625" style="632" customWidth="1"/>
    <col min="7681" max="7681" width="11.21875" style="632" customWidth="1"/>
    <col min="7682" max="7682" width="2.6640625" style="632" customWidth="1"/>
    <col min="7683" max="7683" width="19.109375" style="632" bestFit="1" customWidth="1"/>
    <col min="7684" max="7684" width="1.88671875" style="632" customWidth="1"/>
    <col min="7685" max="7685" width="6.6640625" style="632" customWidth="1"/>
    <col min="7686" max="7686" width="14.77734375" style="632" customWidth="1"/>
    <col min="7687" max="7687" width="9" style="632" bestFit="1" customWidth="1"/>
    <col min="7688" max="7928" width="5" style="632"/>
    <col min="7929" max="7929" width="4.6640625" style="632" customWidth="1"/>
    <col min="7930" max="7930" width="2" style="632" customWidth="1"/>
    <col min="7931" max="7931" width="40.6640625" style="632" customWidth="1"/>
    <col min="7932" max="7932" width="3.5546875" style="632" customWidth="1"/>
    <col min="7933" max="7933" width="11.109375" style="632" customWidth="1"/>
    <col min="7934" max="7934" width="2.6640625" style="632" customWidth="1"/>
    <col min="7935" max="7935" width="11.21875" style="632" customWidth="1"/>
    <col min="7936" max="7936" width="2.6640625" style="632" customWidth="1"/>
    <col min="7937" max="7937" width="11.21875" style="632" customWidth="1"/>
    <col min="7938" max="7938" width="2.6640625" style="632" customWidth="1"/>
    <col min="7939" max="7939" width="19.109375" style="632" bestFit="1" customWidth="1"/>
    <col min="7940" max="7940" width="1.88671875" style="632" customWidth="1"/>
    <col min="7941" max="7941" width="6.6640625" style="632" customWidth="1"/>
    <col min="7942" max="7942" width="14.77734375" style="632" customWidth="1"/>
    <col min="7943" max="7943" width="9" style="632" bestFit="1" customWidth="1"/>
    <col min="7944" max="8184" width="5" style="632"/>
    <col min="8185" max="8185" width="4.6640625" style="632" customWidth="1"/>
    <col min="8186" max="8186" width="2" style="632" customWidth="1"/>
    <col min="8187" max="8187" width="40.6640625" style="632" customWidth="1"/>
    <col min="8188" max="8188" width="3.5546875" style="632" customWidth="1"/>
    <col min="8189" max="8189" width="11.109375" style="632" customWidth="1"/>
    <col min="8190" max="8190" width="2.6640625" style="632" customWidth="1"/>
    <col min="8191" max="8191" width="11.21875" style="632" customWidth="1"/>
    <col min="8192" max="8192" width="2.6640625" style="632" customWidth="1"/>
    <col min="8193" max="8193" width="11.21875" style="632" customWidth="1"/>
    <col min="8194" max="8194" width="2.6640625" style="632" customWidth="1"/>
    <col min="8195" max="8195" width="19.109375" style="632" bestFit="1" customWidth="1"/>
    <col min="8196" max="8196" width="1.88671875" style="632" customWidth="1"/>
    <col min="8197" max="8197" width="6.6640625" style="632" customWidth="1"/>
    <col min="8198" max="8198" width="14.77734375" style="632" customWidth="1"/>
    <col min="8199" max="8199" width="9" style="632" bestFit="1" customWidth="1"/>
    <col min="8200" max="8440" width="5" style="632"/>
    <col min="8441" max="8441" width="4.6640625" style="632" customWidth="1"/>
    <col min="8442" max="8442" width="2" style="632" customWidth="1"/>
    <col min="8443" max="8443" width="40.6640625" style="632" customWidth="1"/>
    <col min="8444" max="8444" width="3.5546875" style="632" customWidth="1"/>
    <col min="8445" max="8445" width="11.109375" style="632" customWidth="1"/>
    <col min="8446" max="8446" width="2.6640625" style="632" customWidth="1"/>
    <col min="8447" max="8447" width="11.21875" style="632" customWidth="1"/>
    <col min="8448" max="8448" width="2.6640625" style="632" customWidth="1"/>
    <col min="8449" max="8449" width="11.21875" style="632" customWidth="1"/>
    <col min="8450" max="8450" width="2.6640625" style="632" customWidth="1"/>
    <col min="8451" max="8451" width="19.109375" style="632" bestFit="1" customWidth="1"/>
    <col min="8452" max="8452" width="1.88671875" style="632" customWidth="1"/>
    <col min="8453" max="8453" width="6.6640625" style="632" customWidth="1"/>
    <col min="8454" max="8454" width="14.77734375" style="632" customWidth="1"/>
    <col min="8455" max="8455" width="9" style="632" bestFit="1" customWidth="1"/>
    <col min="8456" max="8696" width="5" style="632"/>
    <col min="8697" max="8697" width="4.6640625" style="632" customWidth="1"/>
    <col min="8698" max="8698" width="2" style="632" customWidth="1"/>
    <col min="8699" max="8699" width="40.6640625" style="632" customWidth="1"/>
    <col min="8700" max="8700" width="3.5546875" style="632" customWidth="1"/>
    <col min="8701" max="8701" width="11.109375" style="632" customWidth="1"/>
    <col min="8702" max="8702" width="2.6640625" style="632" customWidth="1"/>
    <col min="8703" max="8703" width="11.21875" style="632" customWidth="1"/>
    <col min="8704" max="8704" width="2.6640625" style="632" customWidth="1"/>
    <col min="8705" max="8705" width="11.21875" style="632" customWidth="1"/>
    <col min="8706" max="8706" width="2.6640625" style="632" customWidth="1"/>
    <col min="8707" max="8707" width="19.109375" style="632" bestFit="1" customWidth="1"/>
    <col min="8708" max="8708" width="1.88671875" style="632" customWidth="1"/>
    <col min="8709" max="8709" width="6.6640625" style="632" customWidth="1"/>
    <col min="8710" max="8710" width="14.77734375" style="632" customWidth="1"/>
    <col min="8711" max="8711" width="9" style="632" bestFit="1" customWidth="1"/>
    <col min="8712" max="8952" width="5" style="632"/>
    <col min="8953" max="8953" width="4.6640625" style="632" customWidth="1"/>
    <col min="8954" max="8954" width="2" style="632" customWidth="1"/>
    <col min="8955" max="8955" width="40.6640625" style="632" customWidth="1"/>
    <col min="8956" max="8956" width="3.5546875" style="632" customWidth="1"/>
    <col min="8957" max="8957" width="11.109375" style="632" customWidth="1"/>
    <col min="8958" max="8958" width="2.6640625" style="632" customWidth="1"/>
    <col min="8959" max="8959" width="11.21875" style="632" customWidth="1"/>
    <col min="8960" max="8960" width="2.6640625" style="632" customWidth="1"/>
    <col min="8961" max="8961" width="11.21875" style="632" customWidth="1"/>
    <col min="8962" max="8962" width="2.6640625" style="632" customWidth="1"/>
    <col min="8963" max="8963" width="19.109375" style="632" bestFit="1" customWidth="1"/>
    <col min="8964" max="8964" width="1.88671875" style="632" customWidth="1"/>
    <col min="8965" max="8965" width="6.6640625" style="632" customWidth="1"/>
    <col min="8966" max="8966" width="14.77734375" style="632" customWidth="1"/>
    <col min="8967" max="8967" width="9" style="632" bestFit="1" customWidth="1"/>
    <col min="8968" max="9208" width="5" style="632"/>
    <col min="9209" max="9209" width="4.6640625" style="632" customWidth="1"/>
    <col min="9210" max="9210" width="2" style="632" customWidth="1"/>
    <col min="9211" max="9211" width="40.6640625" style="632" customWidth="1"/>
    <col min="9212" max="9212" width="3.5546875" style="632" customWidth="1"/>
    <col min="9213" max="9213" width="11.109375" style="632" customWidth="1"/>
    <col min="9214" max="9214" width="2.6640625" style="632" customWidth="1"/>
    <col min="9215" max="9215" width="11.21875" style="632" customWidth="1"/>
    <col min="9216" max="9216" width="2.6640625" style="632" customWidth="1"/>
    <col min="9217" max="9217" width="11.21875" style="632" customWidth="1"/>
    <col min="9218" max="9218" width="2.6640625" style="632" customWidth="1"/>
    <col min="9219" max="9219" width="19.109375" style="632" bestFit="1" customWidth="1"/>
    <col min="9220" max="9220" width="1.88671875" style="632" customWidth="1"/>
    <col min="9221" max="9221" width="6.6640625" style="632" customWidth="1"/>
    <col min="9222" max="9222" width="14.77734375" style="632" customWidth="1"/>
    <col min="9223" max="9223" width="9" style="632" bestFit="1" customWidth="1"/>
    <col min="9224" max="9464" width="5" style="632"/>
    <col min="9465" max="9465" width="4.6640625" style="632" customWidth="1"/>
    <col min="9466" max="9466" width="2" style="632" customWidth="1"/>
    <col min="9467" max="9467" width="40.6640625" style="632" customWidth="1"/>
    <col min="9468" max="9468" width="3.5546875" style="632" customWidth="1"/>
    <col min="9469" max="9469" width="11.109375" style="632" customWidth="1"/>
    <col min="9470" max="9470" width="2.6640625" style="632" customWidth="1"/>
    <col min="9471" max="9471" width="11.21875" style="632" customWidth="1"/>
    <col min="9472" max="9472" width="2.6640625" style="632" customWidth="1"/>
    <col min="9473" max="9473" width="11.21875" style="632" customWidth="1"/>
    <col min="9474" max="9474" width="2.6640625" style="632" customWidth="1"/>
    <col min="9475" max="9475" width="19.109375" style="632" bestFit="1" customWidth="1"/>
    <col min="9476" max="9476" width="1.88671875" style="632" customWidth="1"/>
    <col min="9477" max="9477" width="6.6640625" style="632" customWidth="1"/>
    <col min="9478" max="9478" width="14.77734375" style="632" customWidth="1"/>
    <col min="9479" max="9479" width="9" style="632" bestFit="1" customWidth="1"/>
    <col min="9480" max="9720" width="5" style="632"/>
    <col min="9721" max="9721" width="4.6640625" style="632" customWidth="1"/>
    <col min="9722" max="9722" width="2" style="632" customWidth="1"/>
    <col min="9723" max="9723" width="40.6640625" style="632" customWidth="1"/>
    <col min="9724" max="9724" width="3.5546875" style="632" customWidth="1"/>
    <col min="9725" max="9725" width="11.109375" style="632" customWidth="1"/>
    <col min="9726" max="9726" width="2.6640625" style="632" customWidth="1"/>
    <col min="9727" max="9727" width="11.21875" style="632" customWidth="1"/>
    <col min="9728" max="9728" width="2.6640625" style="632" customWidth="1"/>
    <col min="9729" max="9729" width="11.21875" style="632" customWidth="1"/>
    <col min="9730" max="9730" width="2.6640625" style="632" customWidth="1"/>
    <col min="9731" max="9731" width="19.109375" style="632" bestFit="1" customWidth="1"/>
    <col min="9732" max="9732" width="1.88671875" style="632" customWidth="1"/>
    <col min="9733" max="9733" width="6.6640625" style="632" customWidth="1"/>
    <col min="9734" max="9734" width="14.77734375" style="632" customWidth="1"/>
    <col min="9735" max="9735" width="9" style="632" bestFit="1" customWidth="1"/>
    <col min="9736" max="9976" width="5" style="632"/>
    <col min="9977" max="9977" width="4.6640625" style="632" customWidth="1"/>
    <col min="9978" max="9978" width="2" style="632" customWidth="1"/>
    <col min="9979" max="9979" width="40.6640625" style="632" customWidth="1"/>
    <col min="9980" max="9980" width="3.5546875" style="632" customWidth="1"/>
    <col min="9981" max="9981" width="11.109375" style="632" customWidth="1"/>
    <col min="9982" max="9982" width="2.6640625" style="632" customWidth="1"/>
    <col min="9983" max="9983" width="11.21875" style="632" customWidth="1"/>
    <col min="9984" max="9984" width="2.6640625" style="632" customWidth="1"/>
    <col min="9985" max="9985" width="11.21875" style="632" customWidth="1"/>
    <col min="9986" max="9986" width="2.6640625" style="632" customWidth="1"/>
    <col min="9987" max="9987" width="19.109375" style="632" bestFit="1" customWidth="1"/>
    <col min="9988" max="9988" width="1.88671875" style="632" customWidth="1"/>
    <col min="9989" max="9989" width="6.6640625" style="632" customWidth="1"/>
    <col min="9990" max="9990" width="14.77734375" style="632" customWidth="1"/>
    <col min="9991" max="9991" width="9" style="632" bestFit="1" customWidth="1"/>
    <col min="9992" max="10232" width="5" style="632"/>
    <col min="10233" max="10233" width="4.6640625" style="632" customWidth="1"/>
    <col min="10234" max="10234" width="2" style="632" customWidth="1"/>
    <col min="10235" max="10235" width="40.6640625" style="632" customWidth="1"/>
    <col min="10236" max="10236" width="3.5546875" style="632" customWidth="1"/>
    <col min="10237" max="10237" width="11.109375" style="632" customWidth="1"/>
    <col min="10238" max="10238" width="2.6640625" style="632" customWidth="1"/>
    <col min="10239" max="10239" width="11.21875" style="632" customWidth="1"/>
    <col min="10240" max="10240" width="2.6640625" style="632" customWidth="1"/>
    <col min="10241" max="10241" width="11.21875" style="632" customWidth="1"/>
    <col min="10242" max="10242" width="2.6640625" style="632" customWidth="1"/>
    <col min="10243" max="10243" width="19.109375" style="632" bestFit="1" customWidth="1"/>
    <col min="10244" max="10244" width="1.88671875" style="632" customWidth="1"/>
    <col min="10245" max="10245" width="6.6640625" style="632" customWidth="1"/>
    <col min="10246" max="10246" width="14.77734375" style="632" customWidth="1"/>
    <col min="10247" max="10247" width="9" style="632" bestFit="1" customWidth="1"/>
    <col min="10248" max="10488" width="5" style="632"/>
    <col min="10489" max="10489" width="4.6640625" style="632" customWidth="1"/>
    <col min="10490" max="10490" width="2" style="632" customWidth="1"/>
    <col min="10491" max="10491" width="40.6640625" style="632" customWidth="1"/>
    <col min="10492" max="10492" width="3.5546875" style="632" customWidth="1"/>
    <col min="10493" max="10493" width="11.109375" style="632" customWidth="1"/>
    <col min="10494" max="10494" width="2.6640625" style="632" customWidth="1"/>
    <col min="10495" max="10495" width="11.21875" style="632" customWidth="1"/>
    <col min="10496" max="10496" width="2.6640625" style="632" customWidth="1"/>
    <col min="10497" max="10497" width="11.21875" style="632" customWidth="1"/>
    <col min="10498" max="10498" width="2.6640625" style="632" customWidth="1"/>
    <col min="10499" max="10499" width="19.109375" style="632" bestFit="1" customWidth="1"/>
    <col min="10500" max="10500" width="1.88671875" style="632" customWidth="1"/>
    <col min="10501" max="10501" width="6.6640625" style="632" customWidth="1"/>
    <col min="10502" max="10502" width="14.77734375" style="632" customWidth="1"/>
    <col min="10503" max="10503" width="9" style="632" bestFit="1" customWidth="1"/>
    <col min="10504" max="10744" width="5" style="632"/>
    <col min="10745" max="10745" width="4.6640625" style="632" customWidth="1"/>
    <col min="10746" max="10746" width="2" style="632" customWidth="1"/>
    <col min="10747" max="10747" width="40.6640625" style="632" customWidth="1"/>
    <col min="10748" max="10748" width="3.5546875" style="632" customWidth="1"/>
    <col min="10749" max="10749" width="11.109375" style="632" customWidth="1"/>
    <col min="10750" max="10750" width="2.6640625" style="632" customWidth="1"/>
    <col min="10751" max="10751" width="11.21875" style="632" customWidth="1"/>
    <col min="10752" max="10752" width="2.6640625" style="632" customWidth="1"/>
    <col min="10753" max="10753" width="11.21875" style="632" customWidth="1"/>
    <col min="10754" max="10754" width="2.6640625" style="632" customWidth="1"/>
    <col min="10755" max="10755" width="19.109375" style="632" bestFit="1" customWidth="1"/>
    <col min="10756" max="10756" width="1.88671875" style="632" customWidth="1"/>
    <col min="10757" max="10757" width="6.6640625" style="632" customWidth="1"/>
    <col min="10758" max="10758" width="14.77734375" style="632" customWidth="1"/>
    <col min="10759" max="10759" width="9" style="632" bestFit="1" customWidth="1"/>
    <col min="10760" max="11000" width="5" style="632"/>
    <col min="11001" max="11001" width="4.6640625" style="632" customWidth="1"/>
    <col min="11002" max="11002" width="2" style="632" customWidth="1"/>
    <col min="11003" max="11003" width="40.6640625" style="632" customWidth="1"/>
    <col min="11004" max="11004" width="3.5546875" style="632" customWidth="1"/>
    <col min="11005" max="11005" width="11.109375" style="632" customWidth="1"/>
    <col min="11006" max="11006" width="2.6640625" style="632" customWidth="1"/>
    <col min="11007" max="11007" width="11.21875" style="632" customWidth="1"/>
    <col min="11008" max="11008" width="2.6640625" style="632" customWidth="1"/>
    <col min="11009" max="11009" width="11.21875" style="632" customWidth="1"/>
    <col min="11010" max="11010" width="2.6640625" style="632" customWidth="1"/>
    <col min="11011" max="11011" width="19.109375" style="632" bestFit="1" customWidth="1"/>
    <col min="11012" max="11012" width="1.88671875" style="632" customWidth="1"/>
    <col min="11013" max="11013" width="6.6640625" style="632" customWidth="1"/>
    <col min="11014" max="11014" width="14.77734375" style="632" customWidth="1"/>
    <col min="11015" max="11015" width="9" style="632" bestFit="1" customWidth="1"/>
    <col min="11016" max="11256" width="5" style="632"/>
    <col min="11257" max="11257" width="4.6640625" style="632" customWidth="1"/>
    <col min="11258" max="11258" width="2" style="632" customWidth="1"/>
    <col min="11259" max="11259" width="40.6640625" style="632" customWidth="1"/>
    <col min="11260" max="11260" width="3.5546875" style="632" customWidth="1"/>
    <col min="11261" max="11261" width="11.109375" style="632" customWidth="1"/>
    <col min="11262" max="11262" width="2.6640625" style="632" customWidth="1"/>
    <col min="11263" max="11263" width="11.21875" style="632" customWidth="1"/>
    <col min="11264" max="11264" width="2.6640625" style="632" customWidth="1"/>
    <col min="11265" max="11265" width="11.21875" style="632" customWidth="1"/>
    <col min="11266" max="11266" width="2.6640625" style="632" customWidth="1"/>
    <col min="11267" max="11267" width="19.109375" style="632" bestFit="1" customWidth="1"/>
    <col min="11268" max="11268" width="1.88671875" style="632" customWidth="1"/>
    <col min="11269" max="11269" width="6.6640625" style="632" customWidth="1"/>
    <col min="11270" max="11270" width="14.77734375" style="632" customWidth="1"/>
    <col min="11271" max="11271" width="9" style="632" bestFit="1" customWidth="1"/>
    <col min="11272" max="11512" width="5" style="632"/>
    <col min="11513" max="11513" width="4.6640625" style="632" customWidth="1"/>
    <col min="11514" max="11514" width="2" style="632" customWidth="1"/>
    <col min="11515" max="11515" width="40.6640625" style="632" customWidth="1"/>
    <col min="11516" max="11516" width="3.5546875" style="632" customWidth="1"/>
    <col min="11517" max="11517" width="11.109375" style="632" customWidth="1"/>
    <col min="11518" max="11518" width="2.6640625" style="632" customWidth="1"/>
    <col min="11519" max="11519" width="11.21875" style="632" customWidth="1"/>
    <col min="11520" max="11520" width="2.6640625" style="632" customWidth="1"/>
    <col min="11521" max="11521" width="11.21875" style="632" customWidth="1"/>
    <col min="11522" max="11522" width="2.6640625" style="632" customWidth="1"/>
    <col min="11523" max="11523" width="19.109375" style="632" bestFit="1" customWidth="1"/>
    <col min="11524" max="11524" width="1.88671875" style="632" customWidth="1"/>
    <col min="11525" max="11525" width="6.6640625" style="632" customWidth="1"/>
    <col min="11526" max="11526" width="14.77734375" style="632" customWidth="1"/>
    <col min="11527" max="11527" width="9" style="632" bestFit="1" customWidth="1"/>
    <col min="11528" max="11768" width="5" style="632"/>
    <col min="11769" max="11769" width="4.6640625" style="632" customWidth="1"/>
    <col min="11770" max="11770" width="2" style="632" customWidth="1"/>
    <col min="11771" max="11771" width="40.6640625" style="632" customWidth="1"/>
    <col min="11772" max="11772" width="3.5546875" style="632" customWidth="1"/>
    <col min="11773" max="11773" width="11.109375" style="632" customWidth="1"/>
    <col min="11774" max="11774" width="2.6640625" style="632" customWidth="1"/>
    <col min="11775" max="11775" width="11.21875" style="632" customWidth="1"/>
    <col min="11776" max="11776" width="2.6640625" style="632" customWidth="1"/>
    <col min="11777" max="11777" width="11.21875" style="632" customWidth="1"/>
    <col min="11778" max="11778" width="2.6640625" style="632" customWidth="1"/>
    <col min="11779" max="11779" width="19.109375" style="632" bestFit="1" customWidth="1"/>
    <col min="11780" max="11780" width="1.88671875" style="632" customWidth="1"/>
    <col min="11781" max="11781" width="6.6640625" style="632" customWidth="1"/>
    <col min="11782" max="11782" width="14.77734375" style="632" customWidth="1"/>
    <col min="11783" max="11783" width="9" style="632" bestFit="1" customWidth="1"/>
    <col min="11784" max="12024" width="5" style="632"/>
    <col min="12025" max="12025" width="4.6640625" style="632" customWidth="1"/>
    <col min="12026" max="12026" width="2" style="632" customWidth="1"/>
    <col min="12027" max="12027" width="40.6640625" style="632" customWidth="1"/>
    <col min="12028" max="12028" width="3.5546875" style="632" customWidth="1"/>
    <col min="12029" max="12029" width="11.109375" style="632" customWidth="1"/>
    <col min="12030" max="12030" width="2.6640625" style="632" customWidth="1"/>
    <col min="12031" max="12031" width="11.21875" style="632" customWidth="1"/>
    <col min="12032" max="12032" width="2.6640625" style="632" customWidth="1"/>
    <col min="12033" max="12033" width="11.21875" style="632" customWidth="1"/>
    <col min="12034" max="12034" width="2.6640625" style="632" customWidth="1"/>
    <col min="12035" max="12035" width="19.109375" style="632" bestFit="1" customWidth="1"/>
    <col min="12036" max="12036" width="1.88671875" style="632" customWidth="1"/>
    <col min="12037" max="12037" width="6.6640625" style="632" customWidth="1"/>
    <col min="12038" max="12038" width="14.77734375" style="632" customWidth="1"/>
    <col min="12039" max="12039" width="9" style="632" bestFit="1" customWidth="1"/>
    <col min="12040" max="12280" width="5" style="632"/>
    <col min="12281" max="12281" width="4.6640625" style="632" customWidth="1"/>
    <col min="12282" max="12282" width="2" style="632" customWidth="1"/>
    <col min="12283" max="12283" width="40.6640625" style="632" customWidth="1"/>
    <col min="12284" max="12284" width="3.5546875" style="632" customWidth="1"/>
    <col min="12285" max="12285" width="11.109375" style="632" customWidth="1"/>
    <col min="12286" max="12286" width="2.6640625" style="632" customWidth="1"/>
    <col min="12287" max="12287" width="11.21875" style="632" customWidth="1"/>
    <col min="12288" max="12288" width="2.6640625" style="632" customWidth="1"/>
    <col min="12289" max="12289" width="11.21875" style="632" customWidth="1"/>
    <col min="12290" max="12290" width="2.6640625" style="632" customWidth="1"/>
    <col min="12291" max="12291" width="19.109375" style="632" bestFit="1" customWidth="1"/>
    <col min="12292" max="12292" width="1.88671875" style="632" customWidth="1"/>
    <col min="12293" max="12293" width="6.6640625" style="632" customWidth="1"/>
    <col min="12294" max="12294" width="14.77734375" style="632" customWidth="1"/>
    <col min="12295" max="12295" width="9" style="632" bestFit="1" customWidth="1"/>
    <col min="12296" max="12536" width="5" style="632"/>
    <col min="12537" max="12537" width="4.6640625" style="632" customWidth="1"/>
    <col min="12538" max="12538" width="2" style="632" customWidth="1"/>
    <col min="12539" max="12539" width="40.6640625" style="632" customWidth="1"/>
    <col min="12540" max="12540" width="3.5546875" style="632" customWidth="1"/>
    <col min="12541" max="12541" width="11.109375" style="632" customWidth="1"/>
    <col min="12542" max="12542" width="2.6640625" style="632" customWidth="1"/>
    <col min="12543" max="12543" width="11.21875" style="632" customWidth="1"/>
    <col min="12544" max="12544" width="2.6640625" style="632" customWidth="1"/>
    <col min="12545" max="12545" width="11.21875" style="632" customWidth="1"/>
    <col min="12546" max="12546" width="2.6640625" style="632" customWidth="1"/>
    <col min="12547" max="12547" width="19.109375" style="632" bestFit="1" customWidth="1"/>
    <col min="12548" max="12548" width="1.88671875" style="632" customWidth="1"/>
    <col min="12549" max="12549" width="6.6640625" style="632" customWidth="1"/>
    <col min="12550" max="12550" width="14.77734375" style="632" customWidth="1"/>
    <col min="12551" max="12551" width="9" style="632" bestFit="1" customWidth="1"/>
    <col min="12552" max="12792" width="5" style="632"/>
    <col min="12793" max="12793" width="4.6640625" style="632" customWidth="1"/>
    <col min="12794" max="12794" width="2" style="632" customWidth="1"/>
    <col min="12795" max="12795" width="40.6640625" style="632" customWidth="1"/>
    <col min="12796" max="12796" width="3.5546875" style="632" customWidth="1"/>
    <col min="12797" max="12797" width="11.109375" style="632" customWidth="1"/>
    <col min="12798" max="12798" width="2.6640625" style="632" customWidth="1"/>
    <col min="12799" max="12799" width="11.21875" style="632" customWidth="1"/>
    <col min="12800" max="12800" width="2.6640625" style="632" customWidth="1"/>
    <col min="12801" max="12801" width="11.21875" style="632" customWidth="1"/>
    <col min="12802" max="12802" width="2.6640625" style="632" customWidth="1"/>
    <col min="12803" max="12803" width="19.109375" style="632" bestFit="1" customWidth="1"/>
    <col min="12804" max="12804" width="1.88671875" style="632" customWidth="1"/>
    <col min="12805" max="12805" width="6.6640625" style="632" customWidth="1"/>
    <col min="12806" max="12806" width="14.77734375" style="632" customWidth="1"/>
    <col min="12807" max="12807" width="9" style="632" bestFit="1" customWidth="1"/>
    <col min="12808" max="13048" width="5" style="632"/>
    <col min="13049" max="13049" width="4.6640625" style="632" customWidth="1"/>
    <col min="13050" max="13050" width="2" style="632" customWidth="1"/>
    <col min="13051" max="13051" width="40.6640625" style="632" customWidth="1"/>
    <col min="13052" max="13052" width="3.5546875" style="632" customWidth="1"/>
    <col min="13053" max="13053" width="11.109375" style="632" customWidth="1"/>
    <col min="13054" max="13054" width="2.6640625" style="632" customWidth="1"/>
    <col min="13055" max="13055" width="11.21875" style="632" customWidth="1"/>
    <col min="13056" max="13056" width="2.6640625" style="632" customWidth="1"/>
    <col min="13057" max="13057" width="11.21875" style="632" customWidth="1"/>
    <col min="13058" max="13058" width="2.6640625" style="632" customWidth="1"/>
    <col min="13059" max="13059" width="19.109375" style="632" bestFit="1" customWidth="1"/>
    <col min="13060" max="13060" width="1.88671875" style="632" customWidth="1"/>
    <col min="13061" max="13061" width="6.6640625" style="632" customWidth="1"/>
    <col min="13062" max="13062" width="14.77734375" style="632" customWidth="1"/>
    <col min="13063" max="13063" width="9" style="632" bestFit="1" customWidth="1"/>
    <col min="13064" max="13304" width="5" style="632"/>
    <col min="13305" max="13305" width="4.6640625" style="632" customWidth="1"/>
    <col min="13306" max="13306" width="2" style="632" customWidth="1"/>
    <col min="13307" max="13307" width="40.6640625" style="632" customWidth="1"/>
    <col min="13308" max="13308" width="3.5546875" style="632" customWidth="1"/>
    <col min="13309" max="13309" width="11.109375" style="632" customWidth="1"/>
    <col min="13310" max="13310" width="2.6640625" style="632" customWidth="1"/>
    <col min="13311" max="13311" width="11.21875" style="632" customWidth="1"/>
    <col min="13312" max="13312" width="2.6640625" style="632" customWidth="1"/>
    <col min="13313" max="13313" width="11.21875" style="632" customWidth="1"/>
    <col min="13314" max="13314" width="2.6640625" style="632" customWidth="1"/>
    <col min="13315" max="13315" width="19.109375" style="632" bestFit="1" customWidth="1"/>
    <col min="13316" max="13316" width="1.88671875" style="632" customWidth="1"/>
    <col min="13317" max="13317" width="6.6640625" style="632" customWidth="1"/>
    <col min="13318" max="13318" width="14.77734375" style="632" customWidth="1"/>
    <col min="13319" max="13319" width="9" style="632" bestFit="1" customWidth="1"/>
    <col min="13320" max="13560" width="5" style="632"/>
    <col min="13561" max="13561" width="4.6640625" style="632" customWidth="1"/>
    <col min="13562" max="13562" width="2" style="632" customWidth="1"/>
    <col min="13563" max="13563" width="40.6640625" style="632" customWidth="1"/>
    <col min="13564" max="13564" width="3.5546875" style="632" customWidth="1"/>
    <col min="13565" max="13565" width="11.109375" style="632" customWidth="1"/>
    <col min="13566" max="13566" width="2.6640625" style="632" customWidth="1"/>
    <col min="13567" max="13567" width="11.21875" style="632" customWidth="1"/>
    <col min="13568" max="13568" width="2.6640625" style="632" customWidth="1"/>
    <col min="13569" max="13569" width="11.21875" style="632" customWidth="1"/>
    <col min="13570" max="13570" width="2.6640625" style="632" customWidth="1"/>
    <col min="13571" max="13571" width="19.109375" style="632" bestFit="1" customWidth="1"/>
    <col min="13572" max="13572" width="1.88671875" style="632" customWidth="1"/>
    <col min="13573" max="13573" width="6.6640625" style="632" customWidth="1"/>
    <col min="13574" max="13574" width="14.77734375" style="632" customWidth="1"/>
    <col min="13575" max="13575" width="9" style="632" bestFit="1" customWidth="1"/>
    <col min="13576" max="13816" width="5" style="632"/>
    <col min="13817" max="13817" width="4.6640625" style="632" customWidth="1"/>
    <col min="13818" max="13818" width="2" style="632" customWidth="1"/>
    <col min="13819" max="13819" width="40.6640625" style="632" customWidth="1"/>
    <col min="13820" max="13820" width="3.5546875" style="632" customWidth="1"/>
    <col min="13821" max="13821" width="11.109375" style="632" customWidth="1"/>
    <col min="13822" max="13822" width="2.6640625" style="632" customWidth="1"/>
    <col min="13823" max="13823" width="11.21875" style="632" customWidth="1"/>
    <col min="13824" max="13824" width="2.6640625" style="632" customWidth="1"/>
    <col min="13825" max="13825" width="11.21875" style="632" customWidth="1"/>
    <col min="13826" max="13826" width="2.6640625" style="632" customWidth="1"/>
    <col min="13827" max="13827" width="19.109375" style="632" bestFit="1" customWidth="1"/>
    <col min="13828" max="13828" width="1.88671875" style="632" customWidth="1"/>
    <col min="13829" max="13829" width="6.6640625" style="632" customWidth="1"/>
    <col min="13830" max="13830" width="14.77734375" style="632" customWidth="1"/>
    <col min="13831" max="13831" width="9" style="632" bestFit="1" customWidth="1"/>
    <col min="13832" max="14072" width="5" style="632"/>
    <col min="14073" max="14073" width="4.6640625" style="632" customWidth="1"/>
    <col min="14074" max="14074" width="2" style="632" customWidth="1"/>
    <col min="14075" max="14075" width="40.6640625" style="632" customWidth="1"/>
    <col min="14076" max="14076" width="3.5546875" style="632" customWidth="1"/>
    <col min="14077" max="14077" width="11.109375" style="632" customWidth="1"/>
    <col min="14078" max="14078" width="2.6640625" style="632" customWidth="1"/>
    <col min="14079" max="14079" width="11.21875" style="632" customWidth="1"/>
    <col min="14080" max="14080" width="2.6640625" style="632" customWidth="1"/>
    <col min="14081" max="14081" width="11.21875" style="632" customWidth="1"/>
    <col min="14082" max="14082" width="2.6640625" style="632" customWidth="1"/>
    <col min="14083" max="14083" width="19.109375" style="632" bestFit="1" customWidth="1"/>
    <col min="14084" max="14084" width="1.88671875" style="632" customWidth="1"/>
    <col min="14085" max="14085" width="6.6640625" style="632" customWidth="1"/>
    <col min="14086" max="14086" width="14.77734375" style="632" customWidth="1"/>
    <col min="14087" max="14087" width="9" style="632" bestFit="1" customWidth="1"/>
    <col min="14088" max="14328" width="5" style="632"/>
    <col min="14329" max="14329" width="4.6640625" style="632" customWidth="1"/>
    <col min="14330" max="14330" width="2" style="632" customWidth="1"/>
    <col min="14331" max="14331" width="40.6640625" style="632" customWidth="1"/>
    <col min="14332" max="14332" width="3.5546875" style="632" customWidth="1"/>
    <col min="14333" max="14333" width="11.109375" style="632" customWidth="1"/>
    <col min="14334" max="14334" width="2.6640625" style="632" customWidth="1"/>
    <col min="14335" max="14335" width="11.21875" style="632" customWidth="1"/>
    <col min="14336" max="14336" width="2.6640625" style="632" customWidth="1"/>
    <col min="14337" max="14337" width="11.21875" style="632" customWidth="1"/>
    <col min="14338" max="14338" width="2.6640625" style="632" customWidth="1"/>
    <col min="14339" max="14339" width="19.109375" style="632" bestFit="1" customWidth="1"/>
    <col min="14340" max="14340" width="1.88671875" style="632" customWidth="1"/>
    <col min="14341" max="14341" width="6.6640625" style="632" customWidth="1"/>
    <col min="14342" max="14342" width="14.77734375" style="632" customWidth="1"/>
    <col min="14343" max="14343" width="9" style="632" bestFit="1" customWidth="1"/>
    <col min="14344" max="14584" width="5" style="632"/>
    <col min="14585" max="14585" width="4.6640625" style="632" customWidth="1"/>
    <col min="14586" max="14586" width="2" style="632" customWidth="1"/>
    <col min="14587" max="14587" width="40.6640625" style="632" customWidth="1"/>
    <col min="14588" max="14588" width="3.5546875" style="632" customWidth="1"/>
    <col min="14589" max="14589" width="11.109375" style="632" customWidth="1"/>
    <col min="14590" max="14590" width="2.6640625" style="632" customWidth="1"/>
    <col min="14591" max="14591" width="11.21875" style="632" customWidth="1"/>
    <col min="14592" max="14592" width="2.6640625" style="632" customWidth="1"/>
    <col min="14593" max="14593" width="11.21875" style="632" customWidth="1"/>
    <col min="14594" max="14594" width="2.6640625" style="632" customWidth="1"/>
    <col min="14595" max="14595" width="19.109375" style="632" bestFit="1" customWidth="1"/>
    <col min="14596" max="14596" width="1.88671875" style="632" customWidth="1"/>
    <col min="14597" max="14597" width="6.6640625" style="632" customWidth="1"/>
    <col min="14598" max="14598" width="14.77734375" style="632" customWidth="1"/>
    <col min="14599" max="14599" width="9" style="632" bestFit="1" customWidth="1"/>
    <col min="14600" max="14840" width="5" style="632"/>
    <col min="14841" max="14841" width="4.6640625" style="632" customWidth="1"/>
    <col min="14842" max="14842" width="2" style="632" customWidth="1"/>
    <col min="14843" max="14843" width="40.6640625" style="632" customWidth="1"/>
    <col min="14844" max="14844" width="3.5546875" style="632" customWidth="1"/>
    <col min="14845" max="14845" width="11.109375" style="632" customWidth="1"/>
    <col min="14846" max="14846" width="2.6640625" style="632" customWidth="1"/>
    <col min="14847" max="14847" width="11.21875" style="632" customWidth="1"/>
    <col min="14848" max="14848" width="2.6640625" style="632" customWidth="1"/>
    <col min="14849" max="14849" width="11.21875" style="632" customWidth="1"/>
    <col min="14850" max="14850" width="2.6640625" style="632" customWidth="1"/>
    <col min="14851" max="14851" width="19.109375" style="632" bestFit="1" customWidth="1"/>
    <col min="14852" max="14852" width="1.88671875" style="632" customWidth="1"/>
    <col min="14853" max="14853" width="6.6640625" style="632" customWidth="1"/>
    <col min="14854" max="14854" width="14.77734375" style="632" customWidth="1"/>
    <col min="14855" max="14855" width="9" style="632" bestFit="1" customWidth="1"/>
    <col min="14856" max="15096" width="5" style="632"/>
    <col min="15097" max="15097" width="4.6640625" style="632" customWidth="1"/>
    <col min="15098" max="15098" width="2" style="632" customWidth="1"/>
    <col min="15099" max="15099" width="40.6640625" style="632" customWidth="1"/>
    <col min="15100" max="15100" width="3.5546875" style="632" customWidth="1"/>
    <col min="15101" max="15101" width="11.109375" style="632" customWidth="1"/>
    <col min="15102" max="15102" width="2.6640625" style="632" customWidth="1"/>
    <col min="15103" max="15103" width="11.21875" style="632" customWidth="1"/>
    <col min="15104" max="15104" width="2.6640625" style="632" customWidth="1"/>
    <col min="15105" max="15105" width="11.21875" style="632" customWidth="1"/>
    <col min="15106" max="15106" width="2.6640625" style="632" customWidth="1"/>
    <col min="15107" max="15107" width="19.109375" style="632" bestFit="1" customWidth="1"/>
    <col min="15108" max="15108" width="1.88671875" style="632" customWidth="1"/>
    <col min="15109" max="15109" width="6.6640625" style="632" customWidth="1"/>
    <col min="15110" max="15110" width="14.77734375" style="632" customWidth="1"/>
    <col min="15111" max="15111" width="9" style="632" bestFit="1" customWidth="1"/>
    <col min="15112" max="15352" width="5" style="632"/>
    <col min="15353" max="15353" width="4.6640625" style="632" customWidth="1"/>
    <col min="15354" max="15354" width="2" style="632" customWidth="1"/>
    <col min="15355" max="15355" width="40.6640625" style="632" customWidth="1"/>
    <col min="15356" max="15356" width="3.5546875" style="632" customWidth="1"/>
    <col min="15357" max="15357" width="11.109375" style="632" customWidth="1"/>
    <col min="15358" max="15358" width="2.6640625" style="632" customWidth="1"/>
    <col min="15359" max="15359" width="11.21875" style="632" customWidth="1"/>
    <col min="15360" max="15360" width="2.6640625" style="632" customWidth="1"/>
    <col min="15361" max="15361" width="11.21875" style="632" customWidth="1"/>
    <col min="15362" max="15362" width="2.6640625" style="632" customWidth="1"/>
    <col min="15363" max="15363" width="19.109375" style="632" bestFit="1" customWidth="1"/>
    <col min="15364" max="15364" width="1.88671875" style="632" customWidth="1"/>
    <col min="15365" max="15365" width="6.6640625" style="632" customWidth="1"/>
    <col min="15366" max="15366" width="14.77734375" style="632" customWidth="1"/>
    <col min="15367" max="15367" width="9" style="632" bestFit="1" customWidth="1"/>
    <col min="15368" max="15608" width="5" style="632"/>
    <col min="15609" max="15609" width="4.6640625" style="632" customWidth="1"/>
    <col min="15610" max="15610" width="2" style="632" customWidth="1"/>
    <col min="15611" max="15611" width="40.6640625" style="632" customWidth="1"/>
    <col min="15612" max="15612" width="3.5546875" style="632" customWidth="1"/>
    <col min="15613" max="15613" width="11.109375" style="632" customWidth="1"/>
    <col min="15614" max="15614" width="2.6640625" style="632" customWidth="1"/>
    <col min="15615" max="15615" width="11.21875" style="632" customWidth="1"/>
    <col min="15616" max="15616" width="2.6640625" style="632" customWidth="1"/>
    <col min="15617" max="15617" width="11.21875" style="632" customWidth="1"/>
    <col min="15618" max="15618" width="2.6640625" style="632" customWidth="1"/>
    <col min="15619" max="15619" width="19.109375" style="632" bestFit="1" customWidth="1"/>
    <col min="15620" max="15620" width="1.88671875" style="632" customWidth="1"/>
    <col min="15621" max="15621" width="6.6640625" style="632" customWidth="1"/>
    <col min="15622" max="15622" width="14.77734375" style="632" customWidth="1"/>
    <col min="15623" max="15623" width="9" style="632" bestFit="1" customWidth="1"/>
    <col min="15624" max="15864" width="5" style="632"/>
    <col min="15865" max="15865" width="4.6640625" style="632" customWidth="1"/>
    <col min="15866" max="15866" width="2" style="632" customWidth="1"/>
    <col min="15867" max="15867" width="40.6640625" style="632" customWidth="1"/>
    <col min="15868" max="15868" width="3.5546875" style="632" customWidth="1"/>
    <col min="15869" max="15869" width="11.109375" style="632" customWidth="1"/>
    <col min="15870" max="15870" width="2.6640625" style="632" customWidth="1"/>
    <col min="15871" max="15871" width="11.21875" style="632" customWidth="1"/>
    <col min="15872" max="15872" width="2.6640625" style="632" customWidth="1"/>
    <col min="15873" max="15873" width="11.21875" style="632" customWidth="1"/>
    <col min="15874" max="15874" width="2.6640625" style="632" customWidth="1"/>
    <col min="15875" max="15875" width="19.109375" style="632" bestFit="1" customWidth="1"/>
    <col min="15876" max="15876" width="1.88671875" style="632" customWidth="1"/>
    <col min="15877" max="15877" width="6.6640625" style="632" customWidth="1"/>
    <col min="15878" max="15878" width="14.77734375" style="632" customWidth="1"/>
    <col min="15879" max="15879" width="9" style="632" bestFit="1" customWidth="1"/>
    <col min="15880" max="16120" width="5" style="632"/>
    <col min="16121" max="16121" width="4.6640625" style="632" customWidth="1"/>
    <col min="16122" max="16122" width="2" style="632" customWidth="1"/>
    <col min="16123" max="16123" width="40.6640625" style="632" customWidth="1"/>
    <col min="16124" max="16124" width="3.5546875" style="632" customWidth="1"/>
    <col min="16125" max="16125" width="11.109375" style="632" customWidth="1"/>
    <col min="16126" max="16126" width="2.6640625" style="632" customWidth="1"/>
    <col min="16127" max="16127" width="11.21875" style="632" customWidth="1"/>
    <col min="16128" max="16128" width="2.6640625" style="632" customWidth="1"/>
    <col min="16129" max="16129" width="11.21875" style="632" customWidth="1"/>
    <col min="16130" max="16130" width="2.6640625" style="632" customWidth="1"/>
    <col min="16131" max="16131" width="19.109375" style="632" bestFit="1" customWidth="1"/>
    <col min="16132" max="16132" width="1.88671875" style="632" customWidth="1"/>
    <col min="16133" max="16133" width="6.6640625" style="632" customWidth="1"/>
    <col min="16134" max="16134" width="14.77734375" style="632" customWidth="1"/>
    <col min="16135" max="16135" width="9" style="632" bestFit="1" customWidth="1"/>
    <col min="16136" max="16384" width="5" style="632"/>
  </cols>
  <sheetData>
    <row r="1" spans="1:34">
      <c r="AG1"/>
      <c r="AH1" s="65" t="str">
        <f>'Attachment H-34A '!K1&amp;""&amp;", Attachment 17"</f>
        <v>Attachment H-34A, Attachment 17</v>
      </c>
    </row>
    <row r="2" spans="1:34">
      <c r="AG2"/>
      <c r="AH2" s="65" t="s">
        <v>186</v>
      </c>
    </row>
    <row r="3" spans="1:34">
      <c r="M3" s="754" t="s">
        <v>988</v>
      </c>
      <c r="AG3"/>
      <c r="AH3" s="3" t="str">
        <f>'Attachment H-34A '!K4</f>
        <v>For the 12 months ended 12/31/2026</v>
      </c>
    </row>
    <row r="5" spans="1:34">
      <c r="C5" s="631" t="s">
        <v>692</v>
      </c>
      <c r="E5" s="631" t="str">
        <f>"("&amp;CHAR(CODE(MID(C5,2,1))+1)&amp;")"</f>
        <v>(B)</v>
      </c>
      <c r="F5" s="631"/>
      <c r="G5" s="631" t="str">
        <f t="shared" ref="G5:K5" si="0">"("&amp;CHAR(CODE(MID(E5,2,1))+1)&amp;")"</f>
        <v>(C)</v>
      </c>
      <c r="H5" s="631"/>
      <c r="I5" s="631" t="str">
        <f t="shared" si="0"/>
        <v>(D)</v>
      </c>
      <c r="J5" s="631"/>
      <c r="K5" s="631" t="str">
        <f t="shared" si="0"/>
        <v>(E)</v>
      </c>
      <c r="M5" s="631" t="str">
        <f>"("&amp;CHAR(CODE(MID(K5,2,1))+1)&amp;")"</f>
        <v>(F)</v>
      </c>
      <c r="O5" s="631" t="str">
        <f>"("&amp;CHAR(CODE(MID(M5,2,1))+1)&amp;")"</f>
        <v>(G)</v>
      </c>
      <c r="Q5" s="631" t="str">
        <f>"("&amp;CHAR(CODE(MID(O5,2,1))+1)&amp;")"</f>
        <v>(H)</v>
      </c>
      <c r="S5" s="631" t="str">
        <f>"("&amp;CHAR(CODE(MID(Q5,2,1))+1)&amp;")"</f>
        <v>(I)</v>
      </c>
      <c r="U5" s="631" t="str">
        <f>"("&amp;CHAR(CODE(MID(S5,2,1))+1)&amp;")"</f>
        <v>(J)</v>
      </c>
      <c r="W5" s="631" t="str">
        <f>"("&amp;CHAR(CODE(MID(U5,2,1))+1)&amp;")"</f>
        <v>(K)</v>
      </c>
      <c r="Y5" s="631" t="str">
        <f>"("&amp;CHAR(CODE(MID(W5,2,1))+1)&amp;")"</f>
        <v>(L)</v>
      </c>
      <c r="AA5" s="631" t="str">
        <f>"("&amp;CHAR(CODE(MID(Y5,2,1))+1)&amp;")"</f>
        <v>(M)</v>
      </c>
      <c r="AB5" s="631"/>
      <c r="AC5" s="631" t="str">
        <f t="shared" ref="AC5:AG5" si="1">"("&amp;CHAR(CODE(MID(AA5,2,1))+1)&amp;")"</f>
        <v>(N)</v>
      </c>
      <c r="AD5" s="631"/>
      <c r="AE5" s="631" t="str">
        <f t="shared" si="1"/>
        <v>(O)</v>
      </c>
      <c r="AF5" s="631"/>
      <c r="AG5" s="631" t="str">
        <f t="shared" si="1"/>
        <v>(P)</v>
      </c>
    </row>
    <row r="6" spans="1:34">
      <c r="E6" s="631"/>
      <c r="G6" s="631"/>
      <c r="I6" s="631"/>
      <c r="K6" s="631"/>
      <c r="M6" s="631"/>
      <c r="O6" s="631"/>
      <c r="Q6" s="631"/>
      <c r="S6" s="631"/>
      <c r="U6" s="631"/>
      <c r="W6" s="631"/>
      <c r="Y6" s="631"/>
      <c r="AA6" s="631"/>
      <c r="AC6" s="631"/>
      <c r="AH6" s="693"/>
    </row>
    <row r="7" spans="1:34">
      <c r="E7" s="631"/>
      <c r="G7" s="743">
        <v>2025</v>
      </c>
      <c r="I7" s="694">
        <f>$G$7+1</f>
        <v>2026</v>
      </c>
      <c r="K7" s="694">
        <f>$G$7+1</f>
        <v>2026</v>
      </c>
      <c r="M7" s="694">
        <f>$G$7+1</f>
        <v>2026</v>
      </c>
      <c r="O7" s="694">
        <f>$G$7+1</f>
        <v>2026</v>
      </c>
      <c r="Q7" s="694">
        <f>$G$7+1</f>
        <v>2026</v>
      </c>
      <c r="S7" s="694">
        <f>$G$7+1</f>
        <v>2026</v>
      </c>
      <c r="U7" s="694">
        <f>$G$7+1</f>
        <v>2026</v>
      </c>
      <c r="W7" s="694">
        <f>$G$7+1</f>
        <v>2026</v>
      </c>
      <c r="Y7" s="694">
        <f>$G$7+1</f>
        <v>2026</v>
      </c>
      <c r="AA7" s="694">
        <f>$G$7+1</f>
        <v>2026</v>
      </c>
      <c r="AC7" s="694">
        <f>$G$7+1</f>
        <v>2026</v>
      </c>
      <c r="AE7" s="694">
        <f>$G$7+1</f>
        <v>2026</v>
      </c>
      <c r="AH7" s="693"/>
    </row>
    <row r="8" spans="1:34" ht="37.9" customHeight="1">
      <c r="A8" s="695" t="s">
        <v>729</v>
      </c>
      <c r="B8" s="696"/>
      <c r="C8" s="697" t="s">
        <v>730</v>
      </c>
      <c r="D8" s="696"/>
      <c r="E8" s="698" t="s">
        <v>731</v>
      </c>
      <c r="F8" s="696"/>
      <c r="G8" s="700" t="s">
        <v>234</v>
      </c>
      <c r="H8" s="696"/>
      <c r="I8" s="700" t="s">
        <v>732</v>
      </c>
      <c r="J8" s="696"/>
      <c r="K8" s="700" t="s">
        <v>733</v>
      </c>
      <c r="L8" s="696"/>
      <c r="M8" s="700" t="s">
        <v>734</v>
      </c>
      <c r="N8" s="696"/>
      <c r="O8" s="700" t="s">
        <v>735</v>
      </c>
      <c r="P8" s="696"/>
      <c r="Q8" s="700" t="s">
        <v>736</v>
      </c>
      <c r="R8" s="696"/>
      <c r="S8" s="700" t="s">
        <v>737</v>
      </c>
      <c r="T8" s="696"/>
      <c r="U8" s="700" t="s">
        <v>738</v>
      </c>
      <c r="V8" s="696"/>
      <c r="W8" s="700" t="s">
        <v>739</v>
      </c>
      <c r="X8" s="696"/>
      <c r="Y8" s="700" t="s">
        <v>740</v>
      </c>
      <c r="Z8" s="696"/>
      <c r="AA8" s="700" t="s">
        <v>741</v>
      </c>
      <c r="AB8" s="696"/>
      <c r="AC8" s="700" t="s">
        <v>742</v>
      </c>
      <c r="AD8" s="696"/>
      <c r="AE8" s="700" t="s">
        <v>234</v>
      </c>
      <c r="AF8" s="696"/>
      <c r="AG8" s="700" t="s">
        <v>743</v>
      </c>
      <c r="AH8" s="701"/>
    </row>
    <row r="9" spans="1:34">
      <c r="A9" s="702"/>
      <c r="B9" s="703"/>
      <c r="C9" s="704"/>
      <c r="D9" s="703"/>
      <c r="E9" s="705"/>
      <c r="F9" s="703"/>
      <c r="G9" s="705"/>
      <c r="H9" s="703"/>
      <c r="I9" s="705"/>
      <c r="J9" s="703"/>
      <c r="K9" s="705"/>
      <c r="L9" s="703"/>
      <c r="M9" s="705"/>
      <c r="N9" s="703"/>
      <c r="O9" s="705"/>
      <c r="P9" s="703"/>
      <c r="Q9" s="705"/>
      <c r="R9" s="703"/>
      <c r="S9" s="705"/>
      <c r="T9" s="703"/>
      <c r="U9" s="705"/>
      <c r="V9" s="703"/>
      <c r="W9" s="705"/>
      <c r="X9" s="703"/>
      <c r="Y9" s="705"/>
      <c r="Z9" s="703"/>
      <c r="AA9" s="705"/>
      <c r="AB9" s="703"/>
      <c r="AC9" s="705"/>
      <c r="AD9" s="703"/>
      <c r="AE9" s="705"/>
      <c r="AF9" s="703"/>
      <c r="AG9" s="705"/>
      <c r="AH9" s="701"/>
    </row>
    <row r="10" spans="1:34">
      <c r="A10" s="702">
        <v>1</v>
      </c>
      <c r="B10" s="703"/>
      <c r="C10" s="704" t="s">
        <v>790</v>
      </c>
      <c r="D10" s="703"/>
      <c r="E10" s="705"/>
      <c r="F10" s="703"/>
      <c r="G10" s="705"/>
      <c r="H10" s="703"/>
      <c r="I10" s="705"/>
      <c r="J10" s="703"/>
      <c r="K10" s="705"/>
      <c r="L10" s="703"/>
      <c r="M10" s="705"/>
      <c r="N10" s="703"/>
      <c r="O10" s="705"/>
      <c r="P10" s="703"/>
      <c r="Q10" s="705"/>
      <c r="R10" s="703"/>
      <c r="S10" s="705"/>
      <c r="T10" s="703"/>
      <c r="U10" s="705"/>
      <c r="V10" s="703"/>
      <c r="W10" s="705"/>
      <c r="X10" s="703"/>
      <c r="Y10" s="705"/>
      <c r="Z10" s="703"/>
      <c r="AA10" s="705"/>
      <c r="AB10" s="703"/>
      <c r="AC10" s="705"/>
      <c r="AD10" s="703"/>
      <c r="AE10" s="705"/>
      <c r="AF10" s="703"/>
      <c r="AG10" s="705"/>
      <c r="AH10" s="701"/>
    </row>
    <row r="11" spans="1:34">
      <c r="C11" s="693"/>
      <c r="E11" s="693"/>
      <c r="G11" s="693"/>
      <c r="I11" s="693"/>
      <c r="K11" s="693"/>
      <c r="M11" s="693"/>
      <c r="O11" s="693"/>
      <c r="Q11" s="693"/>
      <c r="S11" s="693"/>
      <c r="U11" s="693"/>
      <c r="W11" s="693"/>
      <c r="Y11" s="693"/>
      <c r="AA11" s="693"/>
      <c r="AC11" s="693"/>
      <c r="AH11" s="693"/>
    </row>
    <row r="12" spans="1:34">
      <c r="A12" s="693" t="s">
        <v>427</v>
      </c>
      <c r="C12" s="706" t="s">
        <v>744</v>
      </c>
      <c r="E12" s="706"/>
      <c r="G12" s="706"/>
      <c r="I12" s="706"/>
      <c r="K12" s="706"/>
      <c r="M12" s="706"/>
      <c r="O12" s="706"/>
      <c r="Q12" s="706"/>
      <c r="S12" s="706"/>
      <c r="U12" s="706"/>
      <c r="W12" s="706"/>
      <c r="Y12" s="706"/>
      <c r="AA12" s="706"/>
      <c r="AC12" s="706"/>
      <c r="AE12" s="706"/>
      <c r="AG12" s="707">
        <f>SUM(G12:AE12)/13</f>
        <v>0</v>
      </c>
    </row>
    <row r="13" spans="1:34">
      <c r="A13" s="693" t="s">
        <v>428</v>
      </c>
      <c r="C13" s="706" t="s">
        <v>745</v>
      </c>
      <c r="E13" s="706"/>
      <c r="G13" s="706"/>
      <c r="I13" s="706"/>
      <c r="K13" s="706"/>
      <c r="M13" s="706"/>
      <c r="O13" s="706"/>
      <c r="Q13" s="706"/>
      <c r="S13" s="706"/>
      <c r="U13" s="706"/>
      <c r="W13" s="706"/>
      <c r="Y13" s="706"/>
      <c r="AA13" s="706"/>
      <c r="AC13" s="706"/>
      <c r="AE13" s="706"/>
      <c r="AG13" s="707">
        <f t="shared" ref="AG13" si="2">SUM(G13:AE13)/13</f>
        <v>0</v>
      </c>
    </row>
    <row r="14" spans="1:34">
      <c r="A14" s="693">
        <v>3</v>
      </c>
      <c r="C14" s="632" t="s">
        <v>746</v>
      </c>
      <c r="E14" s="708"/>
      <c r="G14" s="709">
        <f>SUM(G12:G13)</f>
        <v>0</v>
      </c>
      <c r="I14" s="709">
        <f>SUM(I12:I13)</f>
        <v>0</v>
      </c>
      <c r="K14" s="709">
        <f>SUM(K12:K13)</f>
        <v>0</v>
      </c>
      <c r="M14" s="709">
        <f>SUM(M12:M13)</f>
        <v>0</v>
      </c>
      <c r="O14" s="709">
        <f>SUM(O12:O13)</f>
        <v>0</v>
      </c>
      <c r="Q14" s="709">
        <f>SUM(Q12:Q13)</f>
        <v>0</v>
      </c>
      <c r="S14" s="709">
        <f>SUM(S12:S13)</f>
        <v>0</v>
      </c>
      <c r="U14" s="709">
        <f>SUM(U12:U13)</f>
        <v>0</v>
      </c>
      <c r="W14" s="709">
        <f>SUM(W12:W13)</f>
        <v>0</v>
      </c>
      <c r="Y14" s="709">
        <f>SUM(Y12:Y13)</f>
        <v>0</v>
      </c>
      <c r="AA14" s="709">
        <f>SUM(AA12:AA13)</f>
        <v>0</v>
      </c>
      <c r="AC14" s="709">
        <f>SUM(AC12:AC13)</f>
        <v>0</v>
      </c>
      <c r="AE14" s="709">
        <f>SUM(AE12:AE13)</f>
        <v>0</v>
      </c>
      <c r="AG14" s="709">
        <f>SUM(AG12:AG13)</f>
        <v>0</v>
      </c>
    </row>
    <row r="16" spans="1:34">
      <c r="A16" s="632"/>
      <c r="C16" s="710" t="s">
        <v>194</v>
      </c>
      <c r="E16" s="632"/>
      <c r="AE16" s="707"/>
    </row>
    <row r="17" spans="1:15" ht="15.6" customHeight="1">
      <c r="A17" s="632"/>
      <c r="C17" s="632" t="s">
        <v>993</v>
      </c>
      <c r="E17" s="632"/>
      <c r="G17" s="632"/>
      <c r="I17" s="632"/>
      <c r="K17" s="711"/>
      <c r="L17" s="711"/>
      <c r="M17" s="711"/>
      <c r="N17" s="711"/>
      <c r="O17" s="711"/>
    </row>
    <row r="18" spans="1:15">
      <c r="C18" s="632" t="s">
        <v>791</v>
      </c>
      <c r="I18" s="712"/>
      <c r="K18" s="711"/>
      <c r="L18" s="711"/>
      <c r="M18" s="711"/>
      <c r="N18" s="711"/>
      <c r="O18" s="711"/>
    </row>
    <row r="21" spans="1:15">
      <c r="C21" s="713"/>
      <c r="E21" s="712"/>
      <c r="G21" s="712"/>
    </row>
  </sheetData>
  <pageMargins left="0.7" right="0.7" top="0.75" bottom="0.75" header="0.3" footer="0.3"/>
  <pageSetup scale="3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dimension ref="A1:L17"/>
  <sheetViews>
    <sheetView view="pageBreakPreview" zoomScale="90" zoomScaleNormal="100" zoomScaleSheetLayoutView="90" workbookViewId="0"/>
  </sheetViews>
  <sheetFormatPr defaultColWidth="8.88671875" defaultRowHeight="12.75"/>
  <cols>
    <col min="1" max="1" width="8.88671875" style="78"/>
    <col min="2" max="2" width="2.77734375" style="78" customWidth="1"/>
    <col min="3" max="3" width="24" style="78" customWidth="1"/>
    <col min="4" max="7" width="17.5546875" style="78" customWidth="1"/>
    <col min="8" max="8" width="21.5546875" style="78" customWidth="1"/>
    <col min="9" max="10" width="15.77734375" style="78" customWidth="1"/>
    <col min="11" max="16384" width="8.88671875" style="78"/>
  </cols>
  <sheetData>
    <row r="1" spans="1:12" ht="15.75">
      <c r="A1" s="42"/>
      <c r="B1" s="42"/>
      <c r="L1" s="65" t="str">
        <f>'Attachment H-34A '!K1&amp;""&amp;", Attachment 18"</f>
        <v>Attachment H-34A, Attachment 18</v>
      </c>
    </row>
    <row r="2" spans="1:12" ht="15.75">
      <c r="A2" s="79"/>
      <c r="B2" s="79"/>
      <c r="L2" s="65" t="s">
        <v>186</v>
      </c>
    </row>
    <row r="3" spans="1:12" ht="15.75">
      <c r="L3" s="3" t="str">
        <f>'Attachment H-34A '!K4</f>
        <v>For the 12 months ended 12/31/2026</v>
      </c>
    </row>
    <row r="4" spans="1:12" ht="13.5" thickBot="1">
      <c r="B4" s="91" t="s">
        <v>304</v>
      </c>
      <c r="C4" s="91"/>
      <c r="D4" s="91"/>
      <c r="E4" s="91"/>
      <c r="F4" s="91"/>
      <c r="G4" s="91"/>
      <c r="H4" s="91"/>
      <c r="I4" s="91"/>
      <c r="J4" s="91"/>
    </row>
    <row r="6" spans="1:12">
      <c r="C6" s="78" t="s">
        <v>299</v>
      </c>
      <c r="D6" s="92">
        <v>0.21</v>
      </c>
      <c r="E6" s="791"/>
      <c r="F6" s="791"/>
      <c r="G6" s="791"/>
    </row>
    <row r="7" spans="1:12" ht="25.5">
      <c r="C7" s="401" t="s">
        <v>994</v>
      </c>
    </row>
    <row r="8" spans="1:12">
      <c r="C8" s="93"/>
    </row>
    <row r="9" spans="1:12">
      <c r="C9" s="93"/>
    </row>
    <row r="10" spans="1:12" ht="13.5" thickBot="1">
      <c r="B10" s="91" t="s">
        <v>303</v>
      </c>
      <c r="C10" s="91"/>
      <c r="D10" s="91"/>
      <c r="E10" s="91"/>
      <c r="F10" s="91"/>
      <c r="G10" s="91"/>
      <c r="H10" s="91"/>
      <c r="I10" s="91"/>
      <c r="J10" s="91"/>
    </row>
    <row r="11" spans="1:12">
      <c r="B11" s="79"/>
      <c r="C11" s="79"/>
      <c r="D11" s="79"/>
      <c r="E11" s="79"/>
      <c r="F11" s="79"/>
      <c r="G11" s="79"/>
      <c r="H11" s="79"/>
      <c r="I11" s="79"/>
      <c r="J11" s="79"/>
    </row>
    <row r="12" spans="1:12">
      <c r="D12" s="763" t="s">
        <v>1305</v>
      </c>
      <c r="E12" s="763"/>
      <c r="F12" s="763"/>
      <c r="G12" s="763"/>
      <c r="H12" s="89" t="s">
        <v>305</v>
      </c>
    </row>
    <row r="13" spans="1:12" ht="25.5">
      <c r="D13" s="89"/>
      <c r="E13" s="89"/>
      <c r="F13" s="89"/>
      <c r="G13" s="89"/>
      <c r="H13" s="90" t="s">
        <v>994</v>
      </c>
    </row>
    <row r="14" spans="1:12">
      <c r="C14" s="78" t="s">
        <v>300</v>
      </c>
      <c r="D14" s="92">
        <v>7.4899999999999994E-2</v>
      </c>
      <c r="E14" s="92"/>
      <c r="F14" s="92"/>
      <c r="G14" s="92"/>
    </row>
    <row r="15" spans="1:12">
      <c r="C15" s="78" t="s">
        <v>301</v>
      </c>
      <c r="D15" s="92">
        <v>1</v>
      </c>
      <c r="E15" s="92"/>
      <c r="F15" s="92"/>
      <c r="G15" s="92"/>
    </row>
    <row r="16" spans="1:12" ht="13.5" thickBot="1">
      <c r="C16" s="78" t="s">
        <v>302</v>
      </c>
      <c r="D16" s="94">
        <f t="shared" ref="D16:G16" si="0">D14*D15</f>
        <v>7.4899999999999994E-2</v>
      </c>
      <c r="E16" s="94">
        <f t="shared" si="0"/>
        <v>0</v>
      </c>
      <c r="F16" s="94">
        <f t="shared" si="0"/>
        <v>0</v>
      </c>
      <c r="G16" s="94">
        <f t="shared" si="0"/>
        <v>0</v>
      </c>
      <c r="H16" s="94">
        <f>SUM(D16:G16)</f>
        <v>7.4899999999999994E-2</v>
      </c>
    </row>
    <row r="17" ht="13.5" thickTop="1"/>
  </sheetData>
  <pageMargins left="0.7" right="0.7" top="0.75" bottom="0.75" header="0.3" footer="0.3"/>
  <pageSetup scale="42"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0E251-9F92-492F-BC81-3BE62E464A87}">
  <dimension ref="A3:AD37"/>
  <sheetViews>
    <sheetView view="pageBreakPreview" zoomScale="60" zoomScaleNormal="100" workbookViewId="0">
      <selection activeCell="A2" sqref="A2"/>
    </sheetView>
  </sheetViews>
  <sheetFormatPr defaultRowHeight="15"/>
  <cols>
    <col min="2" max="2" width="2" customWidth="1"/>
    <col min="3" max="3" width="35" customWidth="1"/>
    <col min="4" max="4" width="14.44140625" customWidth="1"/>
    <col min="5" max="5" width="19.44140625" bestFit="1" customWidth="1"/>
    <col min="6" max="6" width="16.77734375" customWidth="1"/>
    <col min="7" max="7" width="14.44140625" customWidth="1"/>
    <col min="8" max="8" width="7.21875" customWidth="1"/>
    <col min="9" max="9" width="17.33203125" bestFit="1" customWidth="1"/>
    <col min="10" max="10" width="16.33203125" customWidth="1"/>
    <col min="11" max="11" width="16.44140625" customWidth="1"/>
    <col min="12" max="13" width="13" customWidth="1"/>
    <col min="14" max="14" width="12.88671875" customWidth="1"/>
    <col min="15" max="16" width="11.21875" bestFit="1" customWidth="1"/>
    <col min="17" max="17" width="10.88671875" bestFit="1" customWidth="1"/>
    <col min="18" max="20" width="11.21875" bestFit="1" customWidth="1"/>
    <col min="21" max="21" width="10.88671875" bestFit="1" customWidth="1"/>
    <col min="22" max="22" width="11.21875" bestFit="1" customWidth="1"/>
    <col min="23" max="23" width="12.6640625" bestFit="1" customWidth="1"/>
    <col min="24" max="24" width="11.21875" bestFit="1" customWidth="1"/>
    <col min="25" max="25" width="12.21875" customWidth="1"/>
    <col min="26" max="26" width="11.77734375" customWidth="1"/>
    <col min="27" max="27" width="9.88671875" customWidth="1"/>
    <col min="28" max="28" width="33.88671875" customWidth="1"/>
    <col min="29" max="29" width="11.77734375" customWidth="1"/>
    <col min="30" max="30" width="29.21875" bestFit="1" customWidth="1"/>
  </cols>
  <sheetData>
    <row r="3" spans="1:30" ht="15.75">
      <c r="AB3" s="759" t="str">
        <f>'Attachment H-34A '!K1&amp;""&amp;", Attachment 19"</f>
        <v>Attachment H-34A, Attachment 19</v>
      </c>
      <c r="AC3" s="758"/>
      <c r="AD3" s="759"/>
    </row>
    <row r="4" spans="1:30" ht="15.75">
      <c r="N4" s="641"/>
      <c r="AB4" s="759" t="s">
        <v>186</v>
      </c>
      <c r="AC4" s="758"/>
      <c r="AD4" s="759"/>
    </row>
    <row r="5" spans="1:30" ht="15.75">
      <c r="L5" s="757" t="s">
        <v>995</v>
      </c>
      <c r="AB5" s="760" t="str">
        <f>'Attachment H-34A '!K4</f>
        <v>For the 12 months ended 12/31/2026</v>
      </c>
      <c r="AC5" s="758"/>
      <c r="AD5" s="760"/>
    </row>
    <row r="9" spans="1:30" ht="15.75">
      <c r="A9" s="693"/>
      <c r="B9" s="632"/>
      <c r="C9" s="631" t="s">
        <v>692</v>
      </c>
      <c r="D9" s="631" t="str">
        <f>"("&amp;CHAR(CODE(MID(C9,2,1))+1)&amp;")"</f>
        <v>(B)</v>
      </c>
      <c r="E9" s="631" t="str">
        <f>"("&amp;CHAR(CODE(MID(D9,2,1))+1)&amp;")"</f>
        <v>(C)</v>
      </c>
      <c r="F9" s="631" t="str">
        <f t="shared" ref="F9:H9" si="0">"("&amp;CHAR(CODE(MID(E9,2,1))+1)&amp;")"</f>
        <v>(D)</v>
      </c>
      <c r="G9" s="631" t="str">
        <f t="shared" si="0"/>
        <v>(E)</v>
      </c>
      <c r="H9" s="631" t="str">
        <f t="shared" si="0"/>
        <v>(F)</v>
      </c>
      <c r="I9" s="631" t="str">
        <f t="shared" ref="I9:AA9" si="1">"("&amp;CHAR(CODE(MID(H9,2,1))+1)&amp;")"</f>
        <v>(G)</v>
      </c>
      <c r="J9" s="631" t="str">
        <f t="shared" si="1"/>
        <v>(H)</v>
      </c>
      <c r="K9" s="631" t="str">
        <f t="shared" si="1"/>
        <v>(I)</v>
      </c>
      <c r="L9" s="631" t="str">
        <f t="shared" si="1"/>
        <v>(J)</v>
      </c>
      <c r="M9" s="631" t="str">
        <f t="shared" si="1"/>
        <v>(K)</v>
      </c>
      <c r="N9" s="631" t="str">
        <f t="shared" si="1"/>
        <v>(L)</v>
      </c>
      <c r="O9" s="631" t="str">
        <f t="shared" si="1"/>
        <v>(M)</v>
      </c>
      <c r="P9" s="631" t="str">
        <f t="shared" si="1"/>
        <v>(N)</v>
      </c>
      <c r="Q9" s="631" t="str">
        <f t="shared" si="1"/>
        <v>(O)</v>
      </c>
      <c r="R9" s="631" t="str">
        <f t="shared" si="1"/>
        <v>(P)</v>
      </c>
      <c r="S9" s="631" t="str">
        <f t="shared" si="1"/>
        <v>(Q)</v>
      </c>
      <c r="T9" s="631" t="str">
        <f t="shared" si="1"/>
        <v>(R)</v>
      </c>
      <c r="U9" s="631" t="str">
        <f t="shared" si="1"/>
        <v>(S)</v>
      </c>
      <c r="V9" s="631" t="str">
        <f t="shared" si="1"/>
        <v>(T)</v>
      </c>
      <c r="W9" s="631" t="str">
        <f t="shared" si="1"/>
        <v>(U)</v>
      </c>
      <c r="X9" s="631" t="str">
        <f t="shared" si="1"/>
        <v>(V)</v>
      </c>
      <c r="Y9" s="631" t="str">
        <f t="shared" si="1"/>
        <v>(W)</v>
      </c>
      <c r="Z9" s="631" t="str">
        <f t="shared" si="1"/>
        <v>(X)</v>
      </c>
      <c r="AA9" s="631" t="str">
        <f t="shared" si="1"/>
        <v>(Y)</v>
      </c>
      <c r="AB9" s="771"/>
      <c r="AC9" s="771"/>
      <c r="AD9" s="771"/>
    </row>
    <row r="10" spans="1:30" ht="15.75">
      <c r="A10" s="693"/>
      <c r="B10" s="632"/>
      <c r="C10" s="632"/>
      <c r="D10" s="631"/>
      <c r="E10" s="631"/>
      <c r="F10" s="631"/>
      <c r="G10" s="631"/>
      <c r="H10" s="631"/>
      <c r="I10" s="631"/>
      <c r="J10" s="631"/>
      <c r="K10" s="631"/>
      <c r="L10" s="631"/>
      <c r="M10" s="631"/>
      <c r="N10" s="631"/>
      <c r="O10" s="631"/>
      <c r="P10" s="631"/>
      <c r="Q10" s="631"/>
      <c r="R10" s="631"/>
      <c r="S10" s="631"/>
      <c r="T10" s="631"/>
      <c r="U10" s="631"/>
      <c r="V10" s="631"/>
      <c r="W10" s="631"/>
      <c r="X10" s="631"/>
      <c r="Y10" s="693"/>
      <c r="Z10" s="693"/>
      <c r="AA10" s="693"/>
      <c r="AB10" s="772"/>
      <c r="AC10" s="693"/>
      <c r="AD10" s="693"/>
    </row>
    <row r="11" spans="1:30" ht="29.45" customHeight="1">
      <c r="A11" s="693"/>
      <c r="B11" s="632"/>
      <c r="C11" s="632"/>
      <c r="D11" s="632"/>
      <c r="E11" s="632"/>
      <c r="F11" s="632"/>
      <c r="G11" s="632"/>
      <c r="H11" s="632"/>
      <c r="I11" s="632"/>
      <c r="J11" s="632"/>
      <c r="K11" s="632"/>
      <c r="L11" s="632"/>
      <c r="M11" s="632"/>
      <c r="N11" s="788">
        <f>(MID(AB5:AB5,31,10)-1)</f>
        <v>2025</v>
      </c>
      <c r="O11" s="694">
        <f t="shared" ref="O11:Z11" si="2">$N$11+1</f>
        <v>2026</v>
      </c>
      <c r="P11" s="694">
        <f t="shared" si="2"/>
        <v>2026</v>
      </c>
      <c r="Q11" s="694">
        <f t="shared" si="2"/>
        <v>2026</v>
      </c>
      <c r="R11" s="694">
        <f t="shared" si="2"/>
        <v>2026</v>
      </c>
      <c r="S11" s="694">
        <f t="shared" si="2"/>
        <v>2026</v>
      </c>
      <c r="T11" s="694">
        <f t="shared" si="2"/>
        <v>2026</v>
      </c>
      <c r="U11" s="694">
        <f t="shared" si="2"/>
        <v>2026</v>
      </c>
      <c r="V11" s="694">
        <f t="shared" si="2"/>
        <v>2026</v>
      </c>
      <c r="W11" s="694">
        <f t="shared" si="2"/>
        <v>2026</v>
      </c>
      <c r="X11" s="694">
        <f t="shared" si="2"/>
        <v>2026</v>
      </c>
      <c r="Y11" s="694">
        <f t="shared" si="2"/>
        <v>2026</v>
      </c>
      <c r="Z11" s="694">
        <f t="shared" si="2"/>
        <v>2026</v>
      </c>
      <c r="AA11" s="693"/>
      <c r="AB11" s="772"/>
      <c r="AC11" s="693"/>
      <c r="AD11" s="693"/>
    </row>
    <row r="12" spans="1:30" ht="67.900000000000006" customHeight="1">
      <c r="A12" s="695" t="s">
        <v>177</v>
      </c>
      <c r="B12" s="745"/>
      <c r="C12" s="699" t="s">
        <v>803</v>
      </c>
      <c r="D12" s="699" t="s">
        <v>872</v>
      </c>
      <c r="E12" s="699" t="s">
        <v>795</v>
      </c>
      <c r="F12" s="699" t="s">
        <v>796</v>
      </c>
      <c r="G12" s="699" t="s">
        <v>774</v>
      </c>
      <c r="H12" s="699" t="s">
        <v>797</v>
      </c>
      <c r="I12" s="699" t="s">
        <v>773</v>
      </c>
      <c r="J12" s="699" t="s">
        <v>802</v>
      </c>
      <c r="K12" s="699" t="s">
        <v>783</v>
      </c>
      <c r="L12" s="699" t="s">
        <v>771</v>
      </c>
      <c r="M12" s="699" t="s">
        <v>798</v>
      </c>
      <c r="N12" s="700" t="s">
        <v>234</v>
      </c>
      <c r="O12" s="700" t="s">
        <v>732</v>
      </c>
      <c r="P12" s="700" t="s">
        <v>733</v>
      </c>
      <c r="Q12" s="700" t="s">
        <v>734</v>
      </c>
      <c r="R12" s="700" t="s">
        <v>735</v>
      </c>
      <c r="S12" s="700" t="s">
        <v>736</v>
      </c>
      <c r="T12" s="700" t="s">
        <v>737</v>
      </c>
      <c r="U12" s="700" t="s">
        <v>738</v>
      </c>
      <c r="V12" s="700" t="s">
        <v>739</v>
      </c>
      <c r="W12" s="700" t="s">
        <v>740</v>
      </c>
      <c r="X12" s="700" t="s">
        <v>741</v>
      </c>
      <c r="Y12" s="700" t="s">
        <v>742</v>
      </c>
      <c r="Z12" s="700" t="s">
        <v>234</v>
      </c>
      <c r="AA12" s="700" t="s">
        <v>799</v>
      </c>
      <c r="AB12" s="773"/>
      <c r="AC12" s="774"/>
      <c r="AD12" s="774"/>
    </row>
    <row r="13" spans="1:30" ht="15.75">
      <c r="A13" s="751">
        <v>1</v>
      </c>
      <c r="B13" s="693"/>
      <c r="C13" s="748" t="s">
        <v>1201</v>
      </c>
      <c r="D13" s="317" t="s">
        <v>1202</v>
      </c>
      <c r="E13" s="317" t="s">
        <v>1203</v>
      </c>
      <c r="F13" s="975">
        <v>4298702.8473840067</v>
      </c>
      <c r="G13" s="776">
        <v>180</v>
      </c>
      <c r="H13" s="776">
        <v>5</v>
      </c>
      <c r="I13" s="777">
        <v>44562</v>
      </c>
      <c r="J13" s="747">
        <f>IF(H13=0,0,(H13*12))</f>
        <v>60</v>
      </c>
      <c r="K13" s="747">
        <f>IF(J13=0,G13,(G13-J13+12))</f>
        <v>132</v>
      </c>
      <c r="L13" s="747">
        <f>IF(J13=0,0,IFERROR(F13/K13,0))</f>
        <v>32565.93066200005</v>
      </c>
      <c r="M13" s="747">
        <f>L13*12</f>
        <v>390791.16794400057</v>
      </c>
      <c r="N13" s="707">
        <f>F13</f>
        <v>4298702.8473840067</v>
      </c>
      <c r="O13" s="707">
        <f>N13-L13</f>
        <v>4266136.9167220071</v>
      </c>
      <c r="P13" s="707">
        <f>IF(O13-$L13&gt;=0,O13-$L13,0)</f>
        <v>4233570.9860600075</v>
      </c>
      <c r="Q13" s="707">
        <f t="shared" ref="Q13" si="3">IF(P13-$L13&gt;=0,P13-$L13,0)</f>
        <v>4201005.0553980079</v>
      </c>
      <c r="R13" s="707">
        <f t="shared" ref="R13" si="4">IF(Q13-$L13&gt;=0,Q13-$L13,0)</f>
        <v>4168439.1247360078</v>
      </c>
      <c r="S13" s="707">
        <f t="shared" ref="S13" si="5">IF(R13-$L13&gt;=0,R13-$L13,0)</f>
        <v>4135873.1940740077</v>
      </c>
      <c r="T13" s="707">
        <f t="shared" ref="T13" si="6">IF(S13-$L13&gt;=0,S13-$L13,0)</f>
        <v>4103307.2634120076</v>
      </c>
      <c r="U13" s="707">
        <f t="shared" ref="U13" si="7">IF(T13-$L13&gt;=0,T13-$L13,0)</f>
        <v>4070741.3327500075</v>
      </c>
      <c r="V13" s="707">
        <f t="shared" ref="V13" si="8">IF(U13-$L13&gt;=0,U13-$L13,0)</f>
        <v>4038175.4020880074</v>
      </c>
      <c r="W13" s="707">
        <f t="shared" ref="W13" si="9">IF(V13-$L13&gt;=0,V13-$L13,0)</f>
        <v>4005609.4714260073</v>
      </c>
      <c r="X13" s="707">
        <f>IF(W13-$L13&gt;=0,W13-$L13,0)</f>
        <v>3973043.5407640073</v>
      </c>
      <c r="Y13" s="707">
        <f t="shared" ref="Y13" si="10">IF(X13-$L13&gt;=0,X13-$L13,0)</f>
        <v>3940477.6101020072</v>
      </c>
      <c r="Z13" s="707">
        <f>IF(Y13-$L13&gt;=0,Y13-$L13,0)</f>
        <v>3907911.6794400071</v>
      </c>
      <c r="AA13" s="934"/>
      <c r="AB13" s="775"/>
      <c r="AC13" s="708"/>
      <c r="AD13" s="708"/>
    </row>
    <row r="14" spans="1:30" ht="15.75">
      <c r="A14" s="751">
        <v>1.01</v>
      </c>
      <c r="B14" s="632"/>
      <c r="C14" s="748"/>
      <c r="D14" s="317"/>
      <c r="E14" s="317"/>
      <c r="F14" s="776"/>
      <c r="G14" s="776"/>
      <c r="H14" s="776"/>
      <c r="I14" s="777"/>
      <c r="J14" s="747">
        <f>IF(H14=0,0,(H14*12))</f>
        <v>0</v>
      </c>
      <c r="K14" s="747">
        <f t="shared" ref="K14:K23" si="11">IF(J14=0,G14,(G14-J14+12))</f>
        <v>0</v>
      </c>
      <c r="L14" s="747">
        <f>IF(J14=0,0,IFERROR(F14/K14,0))</f>
        <v>0</v>
      </c>
      <c r="M14" s="747">
        <f>L14*12</f>
        <v>0</v>
      </c>
      <c r="N14" s="707">
        <f t="shared" ref="N14:N23" si="12">F14</f>
        <v>0</v>
      </c>
      <c r="O14" s="707">
        <f>N14-L14</f>
        <v>0</v>
      </c>
      <c r="P14" s="707">
        <f>IF(O14-$L14&gt;=0,O14-$L14,0)</f>
        <v>0</v>
      </c>
      <c r="Q14" s="707">
        <f t="shared" ref="Q14:Z14" si="13">IF(P14-$L14&gt;=0,P14-$L14,0)</f>
        <v>0</v>
      </c>
      <c r="R14" s="707">
        <f t="shared" si="13"/>
        <v>0</v>
      </c>
      <c r="S14" s="707">
        <f t="shared" si="13"/>
        <v>0</v>
      </c>
      <c r="T14" s="707">
        <f t="shared" si="13"/>
        <v>0</v>
      </c>
      <c r="U14" s="707">
        <f t="shared" si="13"/>
        <v>0</v>
      </c>
      <c r="V14" s="707">
        <f t="shared" si="13"/>
        <v>0</v>
      </c>
      <c r="W14" s="707">
        <f t="shared" si="13"/>
        <v>0</v>
      </c>
      <c r="X14" s="707">
        <f t="shared" si="13"/>
        <v>0</v>
      </c>
      <c r="Y14" s="707">
        <f t="shared" si="13"/>
        <v>0</v>
      </c>
      <c r="Z14" s="707">
        <f t="shared" si="13"/>
        <v>0</v>
      </c>
      <c r="AA14" s="934"/>
      <c r="AB14" s="775"/>
      <c r="AC14" s="708"/>
      <c r="AD14" s="708"/>
    </row>
    <row r="15" spans="1:30" ht="15.75">
      <c r="A15" s="751">
        <f>A14+0.01</f>
        <v>1.02</v>
      </c>
      <c r="B15" s="632"/>
      <c r="C15" s="748"/>
      <c r="D15" s="749"/>
      <c r="E15" s="749"/>
      <c r="F15" s="776"/>
      <c r="G15" s="776"/>
      <c r="H15" s="776"/>
      <c r="I15" s="777"/>
      <c r="J15" s="747">
        <f>IF(H15=0,0,(H15*12))</f>
        <v>0</v>
      </c>
      <c r="K15" s="747">
        <f t="shared" si="11"/>
        <v>0</v>
      </c>
      <c r="L15" s="747">
        <f t="shared" ref="L15:L23" si="14">IF(J15=0,0,IFERROR(F15/K15,0))</f>
        <v>0</v>
      </c>
      <c r="M15" s="747">
        <f t="shared" ref="M15:M23" si="15">L15*12</f>
        <v>0</v>
      </c>
      <c r="N15" s="707">
        <f t="shared" si="12"/>
        <v>0</v>
      </c>
      <c r="O15" s="707">
        <f t="shared" ref="O15:O23" si="16">N15-L15</f>
        <v>0</v>
      </c>
      <c r="P15" s="707">
        <f t="shared" ref="P15:Z23" si="17">IF(O15-$L15&gt;=0,O15-$L15,0)</f>
        <v>0</v>
      </c>
      <c r="Q15" s="707">
        <f t="shared" si="17"/>
        <v>0</v>
      </c>
      <c r="R15" s="707">
        <f t="shared" si="17"/>
        <v>0</v>
      </c>
      <c r="S15" s="707">
        <f t="shared" si="17"/>
        <v>0</v>
      </c>
      <c r="T15" s="707">
        <f t="shared" si="17"/>
        <v>0</v>
      </c>
      <c r="U15" s="707">
        <f t="shared" si="17"/>
        <v>0</v>
      </c>
      <c r="V15" s="707">
        <f t="shared" si="17"/>
        <v>0</v>
      </c>
      <c r="W15" s="707">
        <f t="shared" si="17"/>
        <v>0</v>
      </c>
      <c r="X15" s="707">
        <f t="shared" si="17"/>
        <v>0</v>
      </c>
      <c r="Y15" s="707">
        <f t="shared" si="17"/>
        <v>0</v>
      </c>
      <c r="Z15" s="707">
        <f t="shared" si="17"/>
        <v>0</v>
      </c>
      <c r="AA15" s="934"/>
      <c r="AB15" s="775"/>
      <c r="AC15" s="708"/>
      <c r="AD15" s="708"/>
    </row>
    <row r="16" spans="1:30" ht="15.75">
      <c r="A16" s="751">
        <f t="shared" ref="A16:A23" si="18">A15+0.01</f>
        <v>1.03</v>
      </c>
      <c r="B16" s="632"/>
      <c r="C16" s="748"/>
      <c r="D16" s="749"/>
      <c r="E16" s="749"/>
      <c r="F16" s="776"/>
      <c r="G16" s="776"/>
      <c r="H16" s="776"/>
      <c r="I16" s="777"/>
      <c r="J16" s="747">
        <f t="shared" ref="J16:J22" si="19">IF(H16=0,0,(H16*12))</f>
        <v>0</v>
      </c>
      <c r="K16" s="747">
        <f t="shared" si="11"/>
        <v>0</v>
      </c>
      <c r="L16" s="747">
        <f t="shared" si="14"/>
        <v>0</v>
      </c>
      <c r="M16" s="747">
        <f t="shared" si="15"/>
        <v>0</v>
      </c>
      <c r="N16" s="707">
        <f t="shared" si="12"/>
        <v>0</v>
      </c>
      <c r="O16" s="707">
        <f t="shared" si="16"/>
        <v>0</v>
      </c>
      <c r="P16" s="707">
        <f t="shared" si="17"/>
        <v>0</v>
      </c>
      <c r="Q16" s="707">
        <f t="shared" si="17"/>
        <v>0</v>
      </c>
      <c r="R16" s="707">
        <f t="shared" si="17"/>
        <v>0</v>
      </c>
      <c r="S16" s="707">
        <f t="shared" si="17"/>
        <v>0</v>
      </c>
      <c r="T16" s="707">
        <f t="shared" si="17"/>
        <v>0</v>
      </c>
      <c r="U16" s="707">
        <f t="shared" si="17"/>
        <v>0</v>
      </c>
      <c r="V16" s="707">
        <f t="shared" si="17"/>
        <v>0</v>
      </c>
      <c r="W16" s="707">
        <f t="shared" si="17"/>
        <v>0</v>
      </c>
      <c r="X16" s="707">
        <f t="shared" si="17"/>
        <v>0</v>
      </c>
      <c r="Y16" s="707">
        <f t="shared" si="17"/>
        <v>0</v>
      </c>
      <c r="Z16" s="707">
        <f t="shared" si="17"/>
        <v>0</v>
      </c>
      <c r="AA16" s="934"/>
      <c r="AB16" s="775"/>
      <c r="AC16" s="708"/>
      <c r="AD16" s="708"/>
    </row>
    <row r="17" spans="1:30" ht="15.75">
      <c r="A17" s="751">
        <f t="shared" si="18"/>
        <v>1.04</v>
      </c>
      <c r="B17" s="632"/>
      <c r="C17" s="748"/>
      <c r="D17" s="749"/>
      <c r="E17" s="749"/>
      <c r="F17" s="776"/>
      <c r="G17" s="776"/>
      <c r="H17" s="776"/>
      <c r="I17" s="777"/>
      <c r="J17" s="747">
        <f t="shared" si="19"/>
        <v>0</v>
      </c>
      <c r="K17" s="747">
        <f t="shared" si="11"/>
        <v>0</v>
      </c>
      <c r="L17" s="747">
        <f t="shared" si="14"/>
        <v>0</v>
      </c>
      <c r="M17" s="747">
        <f t="shared" si="15"/>
        <v>0</v>
      </c>
      <c r="N17" s="707">
        <f t="shared" si="12"/>
        <v>0</v>
      </c>
      <c r="O17" s="707">
        <f t="shared" si="16"/>
        <v>0</v>
      </c>
      <c r="P17" s="707">
        <f t="shared" si="17"/>
        <v>0</v>
      </c>
      <c r="Q17" s="707">
        <f t="shared" si="17"/>
        <v>0</v>
      </c>
      <c r="R17" s="707">
        <f t="shared" si="17"/>
        <v>0</v>
      </c>
      <c r="S17" s="707">
        <f t="shared" si="17"/>
        <v>0</v>
      </c>
      <c r="T17" s="707">
        <f t="shared" si="17"/>
        <v>0</v>
      </c>
      <c r="U17" s="707">
        <f t="shared" si="17"/>
        <v>0</v>
      </c>
      <c r="V17" s="707">
        <f t="shared" si="17"/>
        <v>0</v>
      </c>
      <c r="W17" s="707">
        <f t="shared" si="17"/>
        <v>0</v>
      </c>
      <c r="X17" s="707">
        <f t="shared" si="17"/>
        <v>0</v>
      </c>
      <c r="Y17" s="707">
        <f t="shared" si="17"/>
        <v>0</v>
      </c>
      <c r="Z17" s="707">
        <f t="shared" si="17"/>
        <v>0</v>
      </c>
      <c r="AA17" s="934"/>
      <c r="AB17" s="775"/>
      <c r="AC17" s="708"/>
      <c r="AD17" s="708"/>
    </row>
    <row r="18" spans="1:30" ht="15.75">
      <c r="A18" s="751">
        <f t="shared" si="18"/>
        <v>1.05</v>
      </c>
      <c r="B18" s="632"/>
      <c r="C18" s="748"/>
      <c r="D18" s="749"/>
      <c r="E18" s="749"/>
      <c r="F18" s="776"/>
      <c r="G18" s="776"/>
      <c r="H18" s="776"/>
      <c r="I18" s="777"/>
      <c r="J18" s="747">
        <f t="shared" si="19"/>
        <v>0</v>
      </c>
      <c r="K18" s="747">
        <f t="shared" si="11"/>
        <v>0</v>
      </c>
      <c r="L18" s="747">
        <f t="shared" si="14"/>
        <v>0</v>
      </c>
      <c r="M18" s="747">
        <f t="shared" si="15"/>
        <v>0</v>
      </c>
      <c r="N18" s="707">
        <f t="shared" si="12"/>
        <v>0</v>
      </c>
      <c r="O18" s="707">
        <f t="shared" si="16"/>
        <v>0</v>
      </c>
      <c r="P18" s="707">
        <f t="shared" si="17"/>
        <v>0</v>
      </c>
      <c r="Q18" s="707">
        <f t="shared" si="17"/>
        <v>0</v>
      </c>
      <c r="R18" s="707">
        <f t="shared" si="17"/>
        <v>0</v>
      </c>
      <c r="S18" s="707">
        <f t="shared" si="17"/>
        <v>0</v>
      </c>
      <c r="T18" s="707">
        <f t="shared" si="17"/>
        <v>0</v>
      </c>
      <c r="U18" s="707">
        <f t="shared" si="17"/>
        <v>0</v>
      </c>
      <c r="V18" s="707">
        <f t="shared" si="17"/>
        <v>0</v>
      </c>
      <c r="W18" s="707">
        <f t="shared" si="17"/>
        <v>0</v>
      </c>
      <c r="X18" s="707">
        <f t="shared" si="17"/>
        <v>0</v>
      </c>
      <c r="Y18" s="707">
        <f t="shared" si="17"/>
        <v>0</v>
      </c>
      <c r="Z18" s="707">
        <f t="shared" si="17"/>
        <v>0</v>
      </c>
      <c r="AA18" s="934"/>
      <c r="AB18" s="775"/>
      <c r="AC18" s="708"/>
      <c r="AD18" s="708"/>
    </row>
    <row r="19" spans="1:30" ht="15.75">
      <c r="A19" s="751">
        <f t="shared" si="18"/>
        <v>1.06</v>
      </c>
      <c r="B19" s="632"/>
      <c r="C19" s="748"/>
      <c r="D19" s="749"/>
      <c r="E19" s="749"/>
      <c r="F19" s="776"/>
      <c r="G19" s="776"/>
      <c r="H19" s="776"/>
      <c r="I19" s="777"/>
      <c r="J19" s="747">
        <f t="shared" si="19"/>
        <v>0</v>
      </c>
      <c r="K19" s="747">
        <f t="shared" si="11"/>
        <v>0</v>
      </c>
      <c r="L19" s="747">
        <f t="shared" si="14"/>
        <v>0</v>
      </c>
      <c r="M19" s="747">
        <f t="shared" si="15"/>
        <v>0</v>
      </c>
      <c r="N19" s="707">
        <f t="shared" si="12"/>
        <v>0</v>
      </c>
      <c r="O19" s="707">
        <f t="shared" si="16"/>
        <v>0</v>
      </c>
      <c r="P19" s="707">
        <f t="shared" si="17"/>
        <v>0</v>
      </c>
      <c r="Q19" s="707">
        <f t="shared" si="17"/>
        <v>0</v>
      </c>
      <c r="R19" s="707">
        <f t="shared" si="17"/>
        <v>0</v>
      </c>
      <c r="S19" s="707">
        <f t="shared" si="17"/>
        <v>0</v>
      </c>
      <c r="T19" s="707">
        <f t="shared" si="17"/>
        <v>0</v>
      </c>
      <c r="U19" s="707">
        <f t="shared" si="17"/>
        <v>0</v>
      </c>
      <c r="V19" s="707">
        <f t="shared" si="17"/>
        <v>0</v>
      </c>
      <c r="W19" s="707">
        <f t="shared" si="17"/>
        <v>0</v>
      </c>
      <c r="X19" s="707">
        <f t="shared" si="17"/>
        <v>0</v>
      </c>
      <c r="Y19" s="707">
        <f t="shared" si="17"/>
        <v>0</v>
      </c>
      <c r="Z19" s="707">
        <f t="shared" si="17"/>
        <v>0</v>
      </c>
      <c r="AA19" s="934"/>
      <c r="AB19" s="775"/>
      <c r="AC19" s="708"/>
      <c r="AD19" s="708"/>
    </row>
    <row r="20" spans="1:30" ht="15.75">
      <c r="A20" s="751">
        <f t="shared" si="18"/>
        <v>1.07</v>
      </c>
      <c r="B20" s="632"/>
      <c r="C20" s="748"/>
      <c r="D20" s="749"/>
      <c r="E20" s="749"/>
      <c r="F20" s="776"/>
      <c r="G20" s="776"/>
      <c r="H20" s="776"/>
      <c r="I20" s="777"/>
      <c r="J20" s="747">
        <f>IF(H20=0,0,(H20*12))</f>
        <v>0</v>
      </c>
      <c r="K20" s="747">
        <f t="shared" si="11"/>
        <v>0</v>
      </c>
      <c r="L20" s="747">
        <f t="shared" si="14"/>
        <v>0</v>
      </c>
      <c r="M20" s="747">
        <f t="shared" si="15"/>
        <v>0</v>
      </c>
      <c r="N20" s="707">
        <f t="shared" si="12"/>
        <v>0</v>
      </c>
      <c r="O20" s="707">
        <f t="shared" si="16"/>
        <v>0</v>
      </c>
      <c r="P20" s="707">
        <f t="shared" si="17"/>
        <v>0</v>
      </c>
      <c r="Q20" s="707">
        <f t="shared" si="17"/>
        <v>0</v>
      </c>
      <c r="R20" s="707">
        <f t="shared" si="17"/>
        <v>0</v>
      </c>
      <c r="S20" s="707">
        <f t="shared" si="17"/>
        <v>0</v>
      </c>
      <c r="T20" s="707">
        <f t="shared" si="17"/>
        <v>0</v>
      </c>
      <c r="U20" s="707">
        <f t="shared" si="17"/>
        <v>0</v>
      </c>
      <c r="V20" s="707">
        <f t="shared" si="17"/>
        <v>0</v>
      </c>
      <c r="W20" s="707">
        <f t="shared" si="17"/>
        <v>0</v>
      </c>
      <c r="X20" s="707">
        <f t="shared" si="17"/>
        <v>0</v>
      </c>
      <c r="Y20" s="707">
        <f t="shared" si="17"/>
        <v>0</v>
      </c>
      <c r="Z20" s="707">
        <f t="shared" si="17"/>
        <v>0</v>
      </c>
      <c r="AA20" s="934"/>
      <c r="AB20" s="775"/>
      <c r="AC20" s="708"/>
      <c r="AD20" s="708"/>
    </row>
    <row r="21" spans="1:30" ht="15.75">
      <c r="A21" s="751">
        <f t="shared" si="18"/>
        <v>1.08</v>
      </c>
      <c r="B21" s="632"/>
      <c r="C21" s="748"/>
      <c r="D21" s="749"/>
      <c r="E21" s="749"/>
      <c r="F21" s="776"/>
      <c r="G21" s="776"/>
      <c r="H21" s="776"/>
      <c r="I21" s="777"/>
      <c r="J21" s="747">
        <f>IF(H21=0,0,(H21*12))</f>
        <v>0</v>
      </c>
      <c r="K21" s="747">
        <f t="shared" si="11"/>
        <v>0</v>
      </c>
      <c r="L21" s="747">
        <f t="shared" si="14"/>
        <v>0</v>
      </c>
      <c r="M21" s="747">
        <f t="shared" si="15"/>
        <v>0</v>
      </c>
      <c r="N21" s="707">
        <f t="shared" si="12"/>
        <v>0</v>
      </c>
      <c r="O21" s="707">
        <f t="shared" si="16"/>
        <v>0</v>
      </c>
      <c r="P21" s="707">
        <f t="shared" si="17"/>
        <v>0</v>
      </c>
      <c r="Q21" s="707">
        <f t="shared" si="17"/>
        <v>0</v>
      </c>
      <c r="R21" s="707">
        <f t="shared" si="17"/>
        <v>0</v>
      </c>
      <c r="S21" s="707">
        <f t="shared" si="17"/>
        <v>0</v>
      </c>
      <c r="T21" s="707">
        <f t="shared" si="17"/>
        <v>0</v>
      </c>
      <c r="U21" s="707">
        <f t="shared" si="17"/>
        <v>0</v>
      </c>
      <c r="V21" s="707">
        <f t="shared" si="17"/>
        <v>0</v>
      </c>
      <c r="W21" s="707">
        <f t="shared" si="17"/>
        <v>0</v>
      </c>
      <c r="X21" s="707">
        <f t="shared" si="17"/>
        <v>0</v>
      </c>
      <c r="Y21" s="707">
        <f t="shared" si="17"/>
        <v>0</v>
      </c>
      <c r="Z21" s="707">
        <f t="shared" si="17"/>
        <v>0</v>
      </c>
      <c r="AA21" s="934"/>
      <c r="AB21" s="775"/>
      <c r="AC21" s="708"/>
      <c r="AD21" s="708"/>
    </row>
    <row r="22" spans="1:30" ht="15.75">
      <c r="A22" s="751">
        <f t="shared" si="18"/>
        <v>1.0900000000000001</v>
      </c>
      <c r="B22" s="632"/>
      <c r="C22" s="748"/>
      <c r="D22" s="749"/>
      <c r="E22" s="749"/>
      <c r="F22" s="776"/>
      <c r="G22" s="776"/>
      <c r="H22" s="776"/>
      <c r="I22" s="777"/>
      <c r="J22" s="747">
        <f t="shared" si="19"/>
        <v>0</v>
      </c>
      <c r="K22" s="747">
        <f t="shared" si="11"/>
        <v>0</v>
      </c>
      <c r="L22" s="747">
        <f t="shared" si="14"/>
        <v>0</v>
      </c>
      <c r="M22" s="747">
        <f t="shared" si="15"/>
        <v>0</v>
      </c>
      <c r="N22" s="707">
        <f t="shared" si="12"/>
        <v>0</v>
      </c>
      <c r="O22" s="707">
        <f t="shared" si="16"/>
        <v>0</v>
      </c>
      <c r="P22" s="707">
        <f t="shared" si="17"/>
        <v>0</v>
      </c>
      <c r="Q22" s="707">
        <f t="shared" si="17"/>
        <v>0</v>
      </c>
      <c r="R22" s="707">
        <f t="shared" si="17"/>
        <v>0</v>
      </c>
      <c r="S22" s="707">
        <f t="shared" si="17"/>
        <v>0</v>
      </c>
      <c r="T22" s="707">
        <f t="shared" si="17"/>
        <v>0</v>
      </c>
      <c r="U22" s="707">
        <f t="shared" si="17"/>
        <v>0</v>
      </c>
      <c r="V22" s="707">
        <f t="shared" si="17"/>
        <v>0</v>
      </c>
      <c r="W22" s="707">
        <f t="shared" si="17"/>
        <v>0</v>
      </c>
      <c r="X22" s="707">
        <f t="shared" si="17"/>
        <v>0</v>
      </c>
      <c r="Y22" s="707">
        <f t="shared" si="17"/>
        <v>0</v>
      </c>
      <c r="Z22" s="707">
        <f t="shared" si="17"/>
        <v>0</v>
      </c>
      <c r="AA22" s="934"/>
      <c r="AB22" s="775"/>
      <c r="AC22" s="708"/>
      <c r="AD22" s="708"/>
    </row>
    <row r="23" spans="1:30" ht="15.75">
      <c r="A23" s="751">
        <f t="shared" si="18"/>
        <v>1.1000000000000001</v>
      </c>
      <c r="B23" s="632"/>
      <c r="C23" s="748"/>
      <c r="D23" s="749"/>
      <c r="E23" s="749"/>
      <c r="F23" s="776"/>
      <c r="G23" s="776"/>
      <c r="H23" s="776"/>
      <c r="I23" s="777"/>
      <c r="J23" s="747">
        <f>IF(H23=0,0,(H23*12))</f>
        <v>0</v>
      </c>
      <c r="K23" s="747">
        <f t="shared" si="11"/>
        <v>0</v>
      </c>
      <c r="L23" s="747">
        <f t="shared" si="14"/>
        <v>0</v>
      </c>
      <c r="M23" s="747">
        <f t="shared" si="15"/>
        <v>0</v>
      </c>
      <c r="N23" s="707">
        <f t="shared" si="12"/>
        <v>0</v>
      </c>
      <c r="O23" s="707">
        <f t="shared" si="16"/>
        <v>0</v>
      </c>
      <c r="P23" s="707">
        <f t="shared" si="17"/>
        <v>0</v>
      </c>
      <c r="Q23" s="707">
        <f t="shared" si="17"/>
        <v>0</v>
      </c>
      <c r="R23" s="707">
        <f t="shared" si="17"/>
        <v>0</v>
      </c>
      <c r="S23" s="707">
        <f t="shared" si="17"/>
        <v>0</v>
      </c>
      <c r="T23" s="707">
        <f t="shared" si="17"/>
        <v>0</v>
      </c>
      <c r="U23" s="707">
        <f t="shared" si="17"/>
        <v>0</v>
      </c>
      <c r="V23" s="707">
        <f t="shared" si="17"/>
        <v>0</v>
      </c>
      <c r="W23" s="707">
        <f t="shared" si="17"/>
        <v>0</v>
      </c>
      <c r="X23" s="707">
        <f t="shared" si="17"/>
        <v>0</v>
      </c>
      <c r="Y23" s="707">
        <f t="shared" si="17"/>
        <v>0</v>
      </c>
      <c r="Z23" s="707">
        <f t="shared" si="17"/>
        <v>0</v>
      </c>
      <c r="AA23" s="934"/>
      <c r="AB23" s="775"/>
      <c r="AC23" s="708"/>
      <c r="AD23" s="708"/>
    </row>
    <row r="24" spans="1:30" ht="17.45" customHeight="1">
      <c r="A24" s="693"/>
      <c r="B24" s="693"/>
      <c r="C24" s="632"/>
      <c r="D24" s="707"/>
      <c r="E24" s="707"/>
      <c r="F24" s="707"/>
      <c r="G24" s="707"/>
      <c r="H24" s="707"/>
      <c r="I24" s="707"/>
      <c r="J24" s="707"/>
      <c r="K24" s="707"/>
      <c r="L24" s="707"/>
      <c r="M24" s="707"/>
      <c r="N24" s="707"/>
      <c r="O24" s="707"/>
      <c r="P24" s="707"/>
      <c r="Q24" s="707"/>
      <c r="R24" s="707"/>
      <c r="S24" s="707"/>
      <c r="T24" s="707"/>
      <c r="U24" s="707"/>
      <c r="V24" s="707"/>
      <c r="W24" s="707"/>
      <c r="X24" s="707"/>
      <c r="Y24" s="693"/>
      <c r="Z24" s="693"/>
      <c r="AA24" s="693"/>
      <c r="AB24" s="772"/>
      <c r="AC24" s="693"/>
      <c r="AD24" s="693"/>
    </row>
    <row r="25" spans="1:30" ht="15.6" customHeight="1">
      <c r="A25" s="693"/>
      <c r="B25" s="693"/>
      <c r="C25" s="632"/>
      <c r="D25" s="707"/>
      <c r="E25" s="707"/>
      <c r="F25" s="707"/>
      <c r="G25" s="707"/>
      <c r="H25" s="707"/>
      <c r="I25" s="707"/>
      <c r="J25" s="707"/>
      <c r="K25" s="707"/>
      <c r="L25" s="707"/>
      <c r="M25" s="707"/>
      <c r="N25" s="707"/>
      <c r="O25" s="707"/>
      <c r="P25" s="707"/>
      <c r="Q25" s="707"/>
      <c r="R25" s="707"/>
      <c r="S25" s="707"/>
      <c r="T25" s="707"/>
      <c r="U25" s="707"/>
      <c r="V25" s="707"/>
      <c r="W25" s="707"/>
      <c r="X25" s="707"/>
      <c r="Y25" s="693"/>
      <c r="Z25" s="693"/>
      <c r="AA25" s="693"/>
      <c r="AB25" s="744"/>
      <c r="AC25" s="693"/>
      <c r="AD25" s="693"/>
    </row>
    <row r="26" spans="1:30" s="757" customFormat="1" ht="16.5" thickBot="1">
      <c r="A26" s="752">
        <v>2</v>
      </c>
      <c r="B26" s="752"/>
      <c r="C26" s="753" t="s">
        <v>10</v>
      </c>
      <c r="D26" s="778"/>
      <c r="E26" s="778"/>
      <c r="F26" s="778"/>
      <c r="G26" s="778"/>
      <c r="H26" s="778"/>
      <c r="I26" s="778"/>
      <c r="J26" s="778"/>
      <c r="K26" s="778"/>
      <c r="L26" s="778"/>
      <c r="M26" s="780">
        <f>SUM(M13:M25)</f>
        <v>390791.16794400057</v>
      </c>
      <c r="N26" s="778"/>
      <c r="O26" s="778"/>
      <c r="P26" s="778"/>
      <c r="Q26" s="778"/>
      <c r="R26" s="778"/>
      <c r="S26" s="778"/>
      <c r="T26" s="778"/>
      <c r="U26" s="778"/>
      <c r="V26" s="778"/>
      <c r="W26" s="778"/>
      <c r="X26" s="778"/>
      <c r="Y26" s="752"/>
      <c r="Z26" s="752"/>
      <c r="AA26" s="781">
        <f>SUM(AA13:AA25)</f>
        <v>0</v>
      </c>
      <c r="AB26" s="779"/>
      <c r="AC26" s="755"/>
      <c r="AD26" s="755"/>
    </row>
    <row r="27" spans="1:30" ht="16.5" thickTop="1">
      <c r="A27" s="693"/>
      <c r="B27" s="693"/>
      <c r="C27" s="632"/>
      <c r="D27" s="707"/>
      <c r="E27" s="707"/>
      <c r="F27" s="707"/>
      <c r="G27" s="707"/>
      <c r="H27" s="707"/>
      <c r="I27" s="707"/>
      <c r="J27" s="707"/>
      <c r="K27" s="707"/>
      <c r="L27" s="707"/>
      <c r="M27" s="707"/>
      <c r="N27" s="707"/>
      <c r="O27" s="707"/>
      <c r="P27" s="707"/>
      <c r="Q27" s="707"/>
      <c r="R27" s="707"/>
      <c r="S27" s="707"/>
      <c r="T27" s="707"/>
      <c r="U27" s="707"/>
      <c r="V27" s="707"/>
      <c r="W27" s="707"/>
      <c r="X27" s="707"/>
      <c r="Y27" s="693"/>
      <c r="Z27" s="693"/>
      <c r="AA27" s="693"/>
      <c r="AB27" s="744"/>
      <c r="AC27" s="693"/>
      <c r="AD27" s="693"/>
    </row>
    <row r="28" spans="1:30" ht="15.75">
      <c r="A28" s="693"/>
      <c r="B28" s="693"/>
      <c r="C28" s="632"/>
      <c r="D28" s="707"/>
      <c r="E28" s="707"/>
      <c r="F28" s="707"/>
      <c r="G28" s="707"/>
      <c r="H28" s="707"/>
      <c r="I28" s="707"/>
      <c r="J28" s="707"/>
      <c r="K28" s="707"/>
      <c r="L28" s="707"/>
      <c r="M28" s="707"/>
      <c r="N28" s="707"/>
      <c r="O28" s="707"/>
      <c r="P28" s="707"/>
      <c r="Q28" s="707"/>
      <c r="R28" s="707"/>
      <c r="S28" s="707"/>
      <c r="T28" s="707"/>
      <c r="U28" s="707"/>
      <c r="V28" s="707"/>
      <c r="W28" s="707"/>
      <c r="X28" s="707"/>
      <c r="Y28" s="693"/>
      <c r="Z28" s="693"/>
      <c r="AA28" s="693"/>
      <c r="AB28" s="744"/>
      <c r="AC28" s="693"/>
      <c r="AD28" s="693"/>
    </row>
    <row r="29" spans="1:30" ht="15.75">
      <c r="A29" s="693"/>
      <c r="B29" s="693"/>
      <c r="C29" s="632"/>
      <c r="D29" s="707"/>
      <c r="E29" s="707"/>
      <c r="F29" s="707"/>
      <c r="G29" s="707"/>
      <c r="H29" s="707"/>
      <c r="I29" s="707"/>
      <c r="J29" s="707"/>
      <c r="K29" s="707"/>
      <c r="L29" s="707"/>
      <c r="M29" s="707"/>
      <c r="N29" s="707"/>
      <c r="O29" s="707"/>
      <c r="P29" s="707"/>
      <c r="Q29" s="707"/>
      <c r="R29" s="707"/>
      <c r="S29" s="707"/>
      <c r="T29" s="707"/>
      <c r="U29" s="707"/>
      <c r="V29" s="707"/>
      <c r="W29" s="707"/>
      <c r="X29" s="707"/>
      <c r="Y29" s="693"/>
      <c r="Z29" s="693"/>
      <c r="AA29" s="693"/>
      <c r="AB29" s="744"/>
      <c r="AC29" s="693"/>
      <c r="AD29" s="693"/>
    </row>
    <row r="30" spans="1:30" ht="15.75">
      <c r="C30" s="710" t="s">
        <v>194</v>
      </c>
      <c r="D30" s="632"/>
      <c r="E30" s="632"/>
      <c r="F30" s="632"/>
      <c r="H30" s="632"/>
    </row>
    <row r="31" spans="1:30" ht="15.75">
      <c r="C31" s="632" t="s">
        <v>1133</v>
      </c>
    </row>
    <row r="32" spans="1:30" ht="15.75">
      <c r="C32" s="632" t="s">
        <v>804</v>
      </c>
    </row>
    <row r="33" spans="3:9" ht="15.75">
      <c r="C33" s="632" t="s">
        <v>805</v>
      </c>
    </row>
    <row r="34" spans="3:9" ht="15.75">
      <c r="C34" s="632" t="s">
        <v>806</v>
      </c>
    </row>
    <row r="35" spans="3:9" ht="15.75">
      <c r="C35" s="632" t="s">
        <v>1139</v>
      </c>
    </row>
    <row r="36" spans="3:9" ht="15.75">
      <c r="C36" s="632" t="s">
        <v>1071</v>
      </c>
      <c r="D36" s="632"/>
      <c r="E36" s="632"/>
      <c r="F36" s="632"/>
      <c r="G36" s="632"/>
      <c r="H36" s="632"/>
      <c r="I36" s="632"/>
    </row>
    <row r="37" spans="3:9" ht="36" customHeight="1"/>
  </sheetData>
  <pageMargins left="0.7" right="0.7" top="0.75" bottom="0.75" header="0.3" footer="0.3"/>
  <pageSetup scale="19" orientation="portrait" r:id="rId1"/>
  <ignoredErrors>
    <ignoredError sqref="P12" twoDigitTextYear="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B63AF-3534-4901-8F24-9892F11FE4FB}">
  <dimension ref="A1:H76"/>
  <sheetViews>
    <sheetView view="pageBreakPreview" zoomScale="90" zoomScaleNormal="80" zoomScaleSheetLayoutView="90" workbookViewId="0"/>
  </sheetViews>
  <sheetFormatPr defaultColWidth="8.88671875" defaultRowHeight="15.75"/>
  <cols>
    <col min="1" max="1" width="11.6640625" style="1" customWidth="1"/>
    <col min="2" max="2" width="23.6640625" style="1" customWidth="1"/>
    <col min="3" max="3" width="1.21875" style="1" customWidth="1"/>
    <col min="4" max="4" width="50.77734375" style="1" customWidth="1"/>
    <col min="5" max="5" width="1.44140625" style="1" customWidth="1"/>
    <col min="6" max="6" width="22.33203125" style="1" customWidth="1"/>
    <col min="7" max="7" width="26.33203125" style="1" customWidth="1"/>
    <col min="8" max="8" width="29.33203125" style="1" customWidth="1"/>
    <col min="9" max="16384" width="8.88671875" style="1"/>
  </cols>
  <sheetData>
    <row r="1" spans="1:8">
      <c r="F1" s="603"/>
      <c r="G1" s="1064" t="str">
        <f>'Attachment H-34A '!K1&amp;""&amp;", Attachment 20"</f>
        <v>Attachment H-34A, Attachment 20</v>
      </c>
      <c r="H1" s="1064"/>
    </row>
    <row r="2" spans="1:8">
      <c r="F2" s="603"/>
      <c r="G2" s="1064" t="s">
        <v>189</v>
      </c>
      <c r="H2" s="1064"/>
    </row>
    <row r="3" spans="1:8">
      <c r="F3" s="604"/>
      <c r="G3" s="1064" t="str">
        <f>'Attachment H-34A '!K4</f>
        <v>For the 12 months ended 12/31/2026</v>
      </c>
      <c r="H3" s="1064"/>
    </row>
    <row r="4" spans="1:8">
      <c r="F4" s="603"/>
    </row>
    <row r="5" spans="1:8">
      <c r="B5" s="605" t="s">
        <v>628</v>
      </c>
      <c r="C5" s="29"/>
      <c r="D5" s="29"/>
      <c r="F5" s="604"/>
    </row>
    <row r="6" spans="1:8">
      <c r="F6" s="631" t="s">
        <v>692</v>
      </c>
      <c r="G6" s="631" t="str">
        <f>"("&amp;CHAR(CODE(MID(F6,2,1))+1)&amp;")"</f>
        <v>(B)</v>
      </c>
      <c r="H6" s="631" t="str">
        <f>"("&amp;CHAR(CODE(MID(G6,2,1))+1)&amp;")"</f>
        <v>(C)</v>
      </c>
    </row>
    <row r="7" spans="1:8" ht="31.5">
      <c r="A7" s="535" t="s">
        <v>681</v>
      </c>
      <c r="B7" s="606" t="s">
        <v>629</v>
      </c>
      <c r="D7" s="18" t="s">
        <v>577</v>
      </c>
      <c r="F7" s="607" t="s">
        <v>682</v>
      </c>
      <c r="G7" s="607" t="s">
        <v>1170</v>
      </c>
      <c r="H7" s="607" t="s">
        <v>1137</v>
      </c>
    </row>
    <row r="8" spans="1:8">
      <c r="B8" s="18"/>
      <c r="D8" s="18"/>
      <c r="F8" s="623"/>
      <c r="G8" s="623"/>
      <c r="H8" s="623"/>
    </row>
    <row r="9" spans="1:8">
      <c r="A9" s="568">
        <v>82</v>
      </c>
      <c r="B9" s="568"/>
      <c r="D9" s="608" t="s">
        <v>630</v>
      </c>
      <c r="F9" s="623"/>
      <c r="G9" s="623"/>
      <c r="H9" s="623"/>
    </row>
    <row r="10" spans="1:8">
      <c r="A10" s="568">
        <v>83</v>
      </c>
      <c r="B10" s="568">
        <v>560</v>
      </c>
      <c r="D10" s="1" t="s">
        <v>631</v>
      </c>
      <c r="F10" s="952">
        <v>186428.55</v>
      </c>
      <c r="G10" s="958"/>
      <c r="H10" s="617">
        <f>F10+G10</f>
        <v>186428.55</v>
      </c>
    </row>
    <row r="11" spans="1:8">
      <c r="A11" s="568">
        <v>84</v>
      </c>
      <c r="B11" s="568"/>
      <c r="F11" s="953"/>
      <c r="G11" s="959"/>
      <c r="H11" s="623"/>
    </row>
    <row r="12" spans="1:8">
      <c r="A12" s="568">
        <v>85</v>
      </c>
      <c r="B12" s="568">
        <v>561.1</v>
      </c>
      <c r="D12" s="1" t="s">
        <v>632</v>
      </c>
      <c r="F12" s="952">
        <v>313954.33</v>
      </c>
      <c r="G12" s="958"/>
      <c r="H12" s="617">
        <f t="shared" ref="H12:H25" si="0">F12+G12</f>
        <v>313954.33</v>
      </c>
    </row>
    <row r="13" spans="1:8">
      <c r="A13" s="568">
        <v>86</v>
      </c>
      <c r="B13" s="568">
        <v>561.20000000000005</v>
      </c>
      <c r="D13" s="1" t="s">
        <v>633</v>
      </c>
      <c r="F13" s="952">
        <v>992715.87999999989</v>
      </c>
      <c r="G13" s="958"/>
      <c r="H13" s="617">
        <f t="shared" si="0"/>
        <v>992715.87999999989</v>
      </c>
    </row>
    <row r="14" spans="1:8">
      <c r="A14" s="568">
        <v>87</v>
      </c>
      <c r="B14" s="568">
        <v>561.29999999999995</v>
      </c>
      <c r="D14" s="1" t="s">
        <v>634</v>
      </c>
      <c r="F14" s="952"/>
      <c r="G14" s="958"/>
      <c r="H14" s="617">
        <f t="shared" si="0"/>
        <v>0</v>
      </c>
    </row>
    <row r="15" spans="1:8">
      <c r="A15" s="568">
        <v>88</v>
      </c>
      <c r="B15" s="568">
        <v>561.4</v>
      </c>
      <c r="D15" s="1" t="s">
        <v>635</v>
      </c>
      <c r="F15" s="952"/>
      <c r="G15" s="958"/>
      <c r="H15" s="617">
        <f t="shared" si="0"/>
        <v>0</v>
      </c>
    </row>
    <row r="16" spans="1:8">
      <c r="A16" s="568">
        <v>89</v>
      </c>
      <c r="B16" s="568">
        <v>561.5</v>
      </c>
      <c r="D16" s="1" t="s">
        <v>636</v>
      </c>
      <c r="F16" s="952"/>
      <c r="G16" s="958"/>
      <c r="H16" s="617">
        <f t="shared" si="0"/>
        <v>0</v>
      </c>
    </row>
    <row r="17" spans="1:8">
      <c r="A17" s="568">
        <v>90</v>
      </c>
      <c r="B17" s="568">
        <v>561.6</v>
      </c>
      <c r="D17" s="1" t="s">
        <v>637</v>
      </c>
      <c r="F17" s="952">
        <v>42391.48</v>
      </c>
      <c r="G17" s="958"/>
      <c r="H17" s="617">
        <f t="shared" si="0"/>
        <v>42391.48</v>
      </c>
    </row>
    <row r="18" spans="1:8">
      <c r="A18" s="568">
        <v>91</v>
      </c>
      <c r="B18" s="568">
        <v>561.70000000000005</v>
      </c>
      <c r="D18" s="1" t="s">
        <v>638</v>
      </c>
      <c r="F18" s="952"/>
      <c r="G18" s="958"/>
      <c r="H18" s="617">
        <f t="shared" si="0"/>
        <v>0</v>
      </c>
    </row>
    <row r="19" spans="1:8">
      <c r="A19" s="568">
        <v>92</v>
      </c>
      <c r="B19" s="568">
        <v>561.79999999999995</v>
      </c>
      <c r="D19" s="1" t="s">
        <v>639</v>
      </c>
      <c r="F19" s="952"/>
      <c r="G19" s="958"/>
      <c r="H19" s="617">
        <f t="shared" si="0"/>
        <v>0</v>
      </c>
    </row>
    <row r="20" spans="1:8">
      <c r="A20" s="568">
        <v>93</v>
      </c>
      <c r="B20" s="610">
        <v>562</v>
      </c>
      <c r="D20" s="1" t="s">
        <v>640</v>
      </c>
      <c r="F20" s="952">
        <v>-764819.94</v>
      </c>
      <c r="G20" s="958"/>
      <c r="H20" s="617">
        <f t="shared" si="0"/>
        <v>-764819.94</v>
      </c>
    </row>
    <row r="21" spans="1:8">
      <c r="A21" s="568">
        <v>94</v>
      </c>
      <c r="B21" s="610">
        <v>563</v>
      </c>
      <c r="D21" s="1" t="s">
        <v>641</v>
      </c>
      <c r="F21" s="952">
        <v>1936487.94</v>
      </c>
      <c r="G21" s="958"/>
      <c r="H21" s="617">
        <f t="shared" si="0"/>
        <v>1936487.94</v>
      </c>
    </row>
    <row r="22" spans="1:8">
      <c r="A22" s="568">
        <v>95</v>
      </c>
      <c r="B22" s="610">
        <v>564</v>
      </c>
      <c r="D22" s="1" t="s">
        <v>642</v>
      </c>
      <c r="F22" s="952"/>
      <c r="G22" s="958"/>
      <c r="H22" s="617">
        <f t="shared" si="0"/>
        <v>0</v>
      </c>
    </row>
    <row r="23" spans="1:8">
      <c r="A23" s="568">
        <v>96</v>
      </c>
      <c r="B23" s="610">
        <v>565</v>
      </c>
      <c r="D23" s="1" t="s">
        <v>643</v>
      </c>
      <c r="F23" s="952"/>
      <c r="G23" s="958"/>
      <c r="H23" s="617">
        <f t="shared" si="0"/>
        <v>0</v>
      </c>
    </row>
    <row r="24" spans="1:8">
      <c r="A24" s="568">
        <v>97</v>
      </c>
      <c r="B24" s="610">
        <v>566</v>
      </c>
      <c r="D24" s="1" t="s">
        <v>644</v>
      </c>
      <c r="F24" s="952">
        <v>871426.16999999993</v>
      </c>
      <c r="G24" s="958">
        <v>-19203.34</v>
      </c>
      <c r="H24" s="617">
        <f t="shared" si="0"/>
        <v>852222.83</v>
      </c>
    </row>
    <row r="25" spans="1:8">
      <c r="A25" s="568">
        <v>98</v>
      </c>
      <c r="B25" s="610">
        <v>567</v>
      </c>
      <c r="D25" s="1" t="s">
        <v>645</v>
      </c>
      <c r="F25" s="952">
        <v>3338398.2000000007</v>
      </c>
      <c r="G25" s="958"/>
      <c r="H25" s="617">
        <f t="shared" si="0"/>
        <v>3338398.2000000007</v>
      </c>
    </row>
    <row r="26" spans="1:8">
      <c r="A26" s="568">
        <v>99</v>
      </c>
      <c r="B26" s="610"/>
      <c r="D26" s="1" t="s">
        <v>646</v>
      </c>
      <c r="F26" s="954">
        <f>SUM(F10,F12:F25)</f>
        <v>6916982.6100000003</v>
      </c>
      <c r="G26" s="960">
        <f>SUM(G12:G25)+G10</f>
        <v>-19203.34</v>
      </c>
      <c r="H26" s="611">
        <f>SUM(H12:H25)+H10</f>
        <v>6897779.2700000005</v>
      </c>
    </row>
    <row r="27" spans="1:8">
      <c r="A27" s="568">
        <v>100</v>
      </c>
      <c r="B27" s="610"/>
      <c r="D27" s="608" t="s">
        <v>647</v>
      </c>
      <c r="F27" s="953"/>
      <c r="G27" s="959"/>
      <c r="H27" s="623"/>
    </row>
    <row r="28" spans="1:8">
      <c r="A28" s="568">
        <v>101</v>
      </c>
      <c r="B28" s="610">
        <v>568</v>
      </c>
      <c r="D28" s="1" t="s">
        <v>648</v>
      </c>
      <c r="F28" s="952">
        <v>919341.71999999916</v>
      </c>
      <c r="G28" s="958">
        <v>11194.72</v>
      </c>
      <c r="H28" s="617">
        <f t="shared" ref="H28:H37" si="1">F28+G28</f>
        <v>930536.43999999913</v>
      </c>
    </row>
    <row r="29" spans="1:8">
      <c r="A29" s="568">
        <v>102</v>
      </c>
      <c r="B29" s="610">
        <v>569</v>
      </c>
      <c r="D29" s="1" t="s">
        <v>649</v>
      </c>
      <c r="F29" s="952"/>
      <c r="G29" s="958"/>
      <c r="H29" s="617">
        <f t="shared" si="1"/>
        <v>0</v>
      </c>
    </row>
    <row r="30" spans="1:8">
      <c r="A30" s="568">
        <v>103</v>
      </c>
      <c r="B30" s="612">
        <v>569.1</v>
      </c>
      <c r="D30" s="1" t="s">
        <v>650</v>
      </c>
      <c r="F30" s="952">
        <v>13308.58</v>
      </c>
      <c r="G30" s="958">
        <v>-198.44</v>
      </c>
      <c r="H30" s="617">
        <f t="shared" si="1"/>
        <v>13110.14</v>
      </c>
    </row>
    <row r="31" spans="1:8">
      <c r="A31" s="568">
        <v>104</v>
      </c>
      <c r="B31" s="612">
        <v>569.20000000000005</v>
      </c>
      <c r="D31" s="1" t="s">
        <v>651</v>
      </c>
      <c r="F31" s="952">
        <v>35267.089999999997</v>
      </c>
      <c r="G31" s="958">
        <v>-50.11</v>
      </c>
      <c r="H31" s="617">
        <f t="shared" si="1"/>
        <v>35216.979999999996</v>
      </c>
    </row>
    <row r="32" spans="1:8">
      <c r="A32" s="568">
        <v>105</v>
      </c>
      <c r="B32" s="612">
        <v>569.29999999999995</v>
      </c>
      <c r="D32" s="1" t="s">
        <v>652</v>
      </c>
      <c r="F32" s="952"/>
      <c r="G32" s="958"/>
      <c r="H32" s="617">
        <f t="shared" si="1"/>
        <v>0</v>
      </c>
    </row>
    <row r="33" spans="1:8">
      <c r="A33" s="568">
        <v>106</v>
      </c>
      <c r="B33" s="612">
        <v>569.4</v>
      </c>
      <c r="D33" s="1" t="s">
        <v>653</v>
      </c>
      <c r="F33" s="952"/>
      <c r="G33" s="958"/>
      <c r="H33" s="617">
        <f t="shared" si="1"/>
        <v>0</v>
      </c>
    </row>
    <row r="34" spans="1:8">
      <c r="A34" s="568">
        <v>107</v>
      </c>
      <c r="B34" s="568">
        <v>570</v>
      </c>
      <c r="D34" s="1" t="s">
        <v>654</v>
      </c>
      <c r="F34" s="952">
        <v>4689726.88</v>
      </c>
      <c r="G34" s="958"/>
      <c r="H34" s="617">
        <f t="shared" si="1"/>
        <v>4689726.88</v>
      </c>
    </row>
    <row r="35" spans="1:8">
      <c r="A35" s="568">
        <v>108</v>
      </c>
      <c r="B35" s="568">
        <v>571</v>
      </c>
      <c r="D35" s="1" t="s">
        <v>655</v>
      </c>
      <c r="F35" s="952">
        <v>12365836.310000001</v>
      </c>
      <c r="G35" s="958"/>
      <c r="H35" s="617">
        <f t="shared" si="1"/>
        <v>12365836.310000001</v>
      </c>
    </row>
    <row r="36" spans="1:8">
      <c r="A36" s="568">
        <v>109</v>
      </c>
      <c r="B36" s="568">
        <v>572</v>
      </c>
      <c r="D36" s="1" t="s">
        <v>656</v>
      </c>
      <c r="F36" s="952"/>
      <c r="G36" s="958"/>
      <c r="H36" s="617">
        <f t="shared" si="1"/>
        <v>0</v>
      </c>
    </row>
    <row r="37" spans="1:8">
      <c r="A37" s="568">
        <v>110</v>
      </c>
      <c r="B37" s="568">
        <v>573</v>
      </c>
      <c r="D37" s="1" t="s">
        <v>657</v>
      </c>
      <c r="F37" s="955"/>
      <c r="G37" s="961"/>
      <c r="H37" s="617">
        <f t="shared" si="1"/>
        <v>0</v>
      </c>
    </row>
    <row r="38" spans="1:8">
      <c r="A38" s="568">
        <v>111</v>
      </c>
      <c r="B38" s="568"/>
      <c r="D38" s="1" t="s">
        <v>658</v>
      </c>
      <c r="F38" s="956">
        <f>SUM(F28:F37)</f>
        <v>18023480.579999998</v>
      </c>
      <c r="G38" s="962">
        <f>SUM(G28:G37)</f>
        <v>10946.169999999998</v>
      </c>
      <c r="H38" s="611">
        <f>SUM(H28:H37)</f>
        <v>18034426.75</v>
      </c>
    </row>
    <row r="39" spans="1:8" ht="16.5" thickBot="1">
      <c r="A39" s="568">
        <v>112</v>
      </c>
      <c r="B39" s="612"/>
      <c r="D39" s="18" t="s">
        <v>678</v>
      </c>
      <c r="F39" s="957">
        <f>F26+F38</f>
        <v>24940463.189999998</v>
      </c>
      <c r="G39" s="963">
        <f>G26+G38+G10</f>
        <v>-8257.1700000000019</v>
      </c>
      <c r="H39" s="614">
        <f>H26+H38</f>
        <v>24932206.02</v>
      </c>
    </row>
    <row r="40" spans="1:8" ht="16.5" thickTop="1">
      <c r="A40" s="2"/>
      <c r="B40" s="615"/>
      <c r="D40" s="18"/>
      <c r="F40" s="18"/>
    </row>
    <row r="41" spans="1:8">
      <c r="A41" s="2" t="s">
        <v>224</v>
      </c>
      <c r="B41" s="615"/>
      <c r="D41" s="18"/>
      <c r="F41" s="18"/>
    </row>
    <row r="42" spans="1:8">
      <c r="A42" s="568" t="s">
        <v>223</v>
      </c>
      <c r="B42" s="615" t="s">
        <v>659</v>
      </c>
      <c r="D42" s="18"/>
      <c r="F42" s="18"/>
    </row>
    <row r="43" spans="1:8">
      <c r="A43" s="568" t="s">
        <v>282</v>
      </c>
      <c r="B43" s="615" t="s">
        <v>1171</v>
      </c>
      <c r="D43" s="18"/>
      <c r="F43" s="18"/>
    </row>
    <row r="44" spans="1:8">
      <c r="A44" s="568"/>
      <c r="B44" s="615"/>
      <c r="D44" s="18"/>
      <c r="F44" s="18"/>
    </row>
    <row r="45" spans="1:8">
      <c r="A45" s="568"/>
      <c r="B45" s="615"/>
      <c r="D45" s="18"/>
      <c r="F45" s="603"/>
      <c r="G45" s="1064" t="str">
        <f>G1</f>
        <v>Attachment H-34A, Attachment 20</v>
      </c>
      <c r="H45" s="1064"/>
    </row>
    <row r="46" spans="1:8">
      <c r="A46" s="2"/>
      <c r="B46" s="615"/>
      <c r="D46" s="18"/>
      <c r="F46" s="603"/>
      <c r="G46" s="1064" t="s">
        <v>192</v>
      </c>
      <c r="H46" s="1064"/>
    </row>
    <row r="47" spans="1:8">
      <c r="A47" s="2"/>
      <c r="B47" s="615"/>
      <c r="F47" s="604"/>
      <c r="G47" s="1064" t="str">
        <f>'Attachment H-34A '!K4</f>
        <v>For the 12 months ended 12/31/2026</v>
      </c>
      <c r="H47" s="1064"/>
    </row>
    <row r="48" spans="1:8">
      <c r="B48" s="615"/>
    </row>
    <row r="50" spans="1:8">
      <c r="B50" s="605" t="s">
        <v>660</v>
      </c>
      <c r="C50" s="29"/>
      <c r="D50" s="29"/>
      <c r="E50" s="29"/>
      <c r="F50" s="631" t="s">
        <v>692</v>
      </c>
      <c r="G50" s="631" t="str">
        <f>"("&amp;CHAR(CODE(MID(F50,2,1))+1)&amp;")"</f>
        <v>(B)</v>
      </c>
      <c r="H50" s="631" t="str">
        <f>"("&amp;CHAR(CODE(MID(G50,2,1))+1)&amp;")"</f>
        <v>(C)</v>
      </c>
    </row>
    <row r="52" spans="1:8" ht="31.5">
      <c r="A52" s="535" t="s">
        <v>683</v>
      </c>
      <c r="B52" s="606" t="s">
        <v>629</v>
      </c>
      <c r="D52" s="18" t="s">
        <v>577</v>
      </c>
      <c r="F52" s="607" t="s">
        <v>684</v>
      </c>
      <c r="G52" s="607" t="s">
        <v>1170</v>
      </c>
      <c r="H52" s="607" t="s">
        <v>1137</v>
      </c>
    </row>
    <row r="53" spans="1:8">
      <c r="B53" s="18"/>
      <c r="D53" s="18"/>
      <c r="F53" s="623"/>
      <c r="G53" s="623"/>
      <c r="H53" s="623"/>
    </row>
    <row r="54" spans="1:8">
      <c r="A54" s="568">
        <v>180</v>
      </c>
      <c r="B54" s="17"/>
      <c r="D54" s="608" t="s">
        <v>630</v>
      </c>
      <c r="F54" s="623"/>
      <c r="G54" s="623"/>
      <c r="H54" s="623"/>
    </row>
    <row r="55" spans="1:8">
      <c r="A55" s="568">
        <v>181</v>
      </c>
      <c r="B55" s="610">
        <v>920</v>
      </c>
      <c r="D55" s="1" t="s">
        <v>661</v>
      </c>
      <c r="F55" s="952">
        <v>0</v>
      </c>
      <c r="G55" s="958"/>
      <c r="H55" s="609">
        <f>F55+G55</f>
        <v>0</v>
      </c>
    </row>
    <row r="56" spans="1:8">
      <c r="A56" s="568">
        <v>182</v>
      </c>
      <c r="B56" s="610">
        <v>921</v>
      </c>
      <c r="D56" s="1" t="s">
        <v>662</v>
      </c>
      <c r="F56" s="952">
        <v>0</v>
      </c>
      <c r="G56" s="958"/>
      <c r="H56" s="609">
        <f t="shared" ref="H56:H67" si="2">F56+G56</f>
        <v>0</v>
      </c>
    </row>
    <row r="57" spans="1:8">
      <c r="A57" s="568">
        <v>183</v>
      </c>
      <c r="B57" s="616" t="s">
        <v>663</v>
      </c>
      <c r="D57" s="1" t="s">
        <v>664</v>
      </c>
      <c r="F57" s="952">
        <v>0</v>
      </c>
      <c r="G57" s="958"/>
      <c r="H57" s="609">
        <f t="shared" si="2"/>
        <v>0</v>
      </c>
    </row>
    <row r="58" spans="1:8">
      <c r="A58" s="568">
        <v>184</v>
      </c>
      <c r="B58" s="610">
        <v>923</v>
      </c>
      <c r="D58" s="1" t="s">
        <v>665</v>
      </c>
      <c r="F58" s="952">
        <v>4167995.54</v>
      </c>
      <c r="G58" s="958">
        <v>-53741.25</v>
      </c>
      <c r="H58" s="609">
        <f t="shared" si="2"/>
        <v>4114254.29</v>
      </c>
    </row>
    <row r="59" spans="1:8">
      <c r="A59" s="568">
        <v>185</v>
      </c>
      <c r="B59" s="610">
        <v>924</v>
      </c>
      <c r="D59" s="1" t="s">
        <v>666</v>
      </c>
      <c r="F59" s="952"/>
      <c r="G59" s="958"/>
      <c r="H59" s="609">
        <f t="shared" si="2"/>
        <v>0</v>
      </c>
    </row>
    <row r="60" spans="1:8">
      <c r="A60" s="568">
        <v>186</v>
      </c>
      <c r="B60" s="610">
        <v>925</v>
      </c>
      <c r="D60" s="1" t="s">
        <v>667</v>
      </c>
      <c r="F60" s="952"/>
      <c r="G60" s="958"/>
      <c r="H60" s="609">
        <f t="shared" si="2"/>
        <v>0</v>
      </c>
    </row>
    <row r="61" spans="1:8">
      <c r="A61" s="568">
        <v>187</v>
      </c>
      <c r="B61" s="610">
        <v>926</v>
      </c>
      <c r="D61" s="1" t="s">
        <v>668</v>
      </c>
      <c r="F61" s="952">
        <v>101587.38</v>
      </c>
      <c r="G61" s="958"/>
      <c r="H61" s="609">
        <f t="shared" si="2"/>
        <v>101587.38</v>
      </c>
    </row>
    <row r="62" spans="1:8">
      <c r="A62" s="568">
        <v>188</v>
      </c>
      <c r="B62" s="610">
        <v>927</v>
      </c>
      <c r="D62" s="1" t="s">
        <v>669</v>
      </c>
      <c r="F62" s="952"/>
      <c r="G62" s="958"/>
      <c r="H62" s="609">
        <f t="shared" si="2"/>
        <v>0</v>
      </c>
    </row>
    <row r="63" spans="1:8">
      <c r="A63" s="568">
        <v>189</v>
      </c>
      <c r="B63" s="610">
        <v>928</v>
      </c>
      <c r="D63" s="1" t="s">
        <v>670</v>
      </c>
      <c r="F63" s="952"/>
      <c r="G63" s="958"/>
      <c r="H63" s="609">
        <f t="shared" si="2"/>
        <v>0</v>
      </c>
    </row>
    <row r="64" spans="1:8">
      <c r="A64" s="568">
        <v>190</v>
      </c>
      <c r="B64" s="610" t="s">
        <v>671</v>
      </c>
      <c r="D64" s="1" t="s">
        <v>672</v>
      </c>
      <c r="F64" s="952"/>
      <c r="G64" s="958"/>
      <c r="H64" s="609">
        <f t="shared" si="2"/>
        <v>0</v>
      </c>
    </row>
    <row r="65" spans="1:8">
      <c r="A65" s="568">
        <v>191</v>
      </c>
      <c r="B65" s="612">
        <v>930.1</v>
      </c>
      <c r="D65" s="1" t="s">
        <v>673</v>
      </c>
      <c r="F65" s="952">
        <v>46535.76</v>
      </c>
      <c r="G65" s="958">
        <v>-46535.76</v>
      </c>
      <c r="H65" s="609">
        <f t="shared" si="2"/>
        <v>0</v>
      </c>
    </row>
    <row r="66" spans="1:8">
      <c r="A66" s="568">
        <v>192</v>
      </c>
      <c r="B66" s="612">
        <v>930.2</v>
      </c>
      <c r="D66" s="1" t="s">
        <v>674</v>
      </c>
      <c r="F66" s="952">
        <v>35487.230000000003</v>
      </c>
      <c r="G66" s="958">
        <v>-2263.6799999999998</v>
      </c>
      <c r="H66" s="609">
        <f t="shared" si="2"/>
        <v>33223.550000000003</v>
      </c>
    </row>
    <row r="67" spans="1:8">
      <c r="A67" s="568">
        <v>193</v>
      </c>
      <c r="B67" s="610">
        <v>931</v>
      </c>
      <c r="D67" s="1" t="s">
        <v>645</v>
      </c>
      <c r="F67" s="952"/>
      <c r="G67" s="958"/>
      <c r="H67" s="609">
        <f t="shared" si="2"/>
        <v>0</v>
      </c>
    </row>
    <row r="68" spans="1:8">
      <c r="A68" s="568">
        <v>194</v>
      </c>
      <c r="B68" s="612"/>
      <c r="D68" s="18" t="s">
        <v>675</v>
      </c>
      <c r="F68" s="954">
        <f>SUM(F55:F67)</f>
        <v>4351605.91</v>
      </c>
      <c r="G68" s="960">
        <f>SUM(G55:G67)</f>
        <v>-102540.69</v>
      </c>
      <c r="H68" s="611">
        <f>SUM(H55:H67)</f>
        <v>4249065.22</v>
      </c>
    </row>
    <row r="69" spans="1:8">
      <c r="A69" s="568">
        <v>195</v>
      </c>
      <c r="B69" s="17"/>
      <c r="D69" s="608" t="s">
        <v>647</v>
      </c>
      <c r="F69" s="953"/>
      <c r="G69" s="959"/>
      <c r="H69" s="622"/>
    </row>
    <row r="70" spans="1:8">
      <c r="A70" s="568">
        <v>196</v>
      </c>
      <c r="B70" s="610">
        <v>935</v>
      </c>
      <c r="D70" s="1" t="s">
        <v>676</v>
      </c>
      <c r="F70" s="955">
        <v>3003398.63</v>
      </c>
      <c r="G70" s="961">
        <v>-2607.0300000000002</v>
      </c>
      <c r="H70" s="613">
        <f>F70+G70</f>
        <v>3000791.6</v>
      </c>
    </row>
    <row r="71" spans="1:8" ht="16.5" thickBot="1">
      <c r="A71" s="568">
        <v>197</v>
      </c>
      <c r="B71" s="17"/>
      <c r="D71" s="18" t="s">
        <v>679</v>
      </c>
      <c r="F71" s="957">
        <f>F68+F70</f>
        <v>7355004.54</v>
      </c>
      <c r="G71" s="963">
        <f>G68+G70</f>
        <v>-105147.72</v>
      </c>
      <c r="H71" s="614">
        <f>H68+H70</f>
        <v>7249856.8200000003</v>
      </c>
    </row>
    <row r="72" spans="1:8" ht="16.5" thickTop="1"/>
    <row r="73" spans="1:8">
      <c r="A73" s="2" t="s">
        <v>224</v>
      </c>
      <c r="B73" s="615"/>
    </row>
    <row r="74" spans="1:8">
      <c r="A74" s="568" t="s">
        <v>236</v>
      </c>
      <c r="B74" s="615" t="s">
        <v>659</v>
      </c>
    </row>
    <row r="75" spans="1:8">
      <c r="A75" s="568" t="s">
        <v>282</v>
      </c>
      <c r="B75" s="615" t="s">
        <v>1172</v>
      </c>
    </row>
    <row r="76" spans="1:8">
      <c r="B76" s="615"/>
    </row>
  </sheetData>
  <mergeCells count="6">
    <mergeCell ref="G47:H47"/>
    <mergeCell ref="G1:H1"/>
    <mergeCell ref="G2:H2"/>
    <mergeCell ref="G3:H3"/>
    <mergeCell ref="G45:H45"/>
    <mergeCell ref="G46:H46"/>
  </mergeCells>
  <pageMargins left="0.7" right="0.7" top="0.75" bottom="0.75" header="0.3" footer="0.3"/>
  <pageSetup scale="45" orientation="portrait" horizontalDpi="1200" verticalDpi="1200" r:id="rId1"/>
  <rowBreaks count="1" manualBreakCount="1">
    <brk id="44" max="16383" man="1"/>
  </rowBreaks>
  <ignoredErrors>
    <ignoredError sqref="G3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L68"/>
  <sheetViews>
    <sheetView view="pageBreakPreview" zoomScale="80" zoomScaleNormal="100" zoomScaleSheetLayoutView="80" workbookViewId="0">
      <selection sqref="A1:I1"/>
    </sheetView>
  </sheetViews>
  <sheetFormatPr defaultRowHeight="12.75"/>
  <cols>
    <col min="1" max="1" width="7.21875" style="98" customWidth="1"/>
    <col min="2" max="2" width="2.33203125" style="98" customWidth="1"/>
    <col min="3" max="3" width="6.33203125" style="98" customWidth="1"/>
    <col min="4" max="4" width="33.44140625" style="98" customWidth="1"/>
    <col min="5" max="5" width="18" style="98" customWidth="1"/>
    <col min="6" max="6" width="27.6640625" style="98" customWidth="1"/>
    <col min="7" max="7" width="34.77734375" style="98" customWidth="1"/>
    <col min="8" max="8" width="3" style="98" customWidth="1"/>
    <col min="9" max="9" width="23.44140625" style="98" customWidth="1"/>
    <col min="10" max="10" width="7.88671875" style="98" customWidth="1"/>
    <col min="11" max="11" width="19" style="98" customWidth="1"/>
    <col min="12" max="12" width="4.6640625" style="98" customWidth="1"/>
    <col min="13" max="256" width="8.88671875" style="98"/>
    <col min="257" max="257" width="7.21875" style="98" customWidth="1"/>
    <col min="258" max="258" width="2.33203125" style="98" customWidth="1"/>
    <col min="259" max="259" width="6.33203125" style="98" customWidth="1"/>
    <col min="260" max="260" width="33.44140625" style="98" customWidth="1"/>
    <col min="261" max="261" width="18" style="98" customWidth="1"/>
    <col min="262" max="262" width="27.6640625" style="98" customWidth="1"/>
    <col min="263" max="263" width="28.88671875" style="98" bestFit="1" customWidth="1"/>
    <col min="264" max="264" width="3" style="98" customWidth="1"/>
    <col min="265" max="265" width="23.44140625" style="98" customWidth="1"/>
    <col min="266" max="266" width="8.88671875" style="98"/>
    <col min="267" max="267" width="17.88671875" style="98" bestFit="1" customWidth="1"/>
    <col min="268" max="512" width="8.88671875" style="98"/>
    <col min="513" max="513" width="7.21875" style="98" customWidth="1"/>
    <col min="514" max="514" width="2.33203125" style="98" customWidth="1"/>
    <col min="515" max="515" width="6.33203125" style="98" customWidth="1"/>
    <col min="516" max="516" width="33.44140625" style="98" customWidth="1"/>
    <col min="517" max="517" width="18" style="98" customWidth="1"/>
    <col min="518" max="518" width="27.6640625" style="98" customWidth="1"/>
    <col min="519" max="519" width="28.88671875" style="98" bestFit="1" customWidth="1"/>
    <col min="520" max="520" width="3" style="98" customWidth="1"/>
    <col min="521" max="521" width="23.44140625" style="98" customWidth="1"/>
    <col min="522" max="522" width="8.88671875" style="98"/>
    <col min="523" max="523" width="17.88671875" style="98" bestFit="1" customWidth="1"/>
    <col min="524" max="768" width="8.88671875" style="98"/>
    <col min="769" max="769" width="7.21875" style="98" customWidth="1"/>
    <col min="770" max="770" width="2.33203125" style="98" customWidth="1"/>
    <col min="771" max="771" width="6.33203125" style="98" customWidth="1"/>
    <col min="772" max="772" width="33.44140625" style="98" customWidth="1"/>
    <col min="773" max="773" width="18" style="98" customWidth="1"/>
    <col min="774" max="774" width="27.6640625" style="98" customWidth="1"/>
    <col min="775" max="775" width="28.88671875" style="98" bestFit="1" customWidth="1"/>
    <col min="776" max="776" width="3" style="98" customWidth="1"/>
    <col min="777" max="777" width="23.44140625" style="98" customWidth="1"/>
    <col min="778" max="778" width="8.88671875" style="98"/>
    <col min="779" max="779" width="17.88671875" style="98" bestFit="1" customWidth="1"/>
    <col min="780" max="1024" width="8.88671875" style="98"/>
    <col min="1025" max="1025" width="7.21875" style="98" customWidth="1"/>
    <col min="1026" max="1026" width="2.33203125" style="98" customWidth="1"/>
    <col min="1027" max="1027" width="6.33203125" style="98" customWidth="1"/>
    <col min="1028" max="1028" width="33.44140625" style="98" customWidth="1"/>
    <col min="1029" max="1029" width="18" style="98" customWidth="1"/>
    <col min="1030" max="1030" width="27.6640625" style="98" customWidth="1"/>
    <col min="1031" max="1031" width="28.88671875" style="98" bestFit="1" customWidth="1"/>
    <col min="1032" max="1032" width="3" style="98" customWidth="1"/>
    <col min="1033" max="1033" width="23.44140625" style="98" customWidth="1"/>
    <col min="1034" max="1034" width="8.88671875" style="98"/>
    <col min="1035" max="1035" width="17.88671875" style="98" bestFit="1" customWidth="1"/>
    <col min="1036" max="1280" width="8.88671875" style="98"/>
    <col min="1281" max="1281" width="7.21875" style="98" customWidth="1"/>
    <col min="1282" max="1282" width="2.33203125" style="98" customWidth="1"/>
    <col min="1283" max="1283" width="6.33203125" style="98" customWidth="1"/>
    <col min="1284" max="1284" width="33.44140625" style="98" customWidth="1"/>
    <col min="1285" max="1285" width="18" style="98" customWidth="1"/>
    <col min="1286" max="1286" width="27.6640625" style="98" customWidth="1"/>
    <col min="1287" max="1287" width="28.88671875" style="98" bestFit="1" customWidth="1"/>
    <col min="1288" max="1288" width="3" style="98" customWidth="1"/>
    <col min="1289" max="1289" width="23.44140625" style="98" customWidth="1"/>
    <col min="1290" max="1290" width="8.88671875" style="98"/>
    <col min="1291" max="1291" width="17.88671875" style="98" bestFit="1" customWidth="1"/>
    <col min="1292" max="1536" width="8.88671875" style="98"/>
    <col min="1537" max="1537" width="7.21875" style="98" customWidth="1"/>
    <col min="1538" max="1538" width="2.33203125" style="98" customWidth="1"/>
    <col min="1539" max="1539" width="6.33203125" style="98" customWidth="1"/>
    <col min="1540" max="1540" width="33.44140625" style="98" customWidth="1"/>
    <col min="1541" max="1541" width="18" style="98" customWidth="1"/>
    <col min="1542" max="1542" width="27.6640625" style="98" customWidth="1"/>
    <col min="1543" max="1543" width="28.88671875" style="98" bestFit="1" customWidth="1"/>
    <col min="1544" max="1544" width="3" style="98" customWidth="1"/>
    <col min="1545" max="1545" width="23.44140625" style="98" customWidth="1"/>
    <col min="1546" max="1546" width="8.88671875" style="98"/>
    <col min="1547" max="1547" width="17.88671875" style="98" bestFit="1" customWidth="1"/>
    <col min="1548" max="1792" width="8.88671875" style="98"/>
    <col min="1793" max="1793" width="7.21875" style="98" customWidth="1"/>
    <col min="1794" max="1794" width="2.33203125" style="98" customWidth="1"/>
    <col min="1795" max="1795" width="6.33203125" style="98" customWidth="1"/>
    <col min="1796" max="1796" width="33.44140625" style="98" customWidth="1"/>
    <col min="1797" max="1797" width="18" style="98" customWidth="1"/>
    <col min="1798" max="1798" width="27.6640625" style="98" customWidth="1"/>
    <col min="1799" max="1799" width="28.88671875" style="98" bestFit="1" customWidth="1"/>
    <col min="1800" max="1800" width="3" style="98" customWidth="1"/>
    <col min="1801" max="1801" width="23.44140625" style="98" customWidth="1"/>
    <col min="1802" max="1802" width="8.88671875" style="98"/>
    <col min="1803" max="1803" width="17.88671875" style="98" bestFit="1" customWidth="1"/>
    <col min="1804" max="2048" width="8.88671875" style="98"/>
    <col min="2049" max="2049" width="7.21875" style="98" customWidth="1"/>
    <col min="2050" max="2050" width="2.33203125" style="98" customWidth="1"/>
    <col min="2051" max="2051" width="6.33203125" style="98" customWidth="1"/>
    <col min="2052" max="2052" width="33.44140625" style="98" customWidth="1"/>
    <col min="2053" max="2053" width="18" style="98" customWidth="1"/>
    <col min="2054" max="2054" width="27.6640625" style="98" customWidth="1"/>
    <col min="2055" max="2055" width="28.88671875" style="98" bestFit="1" customWidth="1"/>
    <col min="2056" max="2056" width="3" style="98" customWidth="1"/>
    <col min="2057" max="2057" width="23.44140625" style="98" customWidth="1"/>
    <col min="2058" max="2058" width="8.88671875" style="98"/>
    <col min="2059" max="2059" width="17.88671875" style="98" bestFit="1" customWidth="1"/>
    <col min="2060" max="2304" width="8.88671875" style="98"/>
    <col min="2305" max="2305" width="7.21875" style="98" customWidth="1"/>
    <col min="2306" max="2306" width="2.33203125" style="98" customWidth="1"/>
    <col min="2307" max="2307" width="6.33203125" style="98" customWidth="1"/>
    <col min="2308" max="2308" width="33.44140625" style="98" customWidth="1"/>
    <col min="2309" max="2309" width="18" style="98" customWidth="1"/>
    <col min="2310" max="2310" width="27.6640625" style="98" customWidth="1"/>
    <col min="2311" max="2311" width="28.88671875" style="98" bestFit="1" customWidth="1"/>
    <col min="2312" max="2312" width="3" style="98" customWidth="1"/>
    <col min="2313" max="2313" width="23.44140625" style="98" customWidth="1"/>
    <col min="2314" max="2314" width="8.88671875" style="98"/>
    <col min="2315" max="2315" width="17.88671875" style="98" bestFit="1" customWidth="1"/>
    <col min="2316" max="2560" width="8.88671875" style="98"/>
    <col min="2561" max="2561" width="7.21875" style="98" customWidth="1"/>
    <col min="2562" max="2562" width="2.33203125" style="98" customWidth="1"/>
    <col min="2563" max="2563" width="6.33203125" style="98" customWidth="1"/>
    <col min="2564" max="2564" width="33.44140625" style="98" customWidth="1"/>
    <col min="2565" max="2565" width="18" style="98" customWidth="1"/>
    <col min="2566" max="2566" width="27.6640625" style="98" customWidth="1"/>
    <col min="2567" max="2567" width="28.88671875" style="98" bestFit="1" customWidth="1"/>
    <col min="2568" max="2568" width="3" style="98" customWidth="1"/>
    <col min="2569" max="2569" width="23.44140625" style="98" customWidth="1"/>
    <col min="2570" max="2570" width="8.88671875" style="98"/>
    <col min="2571" max="2571" width="17.88671875" style="98" bestFit="1" customWidth="1"/>
    <col min="2572" max="2816" width="8.88671875" style="98"/>
    <col min="2817" max="2817" width="7.21875" style="98" customWidth="1"/>
    <col min="2818" max="2818" width="2.33203125" style="98" customWidth="1"/>
    <col min="2819" max="2819" width="6.33203125" style="98" customWidth="1"/>
    <col min="2820" max="2820" width="33.44140625" style="98" customWidth="1"/>
    <col min="2821" max="2821" width="18" style="98" customWidth="1"/>
    <col min="2822" max="2822" width="27.6640625" style="98" customWidth="1"/>
    <col min="2823" max="2823" width="28.88671875" style="98" bestFit="1" customWidth="1"/>
    <col min="2824" max="2824" width="3" style="98" customWidth="1"/>
    <col min="2825" max="2825" width="23.44140625" style="98" customWidth="1"/>
    <col min="2826" max="2826" width="8.88671875" style="98"/>
    <col min="2827" max="2827" width="17.88671875" style="98" bestFit="1" customWidth="1"/>
    <col min="2828" max="3072" width="8.88671875" style="98"/>
    <col min="3073" max="3073" width="7.21875" style="98" customWidth="1"/>
    <col min="3074" max="3074" width="2.33203125" style="98" customWidth="1"/>
    <col min="3075" max="3075" width="6.33203125" style="98" customWidth="1"/>
    <col min="3076" max="3076" width="33.44140625" style="98" customWidth="1"/>
    <col min="3077" max="3077" width="18" style="98" customWidth="1"/>
    <col min="3078" max="3078" width="27.6640625" style="98" customWidth="1"/>
    <col min="3079" max="3079" width="28.88671875" style="98" bestFit="1" customWidth="1"/>
    <col min="3080" max="3080" width="3" style="98" customWidth="1"/>
    <col min="3081" max="3081" width="23.44140625" style="98" customWidth="1"/>
    <col min="3082" max="3082" width="8.88671875" style="98"/>
    <col min="3083" max="3083" width="17.88671875" style="98" bestFit="1" customWidth="1"/>
    <col min="3084" max="3328" width="8.88671875" style="98"/>
    <col min="3329" max="3329" width="7.21875" style="98" customWidth="1"/>
    <col min="3330" max="3330" width="2.33203125" style="98" customWidth="1"/>
    <col min="3331" max="3331" width="6.33203125" style="98" customWidth="1"/>
    <col min="3332" max="3332" width="33.44140625" style="98" customWidth="1"/>
    <col min="3333" max="3333" width="18" style="98" customWidth="1"/>
    <col min="3334" max="3334" width="27.6640625" style="98" customWidth="1"/>
    <col min="3335" max="3335" width="28.88671875" style="98" bestFit="1" customWidth="1"/>
    <col min="3336" max="3336" width="3" style="98" customWidth="1"/>
    <col min="3337" max="3337" width="23.44140625" style="98" customWidth="1"/>
    <col min="3338" max="3338" width="8.88671875" style="98"/>
    <col min="3339" max="3339" width="17.88671875" style="98" bestFit="1" customWidth="1"/>
    <col min="3340" max="3584" width="8.88671875" style="98"/>
    <col min="3585" max="3585" width="7.21875" style="98" customWidth="1"/>
    <col min="3586" max="3586" width="2.33203125" style="98" customWidth="1"/>
    <col min="3587" max="3587" width="6.33203125" style="98" customWidth="1"/>
    <col min="3588" max="3588" width="33.44140625" style="98" customWidth="1"/>
    <col min="3589" max="3589" width="18" style="98" customWidth="1"/>
    <col min="3590" max="3590" width="27.6640625" style="98" customWidth="1"/>
    <col min="3591" max="3591" width="28.88671875" style="98" bestFit="1" customWidth="1"/>
    <col min="3592" max="3592" width="3" style="98" customWidth="1"/>
    <col min="3593" max="3593" width="23.44140625" style="98" customWidth="1"/>
    <col min="3594" max="3594" width="8.88671875" style="98"/>
    <col min="3595" max="3595" width="17.88671875" style="98" bestFit="1" customWidth="1"/>
    <col min="3596" max="3840" width="8.88671875" style="98"/>
    <col min="3841" max="3841" width="7.21875" style="98" customWidth="1"/>
    <col min="3842" max="3842" width="2.33203125" style="98" customWidth="1"/>
    <col min="3843" max="3843" width="6.33203125" style="98" customWidth="1"/>
    <col min="3844" max="3844" width="33.44140625" style="98" customWidth="1"/>
    <col min="3845" max="3845" width="18" style="98" customWidth="1"/>
    <col min="3846" max="3846" width="27.6640625" style="98" customWidth="1"/>
    <col min="3847" max="3847" width="28.88671875" style="98" bestFit="1" customWidth="1"/>
    <col min="3848" max="3848" width="3" style="98" customWidth="1"/>
    <col min="3849" max="3849" width="23.44140625" style="98" customWidth="1"/>
    <col min="3850" max="3850" width="8.88671875" style="98"/>
    <col min="3851" max="3851" width="17.88671875" style="98" bestFit="1" customWidth="1"/>
    <col min="3852" max="4096" width="8.88671875" style="98"/>
    <col min="4097" max="4097" width="7.21875" style="98" customWidth="1"/>
    <col min="4098" max="4098" width="2.33203125" style="98" customWidth="1"/>
    <col min="4099" max="4099" width="6.33203125" style="98" customWidth="1"/>
    <col min="4100" max="4100" width="33.44140625" style="98" customWidth="1"/>
    <col min="4101" max="4101" width="18" style="98" customWidth="1"/>
    <col min="4102" max="4102" width="27.6640625" style="98" customWidth="1"/>
    <col min="4103" max="4103" width="28.88671875" style="98" bestFit="1" customWidth="1"/>
    <col min="4104" max="4104" width="3" style="98" customWidth="1"/>
    <col min="4105" max="4105" width="23.44140625" style="98" customWidth="1"/>
    <col min="4106" max="4106" width="8.88671875" style="98"/>
    <col min="4107" max="4107" width="17.88671875" style="98" bestFit="1" customWidth="1"/>
    <col min="4108" max="4352" width="8.88671875" style="98"/>
    <col min="4353" max="4353" width="7.21875" style="98" customWidth="1"/>
    <col min="4354" max="4354" width="2.33203125" style="98" customWidth="1"/>
    <col min="4355" max="4355" width="6.33203125" style="98" customWidth="1"/>
    <col min="4356" max="4356" width="33.44140625" style="98" customWidth="1"/>
    <col min="4357" max="4357" width="18" style="98" customWidth="1"/>
    <col min="4358" max="4358" width="27.6640625" style="98" customWidth="1"/>
    <col min="4359" max="4359" width="28.88671875" style="98" bestFit="1" customWidth="1"/>
    <col min="4360" max="4360" width="3" style="98" customWidth="1"/>
    <col min="4361" max="4361" width="23.44140625" style="98" customWidth="1"/>
    <col min="4362" max="4362" width="8.88671875" style="98"/>
    <col min="4363" max="4363" width="17.88671875" style="98" bestFit="1" customWidth="1"/>
    <col min="4364" max="4608" width="8.88671875" style="98"/>
    <col min="4609" max="4609" width="7.21875" style="98" customWidth="1"/>
    <col min="4610" max="4610" width="2.33203125" style="98" customWidth="1"/>
    <col min="4611" max="4611" width="6.33203125" style="98" customWidth="1"/>
    <col min="4612" max="4612" width="33.44140625" style="98" customWidth="1"/>
    <col min="4613" max="4613" width="18" style="98" customWidth="1"/>
    <col min="4614" max="4614" width="27.6640625" style="98" customWidth="1"/>
    <col min="4615" max="4615" width="28.88671875" style="98" bestFit="1" customWidth="1"/>
    <col min="4616" max="4616" width="3" style="98" customWidth="1"/>
    <col min="4617" max="4617" width="23.44140625" style="98" customWidth="1"/>
    <col min="4618" max="4618" width="8.88671875" style="98"/>
    <col min="4619" max="4619" width="17.88671875" style="98" bestFit="1" customWidth="1"/>
    <col min="4620" max="4864" width="8.88671875" style="98"/>
    <col min="4865" max="4865" width="7.21875" style="98" customWidth="1"/>
    <col min="4866" max="4866" width="2.33203125" style="98" customWidth="1"/>
    <col min="4867" max="4867" width="6.33203125" style="98" customWidth="1"/>
    <col min="4868" max="4868" width="33.44140625" style="98" customWidth="1"/>
    <col min="4869" max="4869" width="18" style="98" customWidth="1"/>
    <col min="4870" max="4870" width="27.6640625" style="98" customWidth="1"/>
    <col min="4871" max="4871" width="28.88671875" style="98" bestFit="1" customWidth="1"/>
    <col min="4872" max="4872" width="3" style="98" customWidth="1"/>
    <col min="4873" max="4873" width="23.44140625" style="98" customWidth="1"/>
    <col min="4874" max="4874" width="8.88671875" style="98"/>
    <col min="4875" max="4875" width="17.88671875" style="98" bestFit="1" customWidth="1"/>
    <col min="4876" max="5120" width="8.88671875" style="98"/>
    <col min="5121" max="5121" width="7.21875" style="98" customWidth="1"/>
    <col min="5122" max="5122" width="2.33203125" style="98" customWidth="1"/>
    <col min="5123" max="5123" width="6.33203125" style="98" customWidth="1"/>
    <col min="5124" max="5124" width="33.44140625" style="98" customWidth="1"/>
    <col min="5125" max="5125" width="18" style="98" customWidth="1"/>
    <col min="5126" max="5126" width="27.6640625" style="98" customWidth="1"/>
    <col min="5127" max="5127" width="28.88671875" style="98" bestFit="1" customWidth="1"/>
    <col min="5128" max="5128" width="3" style="98" customWidth="1"/>
    <col min="5129" max="5129" width="23.44140625" style="98" customWidth="1"/>
    <col min="5130" max="5130" width="8.88671875" style="98"/>
    <col min="5131" max="5131" width="17.88671875" style="98" bestFit="1" customWidth="1"/>
    <col min="5132" max="5376" width="8.88671875" style="98"/>
    <col min="5377" max="5377" width="7.21875" style="98" customWidth="1"/>
    <col min="5378" max="5378" width="2.33203125" style="98" customWidth="1"/>
    <col min="5379" max="5379" width="6.33203125" style="98" customWidth="1"/>
    <col min="5380" max="5380" width="33.44140625" style="98" customWidth="1"/>
    <col min="5381" max="5381" width="18" style="98" customWidth="1"/>
    <col min="5382" max="5382" width="27.6640625" style="98" customWidth="1"/>
    <col min="5383" max="5383" width="28.88671875" style="98" bestFit="1" customWidth="1"/>
    <col min="5384" max="5384" width="3" style="98" customWidth="1"/>
    <col min="5385" max="5385" width="23.44140625" style="98" customWidth="1"/>
    <col min="5386" max="5386" width="8.88671875" style="98"/>
    <col min="5387" max="5387" width="17.88671875" style="98" bestFit="1" customWidth="1"/>
    <col min="5388" max="5632" width="8.88671875" style="98"/>
    <col min="5633" max="5633" width="7.21875" style="98" customWidth="1"/>
    <col min="5634" max="5634" width="2.33203125" style="98" customWidth="1"/>
    <col min="5635" max="5635" width="6.33203125" style="98" customWidth="1"/>
    <col min="5636" max="5636" width="33.44140625" style="98" customWidth="1"/>
    <col min="5637" max="5637" width="18" style="98" customWidth="1"/>
    <col min="5638" max="5638" width="27.6640625" style="98" customWidth="1"/>
    <col min="5639" max="5639" width="28.88671875" style="98" bestFit="1" customWidth="1"/>
    <col min="5640" max="5640" width="3" style="98" customWidth="1"/>
    <col min="5641" max="5641" width="23.44140625" style="98" customWidth="1"/>
    <col min="5642" max="5642" width="8.88671875" style="98"/>
    <col min="5643" max="5643" width="17.88671875" style="98" bestFit="1" customWidth="1"/>
    <col min="5644" max="5888" width="8.88671875" style="98"/>
    <col min="5889" max="5889" width="7.21875" style="98" customWidth="1"/>
    <col min="5890" max="5890" width="2.33203125" style="98" customWidth="1"/>
    <col min="5891" max="5891" width="6.33203125" style="98" customWidth="1"/>
    <col min="5892" max="5892" width="33.44140625" style="98" customWidth="1"/>
    <col min="5893" max="5893" width="18" style="98" customWidth="1"/>
    <col min="5894" max="5894" width="27.6640625" style="98" customWidth="1"/>
    <col min="5895" max="5895" width="28.88671875" style="98" bestFit="1" customWidth="1"/>
    <col min="5896" max="5896" width="3" style="98" customWidth="1"/>
    <col min="5897" max="5897" width="23.44140625" style="98" customWidth="1"/>
    <col min="5898" max="5898" width="8.88671875" style="98"/>
    <col min="5899" max="5899" width="17.88671875" style="98" bestFit="1" customWidth="1"/>
    <col min="5900" max="6144" width="8.88671875" style="98"/>
    <col min="6145" max="6145" width="7.21875" style="98" customWidth="1"/>
    <col min="6146" max="6146" width="2.33203125" style="98" customWidth="1"/>
    <col min="6147" max="6147" width="6.33203125" style="98" customWidth="1"/>
    <col min="6148" max="6148" width="33.44140625" style="98" customWidth="1"/>
    <col min="6149" max="6149" width="18" style="98" customWidth="1"/>
    <col min="6150" max="6150" width="27.6640625" style="98" customWidth="1"/>
    <col min="6151" max="6151" width="28.88671875" style="98" bestFit="1" customWidth="1"/>
    <col min="6152" max="6152" width="3" style="98" customWidth="1"/>
    <col min="6153" max="6153" width="23.44140625" style="98" customWidth="1"/>
    <col min="6154" max="6154" width="8.88671875" style="98"/>
    <col min="6155" max="6155" width="17.88671875" style="98" bestFit="1" customWidth="1"/>
    <col min="6156" max="6400" width="8.88671875" style="98"/>
    <col min="6401" max="6401" width="7.21875" style="98" customWidth="1"/>
    <col min="6402" max="6402" width="2.33203125" style="98" customWidth="1"/>
    <col min="6403" max="6403" width="6.33203125" style="98" customWidth="1"/>
    <col min="6404" max="6404" width="33.44140625" style="98" customWidth="1"/>
    <col min="6405" max="6405" width="18" style="98" customWidth="1"/>
    <col min="6406" max="6406" width="27.6640625" style="98" customWidth="1"/>
    <col min="6407" max="6407" width="28.88671875" style="98" bestFit="1" customWidth="1"/>
    <col min="6408" max="6408" width="3" style="98" customWidth="1"/>
    <col min="6409" max="6409" width="23.44140625" style="98" customWidth="1"/>
    <col min="6410" max="6410" width="8.88671875" style="98"/>
    <col min="6411" max="6411" width="17.88671875" style="98" bestFit="1" customWidth="1"/>
    <col min="6412" max="6656" width="8.88671875" style="98"/>
    <col min="6657" max="6657" width="7.21875" style="98" customWidth="1"/>
    <col min="6658" max="6658" width="2.33203125" style="98" customWidth="1"/>
    <col min="6659" max="6659" width="6.33203125" style="98" customWidth="1"/>
    <col min="6660" max="6660" width="33.44140625" style="98" customWidth="1"/>
    <col min="6661" max="6661" width="18" style="98" customWidth="1"/>
    <col min="6662" max="6662" width="27.6640625" style="98" customWidth="1"/>
    <col min="6663" max="6663" width="28.88671875" style="98" bestFit="1" customWidth="1"/>
    <col min="6664" max="6664" width="3" style="98" customWidth="1"/>
    <col min="6665" max="6665" width="23.44140625" style="98" customWidth="1"/>
    <col min="6666" max="6666" width="8.88671875" style="98"/>
    <col min="6667" max="6667" width="17.88671875" style="98" bestFit="1" customWidth="1"/>
    <col min="6668" max="6912" width="8.88671875" style="98"/>
    <col min="6913" max="6913" width="7.21875" style="98" customWidth="1"/>
    <col min="6914" max="6914" width="2.33203125" style="98" customWidth="1"/>
    <col min="6915" max="6915" width="6.33203125" style="98" customWidth="1"/>
    <col min="6916" max="6916" width="33.44140625" style="98" customWidth="1"/>
    <col min="6917" max="6917" width="18" style="98" customWidth="1"/>
    <col min="6918" max="6918" width="27.6640625" style="98" customWidth="1"/>
    <col min="6919" max="6919" width="28.88671875" style="98" bestFit="1" customWidth="1"/>
    <col min="6920" max="6920" width="3" style="98" customWidth="1"/>
    <col min="6921" max="6921" width="23.44140625" style="98" customWidth="1"/>
    <col min="6922" max="6922" width="8.88671875" style="98"/>
    <col min="6923" max="6923" width="17.88671875" style="98" bestFit="1" customWidth="1"/>
    <col min="6924" max="7168" width="8.88671875" style="98"/>
    <col min="7169" max="7169" width="7.21875" style="98" customWidth="1"/>
    <col min="7170" max="7170" width="2.33203125" style="98" customWidth="1"/>
    <col min="7171" max="7171" width="6.33203125" style="98" customWidth="1"/>
    <col min="7172" max="7172" width="33.44140625" style="98" customWidth="1"/>
    <col min="7173" max="7173" width="18" style="98" customWidth="1"/>
    <col min="7174" max="7174" width="27.6640625" style="98" customWidth="1"/>
    <col min="7175" max="7175" width="28.88671875" style="98" bestFit="1" customWidth="1"/>
    <col min="7176" max="7176" width="3" style="98" customWidth="1"/>
    <col min="7177" max="7177" width="23.44140625" style="98" customWidth="1"/>
    <col min="7178" max="7178" width="8.88671875" style="98"/>
    <col min="7179" max="7179" width="17.88671875" style="98" bestFit="1" customWidth="1"/>
    <col min="7180" max="7424" width="8.88671875" style="98"/>
    <col min="7425" max="7425" width="7.21875" style="98" customWidth="1"/>
    <col min="7426" max="7426" width="2.33203125" style="98" customWidth="1"/>
    <col min="7427" max="7427" width="6.33203125" style="98" customWidth="1"/>
    <col min="7428" max="7428" width="33.44140625" style="98" customWidth="1"/>
    <col min="7429" max="7429" width="18" style="98" customWidth="1"/>
    <col min="7430" max="7430" width="27.6640625" style="98" customWidth="1"/>
    <col min="7431" max="7431" width="28.88671875" style="98" bestFit="1" customWidth="1"/>
    <col min="7432" max="7432" width="3" style="98" customWidth="1"/>
    <col min="7433" max="7433" width="23.44140625" style="98" customWidth="1"/>
    <col min="7434" max="7434" width="8.88671875" style="98"/>
    <col min="7435" max="7435" width="17.88671875" style="98" bestFit="1" customWidth="1"/>
    <col min="7436" max="7680" width="8.88671875" style="98"/>
    <col min="7681" max="7681" width="7.21875" style="98" customWidth="1"/>
    <col min="7682" max="7682" width="2.33203125" style="98" customWidth="1"/>
    <col min="7683" max="7683" width="6.33203125" style="98" customWidth="1"/>
    <col min="7684" max="7684" width="33.44140625" style="98" customWidth="1"/>
    <col min="7685" max="7685" width="18" style="98" customWidth="1"/>
    <col min="7686" max="7686" width="27.6640625" style="98" customWidth="1"/>
    <col min="7687" max="7687" width="28.88671875" style="98" bestFit="1" customWidth="1"/>
    <col min="7688" max="7688" width="3" style="98" customWidth="1"/>
    <col min="7689" max="7689" width="23.44140625" style="98" customWidth="1"/>
    <col min="7690" max="7690" width="8.88671875" style="98"/>
    <col min="7691" max="7691" width="17.88671875" style="98" bestFit="1" customWidth="1"/>
    <col min="7692" max="7936" width="8.88671875" style="98"/>
    <col min="7937" max="7937" width="7.21875" style="98" customWidth="1"/>
    <col min="7938" max="7938" width="2.33203125" style="98" customWidth="1"/>
    <col min="7939" max="7939" width="6.33203125" style="98" customWidth="1"/>
    <col min="7940" max="7940" width="33.44140625" style="98" customWidth="1"/>
    <col min="7941" max="7941" width="18" style="98" customWidth="1"/>
    <col min="7942" max="7942" width="27.6640625" style="98" customWidth="1"/>
    <col min="7943" max="7943" width="28.88671875" style="98" bestFit="1" customWidth="1"/>
    <col min="7944" max="7944" width="3" style="98" customWidth="1"/>
    <col min="7945" max="7945" width="23.44140625" style="98" customWidth="1"/>
    <col min="7946" max="7946" width="8.88671875" style="98"/>
    <col min="7947" max="7947" width="17.88671875" style="98" bestFit="1" customWidth="1"/>
    <col min="7948" max="8192" width="8.88671875" style="98"/>
    <col min="8193" max="8193" width="7.21875" style="98" customWidth="1"/>
    <col min="8194" max="8194" width="2.33203125" style="98" customWidth="1"/>
    <col min="8195" max="8195" width="6.33203125" style="98" customWidth="1"/>
    <col min="8196" max="8196" width="33.44140625" style="98" customWidth="1"/>
    <col min="8197" max="8197" width="18" style="98" customWidth="1"/>
    <col min="8198" max="8198" width="27.6640625" style="98" customWidth="1"/>
    <col min="8199" max="8199" width="28.88671875" style="98" bestFit="1" customWidth="1"/>
    <col min="8200" max="8200" width="3" style="98" customWidth="1"/>
    <col min="8201" max="8201" width="23.44140625" style="98" customWidth="1"/>
    <col min="8202" max="8202" width="8.88671875" style="98"/>
    <col min="8203" max="8203" width="17.88671875" style="98" bestFit="1" customWidth="1"/>
    <col min="8204" max="8448" width="8.88671875" style="98"/>
    <col min="8449" max="8449" width="7.21875" style="98" customWidth="1"/>
    <col min="8450" max="8450" width="2.33203125" style="98" customWidth="1"/>
    <col min="8451" max="8451" width="6.33203125" style="98" customWidth="1"/>
    <col min="8452" max="8452" width="33.44140625" style="98" customWidth="1"/>
    <col min="8453" max="8453" width="18" style="98" customWidth="1"/>
    <col min="8454" max="8454" width="27.6640625" style="98" customWidth="1"/>
    <col min="8455" max="8455" width="28.88671875" style="98" bestFit="1" customWidth="1"/>
    <col min="8456" max="8456" width="3" style="98" customWidth="1"/>
    <col min="8457" max="8457" width="23.44140625" style="98" customWidth="1"/>
    <col min="8458" max="8458" width="8.88671875" style="98"/>
    <col min="8459" max="8459" width="17.88671875" style="98" bestFit="1" customWidth="1"/>
    <col min="8460" max="8704" width="8.88671875" style="98"/>
    <col min="8705" max="8705" width="7.21875" style="98" customWidth="1"/>
    <col min="8706" max="8706" width="2.33203125" style="98" customWidth="1"/>
    <col min="8707" max="8707" width="6.33203125" style="98" customWidth="1"/>
    <col min="8708" max="8708" width="33.44140625" style="98" customWidth="1"/>
    <col min="8709" max="8709" width="18" style="98" customWidth="1"/>
    <col min="8710" max="8710" width="27.6640625" style="98" customWidth="1"/>
    <col min="8711" max="8711" width="28.88671875" style="98" bestFit="1" customWidth="1"/>
    <col min="8712" max="8712" width="3" style="98" customWidth="1"/>
    <col min="8713" max="8713" width="23.44140625" style="98" customWidth="1"/>
    <col min="8714" max="8714" width="8.88671875" style="98"/>
    <col min="8715" max="8715" width="17.88671875" style="98" bestFit="1" customWidth="1"/>
    <col min="8716" max="8960" width="8.88671875" style="98"/>
    <col min="8961" max="8961" width="7.21875" style="98" customWidth="1"/>
    <col min="8962" max="8962" width="2.33203125" style="98" customWidth="1"/>
    <col min="8963" max="8963" width="6.33203125" style="98" customWidth="1"/>
    <col min="8964" max="8964" width="33.44140625" style="98" customWidth="1"/>
    <col min="8965" max="8965" width="18" style="98" customWidth="1"/>
    <col min="8966" max="8966" width="27.6640625" style="98" customWidth="1"/>
    <col min="8967" max="8967" width="28.88671875" style="98" bestFit="1" customWidth="1"/>
    <col min="8968" max="8968" width="3" style="98" customWidth="1"/>
    <col min="8969" max="8969" width="23.44140625" style="98" customWidth="1"/>
    <col min="8970" max="8970" width="8.88671875" style="98"/>
    <col min="8971" max="8971" width="17.88671875" style="98" bestFit="1" customWidth="1"/>
    <col min="8972" max="9216" width="8.88671875" style="98"/>
    <col min="9217" max="9217" width="7.21875" style="98" customWidth="1"/>
    <col min="9218" max="9218" width="2.33203125" style="98" customWidth="1"/>
    <col min="9219" max="9219" width="6.33203125" style="98" customWidth="1"/>
    <col min="9220" max="9220" width="33.44140625" style="98" customWidth="1"/>
    <col min="9221" max="9221" width="18" style="98" customWidth="1"/>
    <col min="9222" max="9222" width="27.6640625" style="98" customWidth="1"/>
    <col min="9223" max="9223" width="28.88671875" style="98" bestFit="1" customWidth="1"/>
    <col min="9224" max="9224" width="3" style="98" customWidth="1"/>
    <col min="9225" max="9225" width="23.44140625" style="98" customWidth="1"/>
    <col min="9226" max="9226" width="8.88671875" style="98"/>
    <col min="9227" max="9227" width="17.88671875" style="98" bestFit="1" customWidth="1"/>
    <col min="9228" max="9472" width="8.88671875" style="98"/>
    <col min="9473" max="9473" width="7.21875" style="98" customWidth="1"/>
    <col min="9474" max="9474" width="2.33203125" style="98" customWidth="1"/>
    <col min="9475" max="9475" width="6.33203125" style="98" customWidth="1"/>
    <col min="9476" max="9476" width="33.44140625" style="98" customWidth="1"/>
    <col min="9477" max="9477" width="18" style="98" customWidth="1"/>
    <col min="9478" max="9478" width="27.6640625" style="98" customWidth="1"/>
    <col min="9479" max="9479" width="28.88671875" style="98" bestFit="1" customWidth="1"/>
    <col min="9480" max="9480" width="3" style="98" customWidth="1"/>
    <col min="9481" max="9481" width="23.44140625" style="98" customWidth="1"/>
    <col min="9482" max="9482" width="8.88671875" style="98"/>
    <col min="9483" max="9483" width="17.88671875" style="98" bestFit="1" customWidth="1"/>
    <col min="9484" max="9728" width="8.88671875" style="98"/>
    <col min="9729" max="9729" width="7.21875" style="98" customWidth="1"/>
    <col min="9730" max="9730" width="2.33203125" style="98" customWidth="1"/>
    <col min="9731" max="9731" width="6.33203125" style="98" customWidth="1"/>
    <col min="9732" max="9732" width="33.44140625" style="98" customWidth="1"/>
    <col min="9733" max="9733" width="18" style="98" customWidth="1"/>
    <col min="9734" max="9734" width="27.6640625" style="98" customWidth="1"/>
    <col min="9735" max="9735" width="28.88671875" style="98" bestFit="1" customWidth="1"/>
    <col min="9736" max="9736" width="3" style="98" customWidth="1"/>
    <col min="9737" max="9737" width="23.44140625" style="98" customWidth="1"/>
    <col min="9738" max="9738" width="8.88671875" style="98"/>
    <col min="9739" max="9739" width="17.88671875" style="98" bestFit="1" customWidth="1"/>
    <col min="9740" max="9984" width="8.88671875" style="98"/>
    <col min="9985" max="9985" width="7.21875" style="98" customWidth="1"/>
    <col min="9986" max="9986" width="2.33203125" style="98" customWidth="1"/>
    <col min="9987" max="9987" width="6.33203125" style="98" customWidth="1"/>
    <col min="9988" max="9988" width="33.44140625" style="98" customWidth="1"/>
    <col min="9989" max="9989" width="18" style="98" customWidth="1"/>
    <col min="9990" max="9990" width="27.6640625" style="98" customWidth="1"/>
    <col min="9991" max="9991" width="28.88671875" style="98" bestFit="1" customWidth="1"/>
    <col min="9992" max="9992" width="3" style="98" customWidth="1"/>
    <col min="9993" max="9993" width="23.44140625" style="98" customWidth="1"/>
    <col min="9994" max="9994" width="8.88671875" style="98"/>
    <col min="9995" max="9995" width="17.88671875" style="98" bestFit="1" customWidth="1"/>
    <col min="9996" max="10240" width="8.88671875" style="98"/>
    <col min="10241" max="10241" width="7.21875" style="98" customWidth="1"/>
    <col min="10242" max="10242" width="2.33203125" style="98" customWidth="1"/>
    <col min="10243" max="10243" width="6.33203125" style="98" customWidth="1"/>
    <col min="10244" max="10244" width="33.44140625" style="98" customWidth="1"/>
    <col min="10245" max="10245" width="18" style="98" customWidth="1"/>
    <col min="10246" max="10246" width="27.6640625" style="98" customWidth="1"/>
    <col min="10247" max="10247" width="28.88671875" style="98" bestFit="1" customWidth="1"/>
    <col min="10248" max="10248" width="3" style="98" customWidth="1"/>
    <col min="10249" max="10249" width="23.44140625" style="98" customWidth="1"/>
    <col min="10250" max="10250" width="8.88671875" style="98"/>
    <col min="10251" max="10251" width="17.88671875" style="98" bestFit="1" customWidth="1"/>
    <col min="10252" max="10496" width="8.88671875" style="98"/>
    <col min="10497" max="10497" width="7.21875" style="98" customWidth="1"/>
    <col min="10498" max="10498" width="2.33203125" style="98" customWidth="1"/>
    <col min="10499" max="10499" width="6.33203125" style="98" customWidth="1"/>
    <col min="10500" max="10500" width="33.44140625" style="98" customWidth="1"/>
    <col min="10501" max="10501" width="18" style="98" customWidth="1"/>
    <col min="10502" max="10502" width="27.6640625" style="98" customWidth="1"/>
    <col min="10503" max="10503" width="28.88671875" style="98" bestFit="1" customWidth="1"/>
    <col min="10504" max="10504" width="3" style="98" customWidth="1"/>
    <col min="10505" max="10505" width="23.44140625" style="98" customWidth="1"/>
    <col min="10506" max="10506" width="8.88671875" style="98"/>
    <col min="10507" max="10507" width="17.88671875" style="98" bestFit="1" customWidth="1"/>
    <col min="10508" max="10752" width="8.88671875" style="98"/>
    <col min="10753" max="10753" width="7.21875" style="98" customWidth="1"/>
    <col min="10754" max="10754" width="2.33203125" style="98" customWidth="1"/>
    <col min="10755" max="10755" width="6.33203125" style="98" customWidth="1"/>
    <col min="10756" max="10756" width="33.44140625" style="98" customWidth="1"/>
    <col min="10757" max="10757" width="18" style="98" customWidth="1"/>
    <col min="10758" max="10758" width="27.6640625" style="98" customWidth="1"/>
    <col min="10759" max="10759" width="28.88671875" style="98" bestFit="1" customWidth="1"/>
    <col min="10760" max="10760" width="3" style="98" customWidth="1"/>
    <col min="10761" max="10761" width="23.44140625" style="98" customWidth="1"/>
    <col min="10762" max="10762" width="8.88671875" style="98"/>
    <col min="10763" max="10763" width="17.88671875" style="98" bestFit="1" customWidth="1"/>
    <col min="10764" max="11008" width="8.88671875" style="98"/>
    <col min="11009" max="11009" width="7.21875" style="98" customWidth="1"/>
    <col min="11010" max="11010" width="2.33203125" style="98" customWidth="1"/>
    <col min="11011" max="11011" width="6.33203125" style="98" customWidth="1"/>
    <col min="11012" max="11012" width="33.44140625" style="98" customWidth="1"/>
    <col min="11013" max="11013" width="18" style="98" customWidth="1"/>
    <col min="11014" max="11014" width="27.6640625" style="98" customWidth="1"/>
    <col min="11015" max="11015" width="28.88671875" style="98" bestFit="1" customWidth="1"/>
    <col min="11016" max="11016" width="3" style="98" customWidth="1"/>
    <col min="11017" max="11017" width="23.44140625" style="98" customWidth="1"/>
    <col min="11018" max="11018" width="8.88671875" style="98"/>
    <col min="11019" max="11019" width="17.88671875" style="98" bestFit="1" customWidth="1"/>
    <col min="11020" max="11264" width="8.88671875" style="98"/>
    <col min="11265" max="11265" width="7.21875" style="98" customWidth="1"/>
    <col min="11266" max="11266" width="2.33203125" style="98" customWidth="1"/>
    <col min="11267" max="11267" width="6.33203125" style="98" customWidth="1"/>
    <col min="11268" max="11268" width="33.44140625" style="98" customWidth="1"/>
    <col min="11269" max="11269" width="18" style="98" customWidth="1"/>
    <col min="11270" max="11270" width="27.6640625" style="98" customWidth="1"/>
    <col min="11271" max="11271" width="28.88671875" style="98" bestFit="1" customWidth="1"/>
    <col min="11272" max="11272" width="3" style="98" customWidth="1"/>
    <col min="11273" max="11273" width="23.44140625" style="98" customWidth="1"/>
    <col min="11274" max="11274" width="8.88671875" style="98"/>
    <col min="11275" max="11275" width="17.88671875" style="98" bestFit="1" customWidth="1"/>
    <col min="11276" max="11520" width="8.88671875" style="98"/>
    <col min="11521" max="11521" width="7.21875" style="98" customWidth="1"/>
    <col min="11522" max="11522" width="2.33203125" style="98" customWidth="1"/>
    <col min="11523" max="11523" width="6.33203125" style="98" customWidth="1"/>
    <col min="11524" max="11524" width="33.44140625" style="98" customWidth="1"/>
    <col min="11525" max="11525" width="18" style="98" customWidth="1"/>
    <col min="11526" max="11526" width="27.6640625" style="98" customWidth="1"/>
    <col min="11527" max="11527" width="28.88671875" style="98" bestFit="1" customWidth="1"/>
    <col min="11528" max="11528" width="3" style="98" customWidth="1"/>
    <col min="11529" max="11529" width="23.44140625" style="98" customWidth="1"/>
    <col min="11530" max="11530" width="8.88671875" style="98"/>
    <col min="11531" max="11531" width="17.88671875" style="98" bestFit="1" customWidth="1"/>
    <col min="11532" max="11776" width="8.88671875" style="98"/>
    <col min="11777" max="11777" width="7.21875" style="98" customWidth="1"/>
    <col min="11778" max="11778" width="2.33203125" style="98" customWidth="1"/>
    <col min="11779" max="11779" width="6.33203125" style="98" customWidth="1"/>
    <col min="11780" max="11780" width="33.44140625" style="98" customWidth="1"/>
    <col min="11781" max="11781" width="18" style="98" customWidth="1"/>
    <col min="11782" max="11782" width="27.6640625" style="98" customWidth="1"/>
    <col min="11783" max="11783" width="28.88671875" style="98" bestFit="1" customWidth="1"/>
    <col min="11784" max="11784" width="3" style="98" customWidth="1"/>
    <col min="11785" max="11785" width="23.44140625" style="98" customWidth="1"/>
    <col min="11786" max="11786" width="8.88671875" style="98"/>
    <col min="11787" max="11787" width="17.88671875" style="98" bestFit="1" customWidth="1"/>
    <col min="11788" max="12032" width="8.88671875" style="98"/>
    <col min="12033" max="12033" width="7.21875" style="98" customWidth="1"/>
    <col min="12034" max="12034" width="2.33203125" style="98" customWidth="1"/>
    <col min="12035" max="12035" width="6.33203125" style="98" customWidth="1"/>
    <col min="12036" max="12036" width="33.44140625" style="98" customWidth="1"/>
    <col min="12037" max="12037" width="18" style="98" customWidth="1"/>
    <col min="12038" max="12038" width="27.6640625" style="98" customWidth="1"/>
    <col min="12039" max="12039" width="28.88671875" style="98" bestFit="1" customWidth="1"/>
    <col min="12040" max="12040" width="3" style="98" customWidth="1"/>
    <col min="12041" max="12041" width="23.44140625" style="98" customWidth="1"/>
    <col min="12042" max="12042" width="8.88671875" style="98"/>
    <col min="12043" max="12043" width="17.88671875" style="98" bestFit="1" customWidth="1"/>
    <col min="12044" max="12288" width="8.88671875" style="98"/>
    <col min="12289" max="12289" width="7.21875" style="98" customWidth="1"/>
    <col min="12290" max="12290" width="2.33203125" style="98" customWidth="1"/>
    <col min="12291" max="12291" width="6.33203125" style="98" customWidth="1"/>
    <col min="12292" max="12292" width="33.44140625" style="98" customWidth="1"/>
    <col min="12293" max="12293" width="18" style="98" customWidth="1"/>
    <col min="12294" max="12294" width="27.6640625" style="98" customWidth="1"/>
    <col min="12295" max="12295" width="28.88671875" style="98" bestFit="1" customWidth="1"/>
    <col min="12296" max="12296" width="3" style="98" customWidth="1"/>
    <col min="12297" max="12297" width="23.44140625" style="98" customWidth="1"/>
    <col min="12298" max="12298" width="8.88671875" style="98"/>
    <col min="12299" max="12299" width="17.88671875" style="98" bestFit="1" customWidth="1"/>
    <col min="12300" max="12544" width="8.88671875" style="98"/>
    <col min="12545" max="12545" width="7.21875" style="98" customWidth="1"/>
    <col min="12546" max="12546" width="2.33203125" style="98" customWidth="1"/>
    <col min="12547" max="12547" width="6.33203125" style="98" customWidth="1"/>
    <col min="12548" max="12548" width="33.44140625" style="98" customWidth="1"/>
    <col min="12549" max="12549" width="18" style="98" customWidth="1"/>
    <col min="12550" max="12550" width="27.6640625" style="98" customWidth="1"/>
    <col min="12551" max="12551" width="28.88671875" style="98" bestFit="1" customWidth="1"/>
    <col min="12552" max="12552" width="3" style="98" customWidth="1"/>
    <col min="12553" max="12553" width="23.44140625" style="98" customWidth="1"/>
    <col min="12554" max="12554" width="8.88671875" style="98"/>
    <col min="12555" max="12555" width="17.88671875" style="98" bestFit="1" customWidth="1"/>
    <col min="12556" max="12800" width="8.88671875" style="98"/>
    <col min="12801" max="12801" width="7.21875" style="98" customWidth="1"/>
    <col min="12802" max="12802" width="2.33203125" style="98" customWidth="1"/>
    <col min="12803" max="12803" width="6.33203125" style="98" customWidth="1"/>
    <col min="12804" max="12804" width="33.44140625" style="98" customWidth="1"/>
    <col min="12805" max="12805" width="18" style="98" customWidth="1"/>
    <col min="12806" max="12806" width="27.6640625" style="98" customWidth="1"/>
    <col min="12807" max="12807" width="28.88671875" style="98" bestFit="1" customWidth="1"/>
    <col min="12808" max="12808" width="3" style="98" customWidth="1"/>
    <col min="12809" max="12809" width="23.44140625" style="98" customWidth="1"/>
    <col min="12810" max="12810" width="8.88671875" style="98"/>
    <col min="12811" max="12811" width="17.88671875" style="98" bestFit="1" customWidth="1"/>
    <col min="12812" max="13056" width="8.88671875" style="98"/>
    <col min="13057" max="13057" width="7.21875" style="98" customWidth="1"/>
    <col min="13058" max="13058" width="2.33203125" style="98" customWidth="1"/>
    <col min="13059" max="13059" width="6.33203125" style="98" customWidth="1"/>
    <col min="13060" max="13060" width="33.44140625" style="98" customWidth="1"/>
    <col min="13061" max="13061" width="18" style="98" customWidth="1"/>
    <col min="13062" max="13062" width="27.6640625" style="98" customWidth="1"/>
    <col min="13063" max="13063" width="28.88671875" style="98" bestFit="1" customWidth="1"/>
    <col min="13064" max="13064" width="3" style="98" customWidth="1"/>
    <col min="13065" max="13065" width="23.44140625" style="98" customWidth="1"/>
    <col min="13066" max="13066" width="8.88671875" style="98"/>
    <col min="13067" max="13067" width="17.88671875" style="98" bestFit="1" customWidth="1"/>
    <col min="13068" max="13312" width="8.88671875" style="98"/>
    <col min="13313" max="13313" width="7.21875" style="98" customWidth="1"/>
    <col min="13314" max="13314" width="2.33203125" style="98" customWidth="1"/>
    <col min="13315" max="13315" width="6.33203125" style="98" customWidth="1"/>
    <col min="13316" max="13316" width="33.44140625" style="98" customWidth="1"/>
    <col min="13317" max="13317" width="18" style="98" customWidth="1"/>
    <col min="13318" max="13318" width="27.6640625" style="98" customWidth="1"/>
    <col min="13319" max="13319" width="28.88671875" style="98" bestFit="1" customWidth="1"/>
    <col min="13320" max="13320" width="3" style="98" customWidth="1"/>
    <col min="13321" max="13321" width="23.44140625" style="98" customWidth="1"/>
    <col min="13322" max="13322" width="8.88671875" style="98"/>
    <col min="13323" max="13323" width="17.88671875" style="98" bestFit="1" customWidth="1"/>
    <col min="13324" max="13568" width="8.88671875" style="98"/>
    <col min="13569" max="13569" width="7.21875" style="98" customWidth="1"/>
    <col min="13570" max="13570" width="2.33203125" style="98" customWidth="1"/>
    <col min="13571" max="13571" width="6.33203125" style="98" customWidth="1"/>
    <col min="13572" max="13572" width="33.44140625" style="98" customWidth="1"/>
    <col min="13573" max="13573" width="18" style="98" customWidth="1"/>
    <col min="13574" max="13574" width="27.6640625" style="98" customWidth="1"/>
    <col min="13575" max="13575" width="28.88671875" style="98" bestFit="1" customWidth="1"/>
    <col min="13576" max="13576" width="3" style="98" customWidth="1"/>
    <col min="13577" max="13577" width="23.44140625" style="98" customWidth="1"/>
    <col min="13578" max="13578" width="8.88671875" style="98"/>
    <col min="13579" max="13579" width="17.88671875" style="98" bestFit="1" customWidth="1"/>
    <col min="13580" max="13824" width="8.88671875" style="98"/>
    <col min="13825" max="13825" width="7.21875" style="98" customWidth="1"/>
    <col min="13826" max="13826" width="2.33203125" style="98" customWidth="1"/>
    <col min="13827" max="13827" width="6.33203125" style="98" customWidth="1"/>
    <col min="13828" max="13828" width="33.44140625" style="98" customWidth="1"/>
    <col min="13829" max="13829" width="18" style="98" customWidth="1"/>
    <col min="13830" max="13830" width="27.6640625" style="98" customWidth="1"/>
    <col min="13831" max="13831" width="28.88671875" style="98" bestFit="1" customWidth="1"/>
    <col min="13832" max="13832" width="3" style="98" customWidth="1"/>
    <col min="13833" max="13833" width="23.44140625" style="98" customWidth="1"/>
    <col min="13834" max="13834" width="8.88671875" style="98"/>
    <col min="13835" max="13835" width="17.88671875" style="98" bestFit="1" customWidth="1"/>
    <col min="13836" max="14080" width="8.88671875" style="98"/>
    <col min="14081" max="14081" width="7.21875" style="98" customWidth="1"/>
    <col min="14082" max="14082" width="2.33203125" style="98" customWidth="1"/>
    <col min="14083" max="14083" width="6.33203125" style="98" customWidth="1"/>
    <col min="14084" max="14084" width="33.44140625" style="98" customWidth="1"/>
    <col min="14085" max="14085" width="18" style="98" customWidth="1"/>
    <col min="14086" max="14086" width="27.6640625" style="98" customWidth="1"/>
    <col min="14087" max="14087" width="28.88671875" style="98" bestFit="1" customWidth="1"/>
    <col min="14088" max="14088" width="3" style="98" customWidth="1"/>
    <col min="14089" max="14089" width="23.44140625" style="98" customWidth="1"/>
    <col min="14090" max="14090" width="8.88671875" style="98"/>
    <col min="14091" max="14091" width="17.88671875" style="98" bestFit="1" customWidth="1"/>
    <col min="14092" max="14336" width="8.88671875" style="98"/>
    <col min="14337" max="14337" width="7.21875" style="98" customWidth="1"/>
    <col min="14338" max="14338" width="2.33203125" style="98" customWidth="1"/>
    <col min="14339" max="14339" width="6.33203125" style="98" customWidth="1"/>
    <col min="14340" max="14340" width="33.44140625" style="98" customWidth="1"/>
    <col min="14341" max="14341" width="18" style="98" customWidth="1"/>
    <col min="14342" max="14342" width="27.6640625" style="98" customWidth="1"/>
    <col min="14343" max="14343" width="28.88671875" style="98" bestFit="1" customWidth="1"/>
    <col min="14344" max="14344" width="3" style="98" customWidth="1"/>
    <col min="14345" max="14345" width="23.44140625" style="98" customWidth="1"/>
    <col min="14346" max="14346" width="8.88671875" style="98"/>
    <col min="14347" max="14347" width="17.88671875" style="98" bestFit="1" customWidth="1"/>
    <col min="14348" max="14592" width="8.88671875" style="98"/>
    <col min="14593" max="14593" width="7.21875" style="98" customWidth="1"/>
    <col min="14594" max="14594" width="2.33203125" style="98" customWidth="1"/>
    <col min="14595" max="14595" width="6.33203125" style="98" customWidth="1"/>
    <col min="14596" max="14596" width="33.44140625" style="98" customWidth="1"/>
    <col min="14597" max="14597" width="18" style="98" customWidth="1"/>
    <col min="14598" max="14598" width="27.6640625" style="98" customWidth="1"/>
    <col min="14599" max="14599" width="28.88671875" style="98" bestFit="1" customWidth="1"/>
    <col min="14600" max="14600" width="3" style="98" customWidth="1"/>
    <col min="14601" max="14601" width="23.44140625" style="98" customWidth="1"/>
    <col min="14602" max="14602" width="8.88671875" style="98"/>
    <col min="14603" max="14603" width="17.88671875" style="98" bestFit="1" customWidth="1"/>
    <col min="14604" max="14848" width="8.88671875" style="98"/>
    <col min="14849" max="14849" width="7.21875" style="98" customWidth="1"/>
    <col min="14850" max="14850" width="2.33203125" style="98" customWidth="1"/>
    <col min="14851" max="14851" width="6.33203125" style="98" customWidth="1"/>
    <col min="14852" max="14852" width="33.44140625" style="98" customWidth="1"/>
    <col min="14853" max="14853" width="18" style="98" customWidth="1"/>
    <col min="14854" max="14854" width="27.6640625" style="98" customWidth="1"/>
    <col min="14855" max="14855" width="28.88671875" style="98" bestFit="1" customWidth="1"/>
    <col min="14856" max="14856" width="3" style="98" customWidth="1"/>
    <col min="14857" max="14857" width="23.44140625" style="98" customWidth="1"/>
    <col min="14858" max="14858" width="8.88671875" style="98"/>
    <col min="14859" max="14859" width="17.88671875" style="98" bestFit="1" customWidth="1"/>
    <col min="14860" max="15104" width="8.88671875" style="98"/>
    <col min="15105" max="15105" width="7.21875" style="98" customWidth="1"/>
    <col min="15106" max="15106" width="2.33203125" style="98" customWidth="1"/>
    <col min="15107" max="15107" width="6.33203125" style="98" customWidth="1"/>
    <col min="15108" max="15108" width="33.44140625" style="98" customWidth="1"/>
    <col min="15109" max="15109" width="18" style="98" customWidth="1"/>
    <col min="15110" max="15110" width="27.6640625" style="98" customWidth="1"/>
    <col min="15111" max="15111" width="28.88671875" style="98" bestFit="1" customWidth="1"/>
    <col min="15112" max="15112" width="3" style="98" customWidth="1"/>
    <col min="15113" max="15113" width="23.44140625" style="98" customWidth="1"/>
    <col min="15114" max="15114" width="8.88671875" style="98"/>
    <col min="15115" max="15115" width="17.88671875" style="98" bestFit="1" customWidth="1"/>
    <col min="15116" max="15360" width="8.88671875" style="98"/>
    <col min="15361" max="15361" width="7.21875" style="98" customWidth="1"/>
    <col min="15362" max="15362" width="2.33203125" style="98" customWidth="1"/>
    <col min="15363" max="15363" width="6.33203125" style="98" customWidth="1"/>
    <col min="15364" max="15364" width="33.44140625" style="98" customWidth="1"/>
    <col min="15365" max="15365" width="18" style="98" customWidth="1"/>
    <col min="15366" max="15366" width="27.6640625" style="98" customWidth="1"/>
    <col min="15367" max="15367" width="28.88671875" style="98" bestFit="1" customWidth="1"/>
    <col min="15368" max="15368" width="3" style="98" customWidth="1"/>
    <col min="15369" max="15369" width="23.44140625" style="98" customWidth="1"/>
    <col min="15370" max="15370" width="8.88671875" style="98"/>
    <col min="15371" max="15371" width="17.88671875" style="98" bestFit="1" customWidth="1"/>
    <col min="15372" max="15616" width="8.88671875" style="98"/>
    <col min="15617" max="15617" width="7.21875" style="98" customWidth="1"/>
    <col min="15618" max="15618" width="2.33203125" style="98" customWidth="1"/>
    <col min="15619" max="15619" width="6.33203125" style="98" customWidth="1"/>
    <col min="15620" max="15620" width="33.44140625" style="98" customWidth="1"/>
    <col min="15621" max="15621" width="18" style="98" customWidth="1"/>
    <col min="15622" max="15622" width="27.6640625" style="98" customWidth="1"/>
    <col min="15623" max="15623" width="28.88671875" style="98" bestFit="1" customWidth="1"/>
    <col min="15624" max="15624" width="3" style="98" customWidth="1"/>
    <col min="15625" max="15625" width="23.44140625" style="98" customWidth="1"/>
    <col min="15626" max="15626" width="8.88671875" style="98"/>
    <col min="15627" max="15627" width="17.88671875" style="98" bestFit="1" customWidth="1"/>
    <col min="15628" max="15872" width="8.88671875" style="98"/>
    <col min="15873" max="15873" width="7.21875" style="98" customWidth="1"/>
    <col min="15874" max="15874" width="2.33203125" style="98" customWidth="1"/>
    <col min="15875" max="15875" width="6.33203125" style="98" customWidth="1"/>
    <col min="15876" max="15876" width="33.44140625" style="98" customWidth="1"/>
    <col min="15877" max="15877" width="18" style="98" customWidth="1"/>
    <col min="15878" max="15878" width="27.6640625" style="98" customWidth="1"/>
    <col min="15879" max="15879" width="28.88671875" style="98" bestFit="1" customWidth="1"/>
    <col min="15880" max="15880" width="3" style="98" customWidth="1"/>
    <col min="15881" max="15881" width="23.44140625" style="98" customWidth="1"/>
    <col min="15882" max="15882" width="8.88671875" style="98"/>
    <col min="15883" max="15883" width="17.88671875" style="98" bestFit="1" customWidth="1"/>
    <col min="15884" max="16128" width="8.88671875" style="98"/>
    <col min="16129" max="16129" width="7.21875" style="98" customWidth="1"/>
    <col min="16130" max="16130" width="2.33203125" style="98" customWidth="1"/>
    <col min="16131" max="16131" width="6.33203125" style="98" customWidth="1"/>
    <col min="16132" max="16132" width="33.44140625" style="98" customWidth="1"/>
    <col min="16133" max="16133" width="18" style="98" customWidth="1"/>
    <col min="16134" max="16134" width="27.6640625" style="98" customWidth="1"/>
    <col min="16135" max="16135" width="28.88671875" style="98" bestFit="1" customWidth="1"/>
    <col min="16136" max="16136" width="3" style="98" customWidth="1"/>
    <col min="16137" max="16137" width="23.44140625" style="98" customWidth="1"/>
    <col min="16138" max="16138" width="8.88671875" style="98"/>
    <col min="16139" max="16139" width="17.88671875" style="98" bestFit="1" customWidth="1"/>
    <col min="16140" max="16384" width="8.88671875" style="98"/>
  </cols>
  <sheetData>
    <row r="1" spans="1:12" ht="18">
      <c r="A1" s="1019"/>
      <c r="B1" s="1020"/>
      <c r="C1" s="1020"/>
      <c r="D1" s="1020"/>
      <c r="E1" s="1020"/>
      <c r="F1" s="1020"/>
      <c r="G1" s="1020"/>
      <c r="H1" s="1020"/>
      <c r="I1" s="1020"/>
      <c r="J1" s="1023" t="str">
        <f>'Attachment H-34A '!K1&amp;""&amp;", Attachment 2"</f>
        <v>Attachment H-34A, Attachment 2</v>
      </c>
      <c r="K1" s="1023"/>
      <c r="L1" s="1023"/>
    </row>
    <row r="2" spans="1:12" ht="18">
      <c r="A2" s="1021" t="s">
        <v>785</v>
      </c>
      <c r="B2" s="1021"/>
      <c r="C2" s="1021"/>
      <c r="D2" s="1021"/>
      <c r="E2" s="1021"/>
      <c r="F2" s="1021"/>
      <c r="G2" s="1021"/>
      <c r="H2" s="1021"/>
      <c r="I2" s="1021"/>
      <c r="J2" s="629"/>
      <c r="K2" s="1023" t="s">
        <v>186</v>
      </c>
      <c r="L2" s="1023"/>
    </row>
    <row r="3" spans="1:12" ht="18">
      <c r="A3" s="156"/>
      <c r="B3" s="156"/>
      <c r="C3" s="156"/>
      <c r="D3" s="156"/>
      <c r="E3" s="156"/>
      <c r="F3" s="156"/>
      <c r="G3" s="156"/>
      <c r="H3" s="156"/>
      <c r="I3" s="156"/>
      <c r="J3" s="1023" t="str">
        <f>'Attachment H-34A '!K4</f>
        <v>For the 12 months ended 12/31/2026</v>
      </c>
      <c r="K3" s="1023"/>
      <c r="L3" s="1023"/>
    </row>
    <row r="4" spans="1:12" s="99" customFormat="1" ht="15">
      <c r="A4" s="100"/>
      <c r="B4" s="100"/>
    </row>
    <row r="5" spans="1:12" s="99" customFormat="1" ht="15.75">
      <c r="A5" s="103" t="s">
        <v>306</v>
      </c>
      <c r="B5" s="104"/>
      <c r="C5" s="104"/>
      <c r="D5" s="104"/>
      <c r="E5" s="104"/>
      <c r="F5" s="104"/>
      <c r="G5" s="104"/>
      <c r="H5" s="104"/>
      <c r="I5" s="104"/>
    </row>
    <row r="6" spans="1:12" s="99" customFormat="1" ht="15.75">
      <c r="A6" s="105"/>
      <c r="G6" s="106" t="s">
        <v>307</v>
      </c>
    </row>
    <row r="7" spans="1:12" s="99" customFormat="1" ht="15">
      <c r="I7" s="107"/>
    </row>
    <row r="8" spans="1:12" s="99" customFormat="1" ht="15">
      <c r="A8" s="100">
        <v>1</v>
      </c>
      <c r="C8" s="108" t="s">
        <v>480</v>
      </c>
      <c r="D8" s="108"/>
      <c r="F8" s="108"/>
      <c r="G8" s="109" t="s">
        <v>943</v>
      </c>
      <c r="H8" s="108"/>
      <c r="I8" s="102">
        <f>'Attachment H-34A '!I99</f>
        <v>581165683.22330844</v>
      </c>
    </row>
    <row r="9" spans="1:12" s="99" customFormat="1" ht="15">
      <c r="G9" s="108"/>
      <c r="I9" s="107"/>
    </row>
    <row r="10" spans="1:12" s="99" customFormat="1" ht="15">
      <c r="A10" s="100"/>
      <c r="B10" s="108"/>
      <c r="C10" s="108"/>
      <c r="D10" s="108"/>
      <c r="F10" s="101"/>
      <c r="G10" s="108"/>
      <c r="H10" s="101"/>
      <c r="I10" s="101"/>
    </row>
    <row r="11" spans="1:12" s="99" customFormat="1" ht="15.75">
      <c r="A11" s="100">
        <f>A8+1</f>
        <v>2</v>
      </c>
      <c r="B11" s="108"/>
      <c r="C11" s="108" t="s">
        <v>481</v>
      </c>
      <c r="D11" s="110"/>
      <c r="F11" s="99" t="s">
        <v>482</v>
      </c>
      <c r="G11" s="109" t="s">
        <v>944</v>
      </c>
      <c r="H11" s="101"/>
      <c r="I11" s="101">
        <f>'Attachment H-34A '!I255</f>
        <v>0</v>
      </c>
    </row>
    <row r="12" spans="1:12" s="99" customFormat="1" ht="15">
      <c r="A12" s="100"/>
      <c r="B12" s="108"/>
      <c r="C12" s="108"/>
      <c r="D12" s="108"/>
      <c r="G12" s="109"/>
      <c r="H12" s="101"/>
      <c r="I12" s="101"/>
    </row>
    <row r="13" spans="1:12" s="99" customFormat="1" ht="15.75">
      <c r="A13" s="100"/>
      <c r="B13" s="108"/>
      <c r="C13" s="108" t="s">
        <v>91</v>
      </c>
      <c r="D13" s="111"/>
      <c r="G13" s="109"/>
      <c r="H13" s="101"/>
      <c r="I13" s="101"/>
    </row>
    <row r="14" spans="1:12" s="99" customFormat="1" ht="15">
      <c r="A14" s="100">
        <f>A11+1</f>
        <v>3</v>
      </c>
      <c r="B14" s="108"/>
      <c r="C14" s="108"/>
      <c r="D14" s="108" t="s">
        <v>483</v>
      </c>
      <c r="E14" s="101"/>
      <c r="F14" s="101"/>
      <c r="G14" s="109" t="s">
        <v>509</v>
      </c>
      <c r="H14" s="101"/>
      <c r="I14" s="101">
        <f>'Attachment 8 - Cap Structure'!E23</f>
        <v>509031863.11021435</v>
      </c>
    </row>
    <row r="15" spans="1:12" s="99" customFormat="1" ht="15">
      <c r="A15" s="100">
        <f>A14+1</f>
        <v>4</v>
      </c>
      <c r="B15" s="108"/>
      <c r="C15" s="108"/>
      <c r="D15" s="108" t="s">
        <v>312</v>
      </c>
      <c r="E15" s="101"/>
      <c r="F15" s="101"/>
      <c r="G15" s="109" t="s">
        <v>510</v>
      </c>
      <c r="H15" s="101"/>
      <c r="I15" s="101">
        <f>'Attachment 8 - Cap Structure'!F23</f>
        <v>0</v>
      </c>
    </row>
    <row r="16" spans="1:12" s="99" customFormat="1" ht="15">
      <c r="A16" s="100">
        <f>A15+1</f>
        <v>5</v>
      </c>
      <c r="B16" s="108"/>
      <c r="C16" s="108"/>
      <c r="D16" s="108" t="s">
        <v>313</v>
      </c>
      <c r="E16" s="101"/>
      <c r="F16" s="101"/>
      <c r="G16" s="109" t="s">
        <v>513</v>
      </c>
      <c r="H16" s="101"/>
      <c r="I16" s="101">
        <f>'Attachment 8 - Cap Structure'!H23</f>
        <v>0</v>
      </c>
    </row>
    <row r="17" spans="1:11" s="99" customFormat="1" ht="15">
      <c r="A17" s="100">
        <f>+A16+1</f>
        <v>6</v>
      </c>
      <c r="B17" s="108"/>
      <c r="C17" s="108"/>
      <c r="D17" s="108" t="s">
        <v>508</v>
      </c>
      <c r="E17" s="112"/>
      <c r="F17" s="112"/>
      <c r="G17" s="113" t="s">
        <v>512</v>
      </c>
      <c r="H17" s="112"/>
      <c r="I17" s="112">
        <f>'Attachment 8 - Cap Structure'!G23+'Attachment 8 - Cap Structure'!I23</f>
        <v>0</v>
      </c>
    </row>
    <row r="18" spans="1:11" s="99" customFormat="1" ht="15">
      <c r="A18" s="100">
        <f>A17+1</f>
        <v>7</v>
      </c>
      <c r="B18" s="108"/>
      <c r="C18" s="108"/>
      <c r="D18" s="108" t="s">
        <v>91</v>
      </c>
      <c r="E18" s="101"/>
      <c r="F18" s="101"/>
      <c r="G18" s="109" t="s">
        <v>511</v>
      </c>
      <c r="H18" s="101"/>
      <c r="I18" s="101">
        <f>'Attachment 8 - Cap Structure'!J23</f>
        <v>509031863.11021435</v>
      </c>
    </row>
    <row r="19" spans="1:11" s="99" customFormat="1" ht="15">
      <c r="A19" s="100"/>
      <c r="B19" s="108"/>
      <c r="C19" s="108"/>
      <c r="D19" s="108"/>
      <c r="E19" s="101"/>
      <c r="F19" s="101"/>
      <c r="G19" s="109"/>
      <c r="H19" s="101"/>
      <c r="I19" s="101"/>
    </row>
    <row r="20" spans="1:11" s="99" customFormat="1" ht="15">
      <c r="A20" s="100"/>
      <c r="B20" s="108"/>
      <c r="C20" s="108"/>
      <c r="D20" s="108"/>
      <c r="E20" s="101"/>
      <c r="F20" s="101"/>
      <c r="G20" s="109"/>
      <c r="H20" s="101"/>
      <c r="I20" s="101"/>
    </row>
    <row r="21" spans="1:11" s="99" customFormat="1" ht="15.75">
      <c r="A21" s="100"/>
      <c r="B21" s="108"/>
      <c r="C21" s="108" t="s">
        <v>484</v>
      </c>
      <c r="D21" s="111"/>
      <c r="G21" s="109"/>
      <c r="I21" s="101"/>
    </row>
    <row r="22" spans="1:11" s="99" customFormat="1" ht="15">
      <c r="A22" s="100">
        <f>+A18+1</f>
        <v>8</v>
      </c>
      <c r="B22" s="108"/>
      <c r="C22" s="108"/>
      <c r="D22" s="108" t="s">
        <v>247</v>
      </c>
      <c r="G22" s="109" t="s">
        <v>945</v>
      </c>
      <c r="I22" s="101">
        <f>'Attachment H-34A '!D260</f>
        <v>200000000</v>
      </c>
    </row>
    <row r="23" spans="1:11" s="99" customFormat="1" ht="15">
      <c r="A23" s="100">
        <f>A22+1</f>
        <v>9</v>
      </c>
      <c r="B23" s="108"/>
      <c r="C23" s="108"/>
      <c r="D23" s="108" t="s">
        <v>245</v>
      </c>
      <c r="G23" s="109" t="s">
        <v>946</v>
      </c>
      <c r="I23" s="101">
        <f>'Attachment H-34A '!D261</f>
        <v>0</v>
      </c>
    </row>
    <row r="24" spans="1:11" s="99" customFormat="1" ht="15">
      <c r="A24" s="100">
        <f t="shared" ref="A24:A25" si="0">A23+1</f>
        <v>10</v>
      </c>
      <c r="B24" s="108"/>
      <c r="C24" s="108"/>
      <c r="D24" s="108" t="s">
        <v>91</v>
      </c>
      <c r="G24" s="113" t="s">
        <v>947</v>
      </c>
      <c r="I24" s="101">
        <f>'Attachment H-34A '!D262</f>
        <v>509031863.11021435</v>
      </c>
    </row>
    <row r="25" spans="1:11" s="99" customFormat="1" ht="15.75">
      <c r="A25" s="100">
        <f t="shared" si="0"/>
        <v>11</v>
      </c>
      <c r="B25" s="108"/>
      <c r="C25" s="108"/>
      <c r="D25" s="108" t="s">
        <v>485</v>
      </c>
      <c r="E25" s="114"/>
      <c r="F25" s="115"/>
      <c r="G25" s="109" t="s">
        <v>948</v>
      </c>
      <c r="H25" s="116"/>
      <c r="I25" s="116">
        <f>'Attachment H-34A '!D263</f>
        <v>709031863.11021435</v>
      </c>
    </row>
    <row r="26" spans="1:11" s="99" customFormat="1" ht="15">
      <c r="A26" s="100"/>
      <c r="B26" s="108"/>
      <c r="C26" s="108"/>
      <c r="D26" s="108"/>
      <c r="G26" s="108"/>
      <c r="H26" s="101"/>
      <c r="I26" s="117"/>
    </row>
    <row r="27" spans="1:11" s="99" customFormat="1" ht="15">
      <c r="A27" s="100">
        <f>A25+1</f>
        <v>12</v>
      </c>
      <c r="B27" s="108"/>
      <c r="C27" s="108"/>
      <c r="D27" s="108" t="s">
        <v>486</v>
      </c>
      <c r="F27" s="108" t="s">
        <v>487</v>
      </c>
      <c r="G27" s="109" t="s">
        <v>949</v>
      </c>
      <c r="H27" s="101"/>
      <c r="I27" s="118">
        <f>'Attachment H-34A '!E260</f>
        <v>0.50719928355074395</v>
      </c>
    </row>
    <row r="28" spans="1:11" s="99" customFormat="1" ht="15">
      <c r="A28" s="100">
        <f>A27+1</f>
        <v>13</v>
      </c>
      <c r="B28" s="108"/>
      <c r="C28" s="108"/>
      <c r="D28" s="108" t="s">
        <v>488</v>
      </c>
      <c r="F28" s="108" t="s">
        <v>245</v>
      </c>
      <c r="G28" s="109" t="s">
        <v>950</v>
      </c>
      <c r="H28" s="101"/>
      <c r="I28" s="118">
        <f>'Attachment H-34A '!E261</f>
        <v>0</v>
      </c>
    </row>
    <row r="29" spans="1:11" s="99" customFormat="1" ht="15">
      <c r="A29" s="100">
        <f>A28+1</f>
        <v>14</v>
      </c>
      <c r="B29" s="108"/>
      <c r="C29" s="108"/>
      <c r="D29" s="108" t="s">
        <v>489</v>
      </c>
      <c r="F29" s="108" t="s">
        <v>91</v>
      </c>
      <c r="G29" s="109" t="s">
        <v>951</v>
      </c>
      <c r="H29" s="101"/>
      <c r="I29" s="118">
        <f>'Attachment H-34A '!E262</f>
        <v>0.49280071644925594</v>
      </c>
    </row>
    <row r="30" spans="1:11" s="99" customFormat="1" ht="15">
      <c r="A30" s="100"/>
      <c r="B30" s="108"/>
      <c r="C30" s="108"/>
      <c r="D30" s="108"/>
      <c r="F30" s="109"/>
      <c r="G30" s="108"/>
      <c r="H30" s="101"/>
      <c r="I30" s="117"/>
    </row>
    <row r="31" spans="1:11" s="99" customFormat="1" ht="15">
      <c r="A31" s="100">
        <f>A29+1</f>
        <v>15</v>
      </c>
      <c r="B31" s="108"/>
      <c r="C31" s="108"/>
      <c r="D31" s="108" t="s">
        <v>353</v>
      </c>
      <c r="F31" s="109" t="s">
        <v>487</v>
      </c>
      <c r="G31" s="109" t="s">
        <v>952</v>
      </c>
      <c r="H31" s="101"/>
      <c r="I31" s="119">
        <f>'Attachment H-34A '!G260</f>
        <v>5.2400000000000002E-2</v>
      </c>
      <c r="K31" s="119"/>
    </row>
    <row r="32" spans="1:11" s="99" customFormat="1" ht="15">
      <c r="A32" s="100">
        <f>A31+1</f>
        <v>16</v>
      </c>
      <c r="B32" s="108"/>
      <c r="C32" s="108"/>
      <c r="D32" s="108" t="s">
        <v>490</v>
      </c>
      <c r="F32" s="109" t="s">
        <v>245</v>
      </c>
      <c r="G32" s="109" t="s">
        <v>953</v>
      </c>
      <c r="H32" s="101"/>
      <c r="I32" s="119">
        <f>'Attachment H-34A '!G261</f>
        <v>0</v>
      </c>
    </row>
    <row r="33" spans="1:11" s="99" customFormat="1" ht="15">
      <c r="A33" s="100">
        <f>A32+1</f>
        <v>17</v>
      </c>
      <c r="B33" s="108"/>
      <c r="C33" s="108"/>
      <c r="D33" s="108" t="s">
        <v>491</v>
      </c>
      <c r="F33" s="109" t="s">
        <v>91</v>
      </c>
      <c r="G33" s="109" t="s">
        <v>954</v>
      </c>
      <c r="H33" s="101"/>
      <c r="I33" s="832">
        <f>'Attachment H-34A '!G262</f>
        <v>0.1045</v>
      </c>
      <c r="K33" s="119"/>
    </row>
    <row r="34" spans="1:11" s="99" customFormat="1" ht="15">
      <c r="A34" s="100"/>
      <c r="B34" s="108"/>
      <c r="C34" s="108"/>
      <c r="D34" s="108"/>
      <c r="F34" s="109"/>
      <c r="G34" s="108"/>
      <c r="H34" s="101"/>
    </row>
    <row r="35" spans="1:11" s="99" customFormat="1" ht="15">
      <c r="A35" s="100">
        <f>A33+1</f>
        <v>18</v>
      </c>
      <c r="B35" s="108"/>
      <c r="C35" s="108"/>
      <c r="D35" s="108" t="s">
        <v>492</v>
      </c>
      <c r="F35" s="108" t="s">
        <v>493</v>
      </c>
      <c r="G35" s="108" t="s">
        <v>331</v>
      </c>
      <c r="H35" s="120"/>
      <c r="I35" s="119">
        <f>I31*I27</f>
        <v>2.6577242458058984E-2</v>
      </c>
    </row>
    <row r="36" spans="1:11" s="99" customFormat="1" ht="15">
      <c r="A36" s="100">
        <f>A35+1</f>
        <v>19</v>
      </c>
      <c r="B36" s="108"/>
      <c r="C36" s="108"/>
      <c r="D36" s="108" t="s">
        <v>494</v>
      </c>
      <c r="F36" s="108" t="s">
        <v>245</v>
      </c>
      <c r="G36" s="108" t="s">
        <v>332</v>
      </c>
      <c r="H36" s="121"/>
      <c r="I36" s="119">
        <f>I32*I28</f>
        <v>0</v>
      </c>
    </row>
    <row r="37" spans="1:11" s="99" customFormat="1" ht="15">
      <c r="A37" s="100">
        <f>A36+1</f>
        <v>20</v>
      </c>
      <c r="B37" s="108"/>
      <c r="C37" s="108"/>
      <c r="D37" s="122" t="s">
        <v>495</v>
      </c>
      <c r="E37" s="123"/>
      <c r="F37" s="122" t="s">
        <v>91</v>
      </c>
      <c r="G37" s="122" t="s">
        <v>333</v>
      </c>
      <c r="H37" s="124"/>
      <c r="I37" s="125">
        <f>I33*I29</f>
        <v>5.1497674868947241E-2</v>
      </c>
    </row>
    <row r="38" spans="1:11" s="99" customFormat="1" ht="15.75">
      <c r="A38" s="100">
        <f>A37+1</f>
        <v>21</v>
      </c>
      <c r="B38" s="108"/>
      <c r="C38" s="108" t="s">
        <v>496</v>
      </c>
      <c r="D38" s="108"/>
      <c r="E38" s="126"/>
      <c r="F38" s="126"/>
      <c r="G38" s="108" t="str">
        <f>"(Sum Lines "&amp;A35&amp;" to "&amp;A37&amp;")"</f>
        <v>(Sum Lines 18 to 20)</v>
      </c>
      <c r="H38" s="127"/>
      <c r="I38" s="128">
        <f>SUM(I35:I37)</f>
        <v>7.8074917327006221E-2</v>
      </c>
    </row>
    <row r="39" spans="1:11" s="99" customFormat="1" ht="15.75">
      <c r="A39" s="106"/>
      <c r="B39" s="108"/>
      <c r="C39" s="108"/>
      <c r="D39" s="108"/>
      <c r="E39" s="126"/>
      <c r="F39" s="126"/>
      <c r="G39" s="111"/>
      <c r="H39" s="127"/>
      <c r="I39" s="128"/>
    </row>
    <row r="40" spans="1:11" s="99" customFormat="1" ht="16.5" thickBot="1">
      <c r="A40" s="100">
        <f>A38+1</f>
        <v>22</v>
      </c>
      <c r="B40" s="108"/>
      <c r="C40" s="108" t="s">
        <v>497</v>
      </c>
      <c r="D40" s="108"/>
      <c r="E40" s="129"/>
      <c r="F40" s="130"/>
      <c r="G40" s="131" t="str">
        <f>"(Line "&amp;A8&amp;" * Line "&amp;A38&amp;")"</f>
        <v>(Line 1 * Line 21)</v>
      </c>
      <c r="H40" s="132"/>
      <c r="I40" s="133">
        <f>+I38*I8</f>
        <v>45374462.670952894</v>
      </c>
    </row>
    <row r="41" spans="1:11" s="99" customFormat="1" ht="15.75" thickTop="1">
      <c r="A41" s="100"/>
      <c r="B41" s="100"/>
      <c r="C41" s="100"/>
      <c r="F41" s="100"/>
      <c r="G41" s="101"/>
      <c r="H41" s="101"/>
      <c r="I41" s="119"/>
    </row>
    <row r="42" spans="1:11" s="99" customFormat="1" ht="15.75">
      <c r="A42" s="134" t="s">
        <v>314</v>
      </c>
      <c r="B42" s="134"/>
      <c r="C42" s="135"/>
      <c r="D42" s="136"/>
      <c r="E42" s="104"/>
      <c r="F42" s="137"/>
      <c r="G42" s="104"/>
      <c r="H42" s="104"/>
      <c r="I42" s="138"/>
    </row>
    <row r="43" spans="1:11" s="99" customFormat="1" ht="15.75">
      <c r="A43" s="108"/>
      <c r="B43" s="108"/>
      <c r="C43" s="100"/>
      <c r="D43" s="126"/>
      <c r="F43" s="117"/>
      <c r="I43" s="139"/>
      <c r="K43" s="101"/>
    </row>
    <row r="44" spans="1:11" s="99" customFormat="1" ht="15.75">
      <c r="A44" s="100" t="s">
        <v>3</v>
      </c>
      <c r="B44" s="100"/>
      <c r="C44" s="140" t="s">
        <v>308</v>
      </c>
      <c r="F44" s="117"/>
      <c r="G44" s="101"/>
      <c r="H44" s="141"/>
    </row>
    <row r="45" spans="1:11" s="99" customFormat="1" ht="15">
      <c r="A45" s="100">
        <f>+A40+1</f>
        <v>23</v>
      </c>
      <c r="B45" s="100"/>
      <c r="C45" s="100"/>
      <c r="D45" s="185" t="s">
        <v>65</v>
      </c>
      <c r="F45" s="100"/>
      <c r="G45" s="109" t="s">
        <v>955</v>
      </c>
      <c r="H45" s="142"/>
      <c r="I45" s="143">
        <f>'Attachment H-34A '!D159</f>
        <v>0.26917099999999994</v>
      </c>
    </row>
    <row r="46" spans="1:11" s="99" customFormat="1" ht="15">
      <c r="A46" s="100">
        <f>+A45+1</f>
        <v>24</v>
      </c>
      <c r="B46" s="100"/>
      <c r="C46" s="100"/>
      <c r="D46" s="186" t="s">
        <v>816</v>
      </c>
      <c r="E46" s="144"/>
      <c r="F46" s="100"/>
      <c r="G46" s="109" t="s">
        <v>320</v>
      </c>
      <c r="H46" s="142"/>
      <c r="I46" s="159">
        <f>(I45/(1-I45)*(1-I35/I38))</f>
        <v>0.24293415809746774</v>
      </c>
    </row>
    <row r="47" spans="1:11" s="99" customFormat="1" ht="15">
      <c r="A47" s="100"/>
      <c r="B47" s="100"/>
      <c r="C47" s="100"/>
      <c r="D47" s="187"/>
      <c r="E47" s="142"/>
      <c r="F47" s="100"/>
      <c r="G47" s="109"/>
      <c r="H47" s="142"/>
      <c r="I47" s="145"/>
    </row>
    <row r="48" spans="1:11" s="99" customFormat="1" ht="15">
      <c r="A48" s="100"/>
      <c r="B48" s="100"/>
      <c r="C48" s="100"/>
      <c r="D48" s="187"/>
      <c r="E48" s="146"/>
      <c r="F48" s="100"/>
      <c r="G48" s="109"/>
      <c r="H48" s="142"/>
      <c r="I48" s="143"/>
    </row>
    <row r="49" spans="1:11" s="99" customFormat="1" ht="15.75">
      <c r="A49" s="100">
        <v>25</v>
      </c>
      <c r="B49" s="100"/>
      <c r="C49" s="100"/>
      <c r="D49" s="185" t="s">
        <v>817</v>
      </c>
      <c r="E49" s="144"/>
      <c r="F49" s="100"/>
      <c r="G49" s="109" t="s">
        <v>956</v>
      </c>
      <c r="H49" s="142"/>
      <c r="I49" s="77">
        <f>'Attachment H-34A '!D163</f>
        <v>1.3683091393472344</v>
      </c>
      <c r="K49" s="147"/>
    </row>
    <row r="50" spans="1:11" s="99" customFormat="1" ht="15">
      <c r="A50" s="100">
        <v>26</v>
      </c>
      <c r="B50" s="100"/>
      <c r="C50" s="100"/>
      <c r="D50" s="187" t="s">
        <v>269</v>
      </c>
      <c r="F50" s="148"/>
      <c r="G50" s="109" t="s">
        <v>957</v>
      </c>
      <c r="H50" s="141"/>
      <c r="I50" s="157">
        <f>'Attachment H-34A '!D164</f>
        <v>0</v>
      </c>
    </row>
    <row r="51" spans="1:11" s="99" customFormat="1" ht="15">
      <c r="A51" s="100">
        <v>27</v>
      </c>
      <c r="B51" s="100"/>
      <c r="C51" s="100"/>
      <c r="D51" s="187" t="s">
        <v>311</v>
      </c>
      <c r="F51" s="148"/>
      <c r="G51" s="109" t="s">
        <v>958</v>
      </c>
      <c r="H51" s="141"/>
      <c r="I51" s="157">
        <f>'Attachment H-34A '!D165</f>
        <v>167169</v>
      </c>
    </row>
    <row r="52" spans="1:11" s="99" customFormat="1" ht="15">
      <c r="A52" s="100">
        <v>28</v>
      </c>
      <c r="B52" s="100"/>
      <c r="C52" s="100"/>
      <c r="D52" s="187" t="s">
        <v>318</v>
      </c>
      <c r="F52" s="148"/>
      <c r="G52" s="109" t="s">
        <v>959</v>
      </c>
      <c r="H52" s="141"/>
      <c r="I52" s="157">
        <f>'Attachment H-34A '!D166</f>
        <v>383336.12964486826</v>
      </c>
    </row>
    <row r="53" spans="1:11" s="99" customFormat="1" ht="15">
      <c r="A53" s="100">
        <v>29</v>
      </c>
      <c r="B53" s="100"/>
      <c r="C53" s="100"/>
      <c r="D53" s="185" t="s">
        <v>315</v>
      </c>
      <c r="F53" s="148"/>
      <c r="G53" s="146" t="s">
        <v>335</v>
      </c>
      <c r="H53" s="141"/>
      <c r="I53" s="157">
        <f>I46*I40</f>
        <v>11023006.888092918</v>
      </c>
    </row>
    <row r="54" spans="1:11" s="99" customFormat="1" ht="15">
      <c r="A54" s="100">
        <v>30</v>
      </c>
      <c r="B54" s="100"/>
      <c r="C54" s="100"/>
      <c r="D54" s="186" t="s">
        <v>316</v>
      </c>
      <c r="F54" s="148"/>
      <c r="G54" s="109" t="s">
        <v>960</v>
      </c>
      <c r="H54" s="141"/>
      <c r="I54" s="157">
        <f>'Attachment H-34A '!I168</f>
        <v>0</v>
      </c>
    </row>
    <row r="55" spans="1:11" s="99" customFormat="1" ht="15">
      <c r="A55" s="100">
        <v>31</v>
      </c>
      <c r="B55" s="100"/>
      <c r="C55" s="100"/>
      <c r="D55" s="186" t="s">
        <v>317</v>
      </c>
      <c r="F55" s="148"/>
      <c r="G55" s="109" t="s">
        <v>961</v>
      </c>
      <c r="H55" s="141"/>
      <c r="I55" s="157">
        <f>'Attachment H-34A '!I169</f>
        <v>228738.87051553783</v>
      </c>
    </row>
    <row r="56" spans="1:11" s="99" customFormat="1" ht="15.75" thickBot="1">
      <c r="A56" s="100">
        <v>32</v>
      </c>
      <c r="B56" s="100"/>
      <c r="C56" s="100"/>
      <c r="D56" s="186" t="s">
        <v>319</v>
      </c>
      <c r="F56" s="148"/>
      <c r="G56" s="109" t="s">
        <v>962</v>
      </c>
      <c r="H56" s="141"/>
      <c r="I56" s="158">
        <f>'Attachment H-34A '!D170</f>
        <v>524522.32963506959</v>
      </c>
    </row>
    <row r="57" spans="1:11" s="99" customFormat="1" ht="15">
      <c r="A57" s="100">
        <v>33</v>
      </c>
      <c r="B57" s="100"/>
      <c r="C57" s="100"/>
      <c r="D57" s="185" t="s">
        <v>67</v>
      </c>
      <c r="F57" s="148"/>
      <c r="G57" s="146" t="s">
        <v>334</v>
      </c>
      <c r="H57" s="141"/>
      <c r="I57" s="184">
        <f>SUM(I53:I56)</f>
        <v>11776268.088243525</v>
      </c>
    </row>
    <row r="58" spans="1:11" s="99" customFormat="1" ht="15">
      <c r="A58" s="100"/>
      <c r="B58" s="100"/>
      <c r="C58" s="100"/>
      <c r="F58" s="148"/>
      <c r="G58" s="146"/>
      <c r="H58" s="141"/>
      <c r="I58" s="149"/>
    </row>
    <row r="59" spans="1:11" s="99" customFormat="1" ht="15.75">
      <c r="A59" s="134" t="s">
        <v>786</v>
      </c>
      <c r="B59" s="134"/>
      <c r="C59" s="135"/>
      <c r="D59" s="136"/>
      <c r="E59" s="104"/>
      <c r="F59" s="137"/>
      <c r="G59" s="104"/>
      <c r="H59" s="104"/>
      <c r="I59" s="138"/>
    </row>
    <row r="60" spans="1:11" s="99" customFormat="1" ht="15.75">
      <c r="A60" s="179"/>
      <c r="B60" s="179"/>
      <c r="C60" s="180"/>
      <c r="D60" s="181"/>
      <c r="F60" s="182"/>
      <c r="I60" s="183"/>
    </row>
    <row r="61" spans="1:11" s="99" customFormat="1" ht="15">
      <c r="A61" s="100">
        <v>34</v>
      </c>
      <c r="B61" s="100"/>
      <c r="C61" s="100"/>
      <c r="D61" s="99" t="s">
        <v>787</v>
      </c>
      <c r="F61" s="148"/>
      <c r="G61" s="146" t="s">
        <v>336</v>
      </c>
      <c r="H61" s="141"/>
      <c r="I61" s="157">
        <f>I40+I57</f>
        <v>57150730.759196416</v>
      </c>
    </row>
    <row r="62" spans="1:11" s="99" customFormat="1" ht="15">
      <c r="A62" s="100"/>
      <c r="B62" s="100"/>
      <c r="C62" s="100"/>
      <c r="F62" s="148"/>
      <c r="G62" s="146"/>
      <c r="H62" s="141"/>
      <c r="I62" s="157"/>
    </row>
    <row r="63" spans="1:11" s="99" customFormat="1" ht="15">
      <c r="A63" s="100">
        <v>35</v>
      </c>
      <c r="B63" s="100"/>
      <c r="C63" s="100"/>
      <c r="D63" s="99" t="s">
        <v>823</v>
      </c>
      <c r="F63" s="148"/>
      <c r="G63" s="146" t="s">
        <v>963</v>
      </c>
      <c r="H63" s="141"/>
      <c r="I63" s="157">
        <f>'Attachment H-34A '!I173</f>
        <v>45374462.670952894</v>
      </c>
    </row>
    <row r="64" spans="1:11" s="99" customFormat="1" ht="15">
      <c r="A64" s="100">
        <v>36</v>
      </c>
      <c r="B64" s="100"/>
      <c r="C64" s="100"/>
      <c r="D64" s="99" t="s">
        <v>824</v>
      </c>
      <c r="F64" s="148"/>
      <c r="G64" s="146" t="s">
        <v>964</v>
      </c>
      <c r="H64" s="141"/>
      <c r="I64" s="157">
        <f>'Attachment H-34A '!I171</f>
        <v>11776268.088243525</v>
      </c>
    </row>
    <row r="65" spans="1:11" s="99" customFormat="1" ht="15">
      <c r="A65" s="100"/>
      <c r="B65" s="100"/>
      <c r="C65" s="100"/>
      <c r="F65" s="148"/>
      <c r="G65" s="146"/>
      <c r="H65" s="141"/>
      <c r="I65" s="157"/>
    </row>
    <row r="66" spans="1:11" s="99" customFormat="1" ht="15.75">
      <c r="A66" s="100" t="s">
        <v>224</v>
      </c>
      <c r="B66" s="100"/>
      <c r="C66" s="100"/>
      <c r="F66" s="148"/>
      <c r="G66" s="146"/>
      <c r="H66" s="141"/>
      <c r="I66" s="150"/>
    </row>
    <row r="67" spans="1:11" s="99" customFormat="1" ht="22.15" customHeight="1">
      <c r="A67" s="100"/>
      <c r="B67" s="1022" t="s">
        <v>966</v>
      </c>
      <c r="C67" s="1022"/>
      <c r="D67" s="1022"/>
      <c r="E67" s="1022"/>
      <c r="F67" s="1022"/>
      <c r="G67" s="1022"/>
      <c r="H67" s="1022"/>
      <c r="I67" s="1022"/>
      <c r="J67" s="1022"/>
      <c r="K67" s="1022"/>
    </row>
    <row r="68" spans="1:11" s="99" customFormat="1" ht="15.75">
      <c r="A68" s="100"/>
      <c r="B68" s="100"/>
      <c r="C68" s="100"/>
      <c r="D68" s="108"/>
      <c r="F68" s="100"/>
      <c r="G68" s="101"/>
      <c r="H68" s="151"/>
      <c r="I68" s="152"/>
    </row>
  </sheetData>
  <mergeCells count="6">
    <mergeCell ref="A1:I1"/>
    <mergeCell ref="A2:I2"/>
    <mergeCell ref="B67:K67"/>
    <mergeCell ref="J3:L3"/>
    <mergeCell ref="K2:L2"/>
    <mergeCell ref="J1:L1"/>
  </mergeCells>
  <printOptions horizontalCentered="1"/>
  <pageMargins left="0.5" right="0.33" top="0.5" bottom="0.5" header="0.5" footer="0.5"/>
  <pageSetup scale="4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18E6-003C-4755-8E72-04C2D224B9A1}">
  <dimension ref="A1:L72"/>
  <sheetViews>
    <sheetView view="pageBreakPreview" zoomScale="60" zoomScaleNormal="100" workbookViewId="0">
      <selection sqref="A1:I1"/>
    </sheetView>
  </sheetViews>
  <sheetFormatPr defaultRowHeight="12.75"/>
  <cols>
    <col min="1" max="1" width="7.21875" style="98" customWidth="1"/>
    <col min="2" max="2" width="2.33203125" style="98" customWidth="1"/>
    <col min="3" max="3" width="6.33203125" style="98" customWidth="1"/>
    <col min="4" max="4" width="33.44140625" style="98" customWidth="1"/>
    <col min="5" max="5" width="18" style="98" customWidth="1"/>
    <col min="6" max="6" width="27.6640625" style="98" customWidth="1"/>
    <col min="7" max="7" width="50.44140625" style="98" customWidth="1"/>
    <col min="8" max="8" width="3" style="98" customWidth="1"/>
    <col min="9" max="9" width="23.44140625" style="98" customWidth="1"/>
    <col min="10" max="10" width="7.88671875" style="98" customWidth="1"/>
    <col min="11" max="11" width="17.88671875" style="98" bestFit="1" customWidth="1"/>
    <col min="12" max="12" width="6.21875" style="98" customWidth="1"/>
    <col min="13" max="256" width="8.88671875" style="98"/>
    <col min="257" max="257" width="7.21875" style="98" customWidth="1"/>
    <col min="258" max="258" width="2.33203125" style="98" customWidth="1"/>
    <col min="259" max="259" width="6.33203125" style="98" customWidth="1"/>
    <col min="260" max="260" width="33.44140625" style="98" customWidth="1"/>
    <col min="261" max="261" width="18" style="98" customWidth="1"/>
    <col min="262" max="262" width="27.6640625" style="98" customWidth="1"/>
    <col min="263" max="263" width="28.88671875" style="98" bestFit="1" customWidth="1"/>
    <col min="264" max="264" width="3" style="98" customWidth="1"/>
    <col min="265" max="265" width="23.44140625" style="98" customWidth="1"/>
    <col min="266" max="266" width="8.88671875" style="98"/>
    <col min="267" max="267" width="17.88671875" style="98" bestFit="1" customWidth="1"/>
    <col min="268" max="512" width="8.88671875" style="98"/>
    <col min="513" max="513" width="7.21875" style="98" customWidth="1"/>
    <col min="514" max="514" width="2.33203125" style="98" customWidth="1"/>
    <col min="515" max="515" width="6.33203125" style="98" customWidth="1"/>
    <col min="516" max="516" width="33.44140625" style="98" customWidth="1"/>
    <col min="517" max="517" width="18" style="98" customWidth="1"/>
    <col min="518" max="518" width="27.6640625" style="98" customWidth="1"/>
    <col min="519" max="519" width="28.88671875" style="98" bestFit="1" customWidth="1"/>
    <col min="520" max="520" width="3" style="98" customWidth="1"/>
    <col min="521" max="521" width="23.44140625" style="98" customWidth="1"/>
    <col min="522" max="522" width="8.88671875" style="98"/>
    <col min="523" max="523" width="17.88671875" style="98" bestFit="1" customWidth="1"/>
    <col min="524" max="768" width="8.88671875" style="98"/>
    <col min="769" max="769" width="7.21875" style="98" customWidth="1"/>
    <col min="770" max="770" width="2.33203125" style="98" customWidth="1"/>
    <col min="771" max="771" width="6.33203125" style="98" customWidth="1"/>
    <col min="772" max="772" width="33.44140625" style="98" customWidth="1"/>
    <col min="773" max="773" width="18" style="98" customWidth="1"/>
    <col min="774" max="774" width="27.6640625" style="98" customWidth="1"/>
    <col min="775" max="775" width="28.88671875" style="98" bestFit="1" customWidth="1"/>
    <col min="776" max="776" width="3" style="98" customWidth="1"/>
    <col min="777" max="777" width="23.44140625" style="98" customWidth="1"/>
    <col min="778" max="778" width="8.88671875" style="98"/>
    <col min="779" max="779" width="17.88671875" style="98" bestFit="1" customWidth="1"/>
    <col min="780" max="1024" width="8.88671875" style="98"/>
    <col min="1025" max="1025" width="7.21875" style="98" customWidth="1"/>
    <col min="1026" max="1026" width="2.33203125" style="98" customWidth="1"/>
    <col min="1027" max="1027" width="6.33203125" style="98" customWidth="1"/>
    <col min="1028" max="1028" width="33.44140625" style="98" customWidth="1"/>
    <col min="1029" max="1029" width="18" style="98" customWidth="1"/>
    <col min="1030" max="1030" width="27.6640625" style="98" customWidth="1"/>
    <col min="1031" max="1031" width="28.88671875" style="98" bestFit="1" customWidth="1"/>
    <col min="1032" max="1032" width="3" style="98" customWidth="1"/>
    <col min="1033" max="1033" width="23.44140625" style="98" customWidth="1"/>
    <col min="1034" max="1034" width="8.88671875" style="98"/>
    <col min="1035" max="1035" width="17.88671875" style="98" bestFit="1" customWidth="1"/>
    <col min="1036" max="1280" width="8.88671875" style="98"/>
    <col min="1281" max="1281" width="7.21875" style="98" customWidth="1"/>
    <col min="1282" max="1282" width="2.33203125" style="98" customWidth="1"/>
    <col min="1283" max="1283" width="6.33203125" style="98" customWidth="1"/>
    <col min="1284" max="1284" width="33.44140625" style="98" customWidth="1"/>
    <col min="1285" max="1285" width="18" style="98" customWidth="1"/>
    <col min="1286" max="1286" width="27.6640625" style="98" customWidth="1"/>
    <col min="1287" max="1287" width="28.88671875" style="98" bestFit="1" customWidth="1"/>
    <col min="1288" max="1288" width="3" style="98" customWidth="1"/>
    <col min="1289" max="1289" width="23.44140625" style="98" customWidth="1"/>
    <col min="1290" max="1290" width="8.88671875" style="98"/>
    <col min="1291" max="1291" width="17.88671875" style="98" bestFit="1" customWidth="1"/>
    <col min="1292" max="1536" width="8.88671875" style="98"/>
    <col min="1537" max="1537" width="7.21875" style="98" customWidth="1"/>
    <col min="1538" max="1538" width="2.33203125" style="98" customWidth="1"/>
    <col min="1539" max="1539" width="6.33203125" style="98" customWidth="1"/>
    <col min="1540" max="1540" width="33.44140625" style="98" customWidth="1"/>
    <col min="1541" max="1541" width="18" style="98" customWidth="1"/>
    <col min="1542" max="1542" width="27.6640625" style="98" customWidth="1"/>
    <col min="1543" max="1543" width="28.88671875" style="98" bestFit="1" customWidth="1"/>
    <col min="1544" max="1544" width="3" style="98" customWidth="1"/>
    <col min="1545" max="1545" width="23.44140625" style="98" customWidth="1"/>
    <col min="1546" max="1546" width="8.88671875" style="98"/>
    <col min="1547" max="1547" width="17.88671875" style="98" bestFit="1" customWidth="1"/>
    <col min="1548" max="1792" width="8.88671875" style="98"/>
    <col min="1793" max="1793" width="7.21875" style="98" customWidth="1"/>
    <col min="1794" max="1794" width="2.33203125" style="98" customWidth="1"/>
    <col min="1795" max="1795" width="6.33203125" style="98" customWidth="1"/>
    <col min="1796" max="1796" width="33.44140625" style="98" customWidth="1"/>
    <col min="1797" max="1797" width="18" style="98" customWidth="1"/>
    <col min="1798" max="1798" width="27.6640625" style="98" customWidth="1"/>
    <col min="1799" max="1799" width="28.88671875" style="98" bestFit="1" customWidth="1"/>
    <col min="1800" max="1800" width="3" style="98" customWidth="1"/>
    <col min="1801" max="1801" width="23.44140625" style="98" customWidth="1"/>
    <col min="1802" max="1802" width="8.88671875" style="98"/>
    <col min="1803" max="1803" width="17.88671875" style="98" bestFit="1" customWidth="1"/>
    <col min="1804" max="2048" width="8.88671875" style="98"/>
    <col min="2049" max="2049" width="7.21875" style="98" customWidth="1"/>
    <col min="2050" max="2050" width="2.33203125" style="98" customWidth="1"/>
    <col min="2051" max="2051" width="6.33203125" style="98" customWidth="1"/>
    <col min="2052" max="2052" width="33.44140625" style="98" customWidth="1"/>
    <col min="2053" max="2053" width="18" style="98" customWidth="1"/>
    <col min="2054" max="2054" width="27.6640625" style="98" customWidth="1"/>
    <col min="2055" max="2055" width="28.88671875" style="98" bestFit="1" customWidth="1"/>
    <col min="2056" max="2056" width="3" style="98" customWidth="1"/>
    <col min="2057" max="2057" width="23.44140625" style="98" customWidth="1"/>
    <col min="2058" max="2058" width="8.88671875" style="98"/>
    <col min="2059" max="2059" width="17.88671875" style="98" bestFit="1" customWidth="1"/>
    <col min="2060" max="2304" width="8.88671875" style="98"/>
    <col min="2305" max="2305" width="7.21875" style="98" customWidth="1"/>
    <col min="2306" max="2306" width="2.33203125" style="98" customWidth="1"/>
    <col min="2307" max="2307" width="6.33203125" style="98" customWidth="1"/>
    <col min="2308" max="2308" width="33.44140625" style="98" customWidth="1"/>
    <col min="2309" max="2309" width="18" style="98" customWidth="1"/>
    <col min="2310" max="2310" width="27.6640625" style="98" customWidth="1"/>
    <col min="2311" max="2311" width="28.88671875" style="98" bestFit="1" customWidth="1"/>
    <col min="2312" max="2312" width="3" style="98" customWidth="1"/>
    <col min="2313" max="2313" width="23.44140625" style="98" customWidth="1"/>
    <col min="2314" max="2314" width="8.88671875" style="98"/>
    <col min="2315" max="2315" width="17.88671875" style="98" bestFit="1" customWidth="1"/>
    <col min="2316" max="2560" width="8.88671875" style="98"/>
    <col min="2561" max="2561" width="7.21875" style="98" customWidth="1"/>
    <col min="2562" max="2562" width="2.33203125" style="98" customWidth="1"/>
    <col min="2563" max="2563" width="6.33203125" style="98" customWidth="1"/>
    <col min="2564" max="2564" width="33.44140625" style="98" customWidth="1"/>
    <col min="2565" max="2565" width="18" style="98" customWidth="1"/>
    <col min="2566" max="2566" width="27.6640625" style="98" customWidth="1"/>
    <col min="2567" max="2567" width="28.88671875" style="98" bestFit="1" customWidth="1"/>
    <col min="2568" max="2568" width="3" style="98" customWidth="1"/>
    <col min="2569" max="2569" width="23.44140625" style="98" customWidth="1"/>
    <col min="2570" max="2570" width="8.88671875" style="98"/>
    <col min="2571" max="2571" width="17.88671875" style="98" bestFit="1" customWidth="1"/>
    <col min="2572" max="2816" width="8.88671875" style="98"/>
    <col min="2817" max="2817" width="7.21875" style="98" customWidth="1"/>
    <col min="2818" max="2818" width="2.33203125" style="98" customWidth="1"/>
    <col min="2819" max="2819" width="6.33203125" style="98" customWidth="1"/>
    <col min="2820" max="2820" width="33.44140625" style="98" customWidth="1"/>
    <col min="2821" max="2821" width="18" style="98" customWidth="1"/>
    <col min="2822" max="2822" width="27.6640625" style="98" customWidth="1"/>
    <col min="2823" max="2823" width="28.88671875" style="98" bestFit="1" customWidth="1"/>
    <col min="2824" max="2824" width="3" style="98" customWidth="1"/>
    <col min="2825" max="2825" width="23.44140625" style="98" customWidth="1"/>
    <col min="2826" max="2826" width="8.88671875" style="98"/>
    <col min="2827" max="2827" width="17.88671875" style="98" bestFit="1" customWidth="1"/>
    <col min="2828" max="3072" width="8.88671875" style="98"/>
    <col min="3073" max="3073" width="7.21875" style="98" customWidth="1"/>
    <col min="3074" max="3074" width="2.33203125" style="98" customWidth="1"/>
    <col min="3075" max="3075" width="6.33203125" style="98" customWidth="1"/>
    <col min="3076" max="3076" width="33.44140625" style="98" customWidth="1"/>
    <col min="3077" max="3077" width="18" style="98" customWidth="1"/>
    <col min="3078" max="3078" width="27.6640625" style="98" customWidth="1"/>
    <col min="3079" max="3079" width="28.88671875" style="98" bestFit="1" customWidth="1"/>
    <col min="3080" max="3080" width="3" style="98" customWidth="1"/>
    <col min="3081" max="3081" width="23.44140625" style="98" customWidth="1"/>
    <col min="3082" max="3082" width="8.88671875" style="98"/>
    <col min="3083" max="3083" width="17.88671875" style="98" bestFit="1" customWidth="1"/>
    <col min="3084" max="3328" width="8.88671875" style="98"/>
    <col min="3329" max="3329" width="7.21875" style="98" customWidth="1"/>
    <col min="3330" max="3330" width="2.33203125" style="98" customWidth="1"/>
    <col min="3331" max="3331" width="6.33203125" style="98" customWidth="1"/>
    <col min="3332" max="3332" width="33.44140625" style="98" customWidth="1"/>
    <col min="3333" max="3333" width="18" style="98" customWidth="1"/>
    <col min="3334" max="3334" width="27.6640625" style="98" customWidth="1"/>
    <col min="3335" max="3335" width="28.88671875" style="98" bestFit="1" customWidth="1"/>
    <col min="3336" max="3336" width="3" style="98" customWidth="1"/>
    <col min="3337" max="3337" width="23.44140625" style="98" customWidth="1"/>
    <col min="3338" max="3338" width="8.88671875" style="98"/>
    <col min="3339" max="3339" width="17.88671875" style="98" bestFit="1" customWidth="1"/>
    <col min="3340" max="3584" width="8.88671875" style="98"/>
    <col min="3585" max="3585" width="7.21875" style="98" customWidth="1"/>
    <col min="3586" max="3586" width="2.33203125" style="98" customWidth="1"/>
    <col min="3587" max="3587" width="6.33203125" style="98" customWidth="1"/>
    <col min="3588" max="3588" width="33.44140625" style="98" customWidth="1"/>
    <col min="3589" max="3589" width="18" style="98" customWidth="1"/>
    <col min="3590" max="3590" width="27.6640625" style="98" customWidth="1"/>
    <col min="3591" max="3591" width="28.88671875" style="98" bestFit="1" customWidth="1"/>
    <col min="3592" max="3592" width="3" style="98" customWidth="1"/>
    <col min="3593" max="3593" width="23.44140625" style="98" customWidth="1"/>
    <col min="3594" max="3594" width="8.88671875" style="98"/>
    <col min="3595" max="3595" width="17.88671875" style="98" bestFit="1" customWidth="1"/>
    <col min="3596" max="3840" width="8.88671875" style="98"/>
    <col min="3841" max="3841" width="7.21875" style="98" customWidth="1"/>
    <col min="3842" max="3842" width="2.33203125" style="98" customWidth="1"/>
    <col min="3843" max="3843" width="6.33203125" style="98" customWidth="1"/>
    <col min="3844" max="3844" width="33.44140625" style="98" customWidth="1"/>
    <col min="3845" max="3845" width="18" style="98" customWidth="1"/>
    <col min="3846" max="3846" width="27.6640625" style="98" customWidth="1"/>
    <col min="3847" max="3847" width="28.88671875" style="98" bestFit="1" customWidth="1"/>
    <col min="3848" max="3848" width="3" style="98" customWidth="1"/>
    <col min="3849" max="3849" width="23.44140625" style="98" customWidth="1"/>
    <col min="3850" max="3850" width="8.88671875" style="98"/>
    <col min="3851" max="3851" width="17.88671875" style="98" bestFit="1" customWidth="1"/>
    <col min="3852" max="4096" width="8.88671875" style="98"/>
    <col min="4097" max="4097" width="7.21875" style="98" customWidth="1"/>
    <col min="4098" max="4098" width="2.33203125" style="98" customWidth="1"/>
    <col min="4099" max="4099" width="6.33203125" style="98" customWidth="1"/>
    <col min="4100" max="4100" width="33.44140625" style="98" customWidth="1"/>
    <col min="4101" max="4101" width="18" style="98" customWidth="1"/>
    <col min="4102" max="4102" width="27.6640625" style="98" customWidth="1"/>
    <col min="4103" max="4103" width="28.88671875" style="98" bestFit="1" customWidth="1"/>
    <col min="4104" max="4104" width="3" style="98" customWidth="1"/>
    <col min="4105" max="4105" width="23.44140625" style="98" customWidth="1"/>
    <col min="4106" max="4106" width="8.88671875" style="98"/>
    <col min="4107" max="4107" width="17.88671875" style="98" bestFit="1" customWidth="1"/>
    <col min="4108" max="4352" width="8.88671875" style="98"/>
    <col min="4353" max="4353" width="7.21875" style="98" customWidth="1"/>
    <col min="4354" max="4354" width="2.33203125" style="98" customWidth="1"/>
    <col min="4355" max="4355" width="6.33203125" style="98" customWidth="1"/>
    <col min="4356" max="4356" width="33.44140625" style="98" customWidth="1"/>
    <col min="4357" max="4357" width="18" style="98" customWidth="1"/>
    <col min="4358" max="4358" width="27.6640625" style="98" customWidth="1"/>
    <col min="4359" max="4359" width="28.88671875" style="98" bestFit="1" customWidth="1"/>
    <col min="4360" max="4360" width="3" style="98" customWidth="1"/>
    <col min="4361" max="4361" width="23.44140625" style="98" customWidth="1"/>
    <col min="4362" max="4362" width="8.88671875" style="98"/>
    <col min="4363" max="4363" width="17.88671875" style="98" bestFit="1" customWidth="1"/>
    <col min="4364" max="4608" width="8.88671875" style="98"/>
    <col min="4609" max="4609" width="7.21875" style="98" customWidth="1"/>
    <col min="4610" max="4610" width="2.33203125" style="98" customWidth="1"/>
    <col min="4611" max="4611" width="6.33203125" style="98" customWidth="1"/>
    <col min="4612" max="4612" width="33.44140625" style="98" customWidth="1"/>
    <col min="4613" max="4613" width="18" style="98" customWidth="1"/>
    <col min="4614" max="4614" width="27.6640625" style="98" customWidth="1"/>
    <col min="4615" max="4615" width="28.88671875" style="98" bestFit="1" customWidth="1"/>
    <col min="4616" max="4616" width="3" style="98" customWidth="1"/>
    <col min="4617" max="4617" width="23.44140625" style="98" customWidth="1"/>
    <col min="4618" max="4618" width="8.88671875" style="98"/>
    <col min="4619" max="4619" width="17.88671875" style="98" bestFit="1" customWidth="1"/>
    <col min="4620" max="4864" width="8.88671875" style="98"/>
    <col min="4865" max="4865" width="7.21875" style="98" customWidth="1"/>
    <col min="4866" max="4866" width="2.33203125" style="98" customWidth="1"/>
    <col min="4867" max="4867" width="6.33203125" style="98" customWidth="1"/>
    <col min="4868" max="4868" width="33.44140625" style="98" customWidth="1"/>
    <col min="4869" max="4869" width="18" style="98" customWidth="1"/>
    <col min="4870" max="4870" width="27.6640625" style="98" customWidth="1"/>
    <col min="4871" max="4871" width="28.88671875" style="98" bestFit="1" customWidth="1"/>
    <col min="4872" max="4872" width="3" style="98" customWidth="1"/>
    <col min="4873" max="4873" width="23.44140625" style="98" customWidth="1"/>
    <col min="4874" max="4874" width="8.88671875" style="98"/>
    <col min="4875" max="4875" width="17.88671875" style="98" bestFit="1" customWidth="1"/>
    <col min="4876" max="5120" width="8.88671875" style="98"/>
    <col min="5121" max="5121" width="7.21875" style="98" customWidth="1"/>
    <col min="5122" max="5122" width="2.33203125" style="98" customWidth="1"/>
    <col min="5123" max="5123" width="6.33203125" style="98" customWidth="1"/>
    <col min="5124" max="5124" width="33.44140625" style="98" customWidth="1"/>
    <col min="5125" max="5125" width="18" style="98" customWidth="1"/>
    <col min="5126" max="5126" width="27.6640625" style="98" customWidth="1"/>
    <col min="5127" max="5127" width="28.88671875" style="98" bestFit="1" customWidth="1"/>
    <col min="5128" max="5128" width="3" style="98" customWidth="1"/>
    <col min="5129" max="5129" width="23.44140625" style="98" customWidth="1"/>
    <col min="5130" max="5130" width="8.88671875" style="98"/>
    <col min="5131" max="5131" width="17.88671875" style="98" bestFit="1" customWidth="1"/>
    <col min="5132" max="5376" width="8.88671875" style="98"/>
    <col min="5377" max="5377" width="7.21875" style="98" customWidth="1"/>
    <col min="5378" max="5378" width="2.33203125" style="98" customWidth="1"/>
    <col min="5379" max="5379" width="6.33203125" style="98" customWidth="1"/>
    <col min="5380" max="5380" width="33.44140625" style="98" customWidth="1"/>
    <col min="5381" max="5381" width="18" style="98" customWidth="1"/>
    <col min="5382" max="5382" width="27.6640625" style="98" customWidth="1"/>
    <col min="5383" max="5383" width="28.88671875" style="98" bestFit="1" customWidth="1"/>
    <col min="5384" max="5384" width="3" style="98" customWidth="1"/>
    <col min="5385" max="5385" width="23.44140625" style="98" customWidth="1"/>
    <col min="5386" max="5386" width="8.88671875" style="98"/>
    <col min="5387" max="5387" width="17.88671875" style="98" bestFit="1" customWidth="1"/>
    <col min="5388" max="5632" width="8.88671875" style="98"/>
    <col min="5633" max="5633" width="7.21875" style="98" customWidth="1"/>
    <col min="5634" max="5634" width="2.33203125" style="98" customWidth="1"/>
    <col min="5635" max="5635" width="6.33203125" style="98" customWidth="1"/>
    <col min="5636" max="5636" width="33.44140625" style="98" customWidth="1"/>
    <col min="5637" max="5637" width="18" style="98" customWidth="1"/>
    <col min="5638" max="5638" width="27.6640625" style="98" customWidth="1"/>
    <col min="5639" max="5639" width="28.88671875" style="98" bestFit="1" customWidth="1"/>
    <col min="5640" max="5640" width="3" style="98" customWidth="1"/>
    <col min="5641" max="5641" width="23.44140625" style="98" customWidth="1"/>
    <col min="5642" max="5642" width="8.88671875" style="98"/>
    <col min="5643" max="5643" width="17.88671875" style="98" bestFit="1" customWidth="1"/>
    <col min="5644" max="5888" width="8.88671875" style="98"/>
    <col min="5889" max="5889" width="7.21875" style="98" customWidth="1"/>
    <col min="5890" max="5890" width="2.33203125" style="98" customWidth="1"/>
    <col min="5891" max="5891" width="6.33203125" style="98" customWidth="1"/>
    <col min="5892" max="5892" width="33.44140625" style="98" customWidth="1"/>
    <col min="5893" max="5893" width="18" style="98" customWidth="1"/>
    <col min="5894" max="5894" width="27.6640625" style="98" customWidth="1"/>
    <col min="5895" max="5895" width="28.88671875" style="98" bestFit="1" customWidth="1"/>
    <col min="5896" max="5896" width="3" style="98" customWidth="1"/>
    <col min="5897" max="5897" width="23.44140625" style="98" customWidth="1"/>
    <col min="5898" max="5898" width="8.88671875" style="98"/>
    <col min="5899" max="5899" width="17.88671875" style="98" bestFit="1" customWidth="1"/>
    <col min="5900" max="6144" width="8.88671875" style="98"/>
    <col min="6145" max="6145" width="7.21875" style="98" customWidth="1"/>
    <col min="6146" max="6146" width="2.33203125" style="98" customWidth="1"/>
    <col min="6147" max="6147" width="6.33203125" style="98" customWidth="1"/>
    <col min="6148" max="6148" width="33.44140625" style="98" customWidth="1"/>
    <col min="6149" max="6149" width="18" style="98" customWidth="1"/>
    <col min="6150" max="6150" width="27.6640625" style="98" customWidth="1"/>
    <col min="6151" max="6151" width="28.88671875" style="98" bestFit="1" customWidth="1"/>
    <col min="6152" max="6152" width="3" style="98" customWidth="1"/>
    <col min="6153" max="6153" width="23.44140625" style="98" customWidth="1"/>
    <col min="6154" max="6154" width="8.88671875" style="98"/>
    <col min="6155" max="6155" width="17.88671875" style="98" bestFit="1" customWidth="1"/>
    <col min="6156" max="6400" width="8.88671875" style="98"/>
    <col min="6401" max="6401" width="7.21875" style="98" customWidth="1"/>
    <col min="6402" max="6402" width="2.33203125" style="98" customWidth="1"/>
    <col min="6403" max="6403" width="6.33203125" style="98" customWidth="1"/>
    <col min="6404" max="6404" width="33.44140625" style="98" customWidth="1"/>
    <col min="6405" max="6405" width="18" style="98" customWidth="1"/>
    <col min="6406" max="6406" width="27.6640625" style="98" customWidth="1"/>
    <col min="6407" max="6407" width="28.88671875" style="98" bestFit="1" customWidth="1"/>
    <col min="6408" max="6408" width="3" style="98" customWidth="1"/>
    <col min="6409" max="6409" width="23.44140625" style="98" customWidth="1"/>
    <col min="6410" max="6410" width="8.88671875" style="98"/>
    <col min="6411" max="6411" width="17.88671875" style="98" bestFit="1" customWidth="1"/>
    <col min="6412" max="6656" width="8.88671875" style="98"/>
    <col min="6657" max="6657" width="7.21875" style="98" customWidth="1"/>
    <col min="6658" max="6658" width="2.33203125" style="98" customWidth="1"/>
    <col min="6659" max="6659" width="6.33203125" style="98" customWidth="1"/>
    <col min="6660" max="6660" width="33.44140625" style="98" customWidth="1"/>
    <col min="6661" max="6661" width="18" style="98" customWidth="1"/>
    <col min="6662" max="6662" width="27.6640625" style="98" customWidth="1"/>
    <col min="6663" max="6663" width="28.88671875" style="98" bestFit="1" customWidth="1"/>
    <col min="6664" max="6664" width="3" style="98" customWidth="1"/>
    <col min="6665" max="6665" width="23.44140625" style="98" customWidth="1"/>
    <col min="6666" max="6666" width="8.88671875" style="98"/>
    <col min="6667" max="6667" width="17.88671875" style="98" bestFit="1" customWidth="1"/>
    <col min="6668" max="6912" width="8.88671875" style="98"/>
    <col min="6913" max="6913" width="7.21875" style="98" customWidth="1"/>
    <col min="6914" max="6914" width="2.33203125" style="98" customWidth="1"/>
    <col min="6915" max="6915" width="6.33203125" style="98" customWidth="1"/>
    <col min="6916" max="6916" width="33.44140625" style="98" customWidth="1"/>
    <col min="6917" max="6917" width="18" style="98" customWidth="1"/>
    <col min="6918" max="6918" width="27.6640625" style="98" customWidth="1"/>
    <col min="6919" max="6919" width="28.88671875" style="98" bestFit="1" customWidth="1"/>
    <col min="6920" max="6920" width="3" style="98" customWidth="1"/>
    <col min="6921" max="6921" width="23.44140625" style="98" customWidth="1"/>
    <col min="6922" max="6922" width="8.88671875" style="98"/>
    <col min="6923" max="6923" width="17.88671875" style="98" bestFit="1" customWidth="1"/>
    <col min="6924" max="7168" width="8.88671875" style="98"/>
    <col min="7169" max="7169" width="7.21875" style="98" customWidth="1"/>
    <col min="7170" max="7170" width="2.33203125" style="98" customWidth="1"/>
    <col min="7171" max="7171" width="6.33203125" style="98" customWidth="1"/>
    <col min="7172" max="7172" width="33.44140625" style="98" customWidth="1"/>
    <col min="7173" max="7173" width="18" style="98" customWidth="1"/>
    <col min="7174" max="7174" width="27.6640625" style="98" customWidth="1"/>
    <col min="7175" max="7175" width="28.88671875" style="98" bestFit="1" customWidth="1"/>
    <col min="7176" max="7176" width="3" style="98" customWidth="1"/>
    <col min="7177" max="7177" width="23.44140625" style="98" customWidth="1"/>
    <col min="7178" max="7178" width="8.88671875" style="98"/>
    <col min="7179" max="7179" width="17.88671875" style="98" bestFit="1" customWidth="1"/>
    <col min="7180" max="7424" width="8.88671875" style="98"/>
    <col min="7425" max="7425" width="7.21875" style="98" customWidth="1"/>
    <col min="7426" max="7426" width="2.33203125" style="98" customWidth="1"/>
    <col min="7427" max="7427" width="6.33203125" style="98" customWidth="1"/>
    <col min="7428" max="7428" width="33.44140625" style="98" customWidth="1"/>
    <col min="7429" max="7429" width="18" style="98" customWidth="1"/>
    <col min="7430" max="7430" width="27.6640625" style="98" customWidth="1"/>
    <col min="7431" max="7431" width="28.88671875" style="98" bestFit="1" customWidth="1"/>
    <col min="7432" max="7432" width="3" style="98" customWidth="1"/>
    <col min="7433" max="7433" width="23.44140625" style="98" customWidth="1"/>
    <col min="7434" max="7434" width="8.88671875" style="98"/>
    <col min="7435" max="7435" width="17.88671875" style="98" bestFit="1" customWidth="1"/>
    <col min="7436" max="7680" width="8.88671875" style="98"/>
    <col min="7681" max="7681" width="7.21875" style="98" customWidth="1"/>
    <col min="7682" max="7682" width="2.33203125" style="98" customWidth="1"/>
    <col min="7683" max="7683" width="6.33203125" style="98" customWidth="1"/>
    <col min="7684" max="7684" width="33.44140625" style="98" customWidth="1"/>
    <col min="7685" max="7685" width="18" style="98" customWidth="1"/>
    <col min="7686" max="7686" width="27.6640625" style="98" customWidth="1"/>
    <col min="7687" max="7687" width="28.88671875" style="98" bestFit="1" customWidth="1"/>
    <col min="7688" max="7688" width="3" style="98" customWidth="1"/>
    <col min="7689" max="7689" width="23.44140625" style="98" customWidth="1"/>
    <col min="7690" max="7690" width="8.88671875" style="98"/>
    <col min="7691" max="7691" width="17.88671875" style="98" bestFit="1" customWidth="1"/>
    <col min="7692" max="7936" width="8.88671875" style="98"/>
    <col min="7937" max="7937" width="7.21875" style="98" customWidth="1"/>
    <col min="7938" max="7938" width="2.33203125" style="98" customWidth="1"/>
    <col min="7939" max="7939" width="6.33203125" style="98" customWidth="1"/>
    <col min="7940" max="7940" width="33.44140625" style="98" customWidth="1"/>
    <col min="7941" max="7941" width="18" style="98" customWidth="1"/>
    <col min="7942" max="7942" width="27.6640625" style="98" customWidth="1"/>
    <col min="7943" max="7943" width="28.88671875" style="98" bestFit="1" customWidth="1"/>
    <col min="7944" max="7944" width="3" style="98" customWidth="1"/>
    <col min="7945" max="7945" width="23.44140625" style="98" customWidth="1"/>
    <col min="7946" max="7946" width="8.88671875" style="98"/>
    <col min="7947" max="7947" width="17.88671875" style="98" bestFit="1" customWidth="1"/>
    <col min="7948" max="8192" width="8.88671875" style="98"/>
    <col min="8193" max="8193" width="7.21875" style="98" customWidth="1"/>
    <col min="8194" max="8194" width="2.33203125" style="98" customWidth="1"/>
    <col min="8195" max="8195" width="6.33203125" style="98" customWidth="1"/>
    <col min="8196" max="8196" width="33.44140625" style="98" customWidth="1"/>
    <col min="8197" max="8197" width="18" style="98" customWidth="1"/>
    <col min="8198" max="8198" width="27.6640625" style="98" customWidth="1"/>
    <col min="8199" max="8199" width="28.88671875" style="98" bestFit="1" customWidth="1"/>
    <col min="8200" max="8200" width="3" style="98" customWidth="1"/>
    <col min="8201" max="8201" width="23.44140625" style="98" customWidth="1"/>
    <col min="8202" max="8202" width="8.88671875" style="98"/>
    <col min="8203" max="8203" width="17.88671875" style="98" bestFit="1" customWidth="1"/>
    <col min="8204" max="8448" width="8.88671875" style="98"/>
    <col min="8449" max="8449" width="7.21875" style="98" customWidth="1"/>
    <col min="8450" max="8450" width="2.33203125" style="98" customWidth="1"/>
    <col min="8451" max="8451" width="6.33203125" style="98" customWidth="1"/>
    <col min="8452" max="8452" width="33.44140625" style="98" customWidth="1"/>
    <col min="8453" max="8453" width="18" style="98" customWidth="1"/>
    <col min="8454" max="8454" width="27.6640625" style="98" customWidth="1"/>
    <col min="8455" max="8455" width="28.88671875" style="98" bestFit="1" customWidth="1"/>
    <col min="8456" max="8456" width="3" style="98" customWidth="1"/>
    <col min="8457" max="8457" width="23.44140625" style="98" customWidth="1"/>
    <col min="8458" max="8458" width="8.88671875" style="98"/>
    <col min="8459" max="8459" width="17.88671875" style="98" bestFit="1" customWidth="1"/>
    <col min="8460" max="8704" width="8.88671875" style="98"/>
    <col min="8705" max="8705" width="7.21875" style="98" customWidth="1"/>
    <col min="8706" max="8706" width="2.33203125" style="98" customWidth="1"/>
    <col min="8707" max="8707" width="6.33203125" style="98" customWidth="1"/>
    <col min="8708" max="8708" width="33.44140625" style="98" customWidth="1"/>
    <col min="8709" max="8709" width="18" style="98" customWidth="1"/>
    <col min="8710" max="8710" width="27.6640625" style="98" customWidth="1"/>
    <col min="8711" max="8711" width="28.88671875" style="98" bestFit="1" customWidth="1"/>
    <col min="8712" max="8712" width="3" style="98" customWidth="1"/>
    <col min="8713" max="8713" width="23.44140625" style="98" customWidth="1"/>
    <col min="8714" max="8714" width="8.88671875" style="98"/>
    <col min="8715" max="8715" width="17.88671875" style="98" bestFit="1" customWidth="1"/>
    <col min="8716" max="8960" width="8.88671875" style="98"/>
    <col min="8961" max="8961" width="7.21875" style="98" customWidth="1"/>
    <col min="8962" max="8962" width="2.33203125" style="98" customWidth="1"/>
    <col min="8963" max="8963" width="6.33203125" style="98" customWidth="1"/>
    <col min="8964" max="8964" width="33.44140625" style="98" customWidth="1"/>
    <col min="8965" max="8965" width="18" style="98" customWidth="1"/>
    <col min="8966" max="8966" width="27.6640625" style="98" customWidth="1"/>
    <col min="8967" max="8967" width="28.88671875" style="98" bestFit="1" customWidth="1"/>
    <col min="8968" max="8968" width="3" style="98" customWidth="1"/>
    <col min="8969" max="8969" width="23.44140625" style="98" customWidth="1"/>
    <col min="8970" max="8970" width="8.88671875" style="98"/>
    <col min="8971" max="8971" width="17.88671875" style="98" bestFit="1" customWidth="1"/>
    <col min="8972" max="9216" width="8.88671875" style="98"/>
    <col min="9217" max="9217" width="7.21875" style="98" customWidth="1"/>
    <col min="9218" max="9218" width="2.33203125" style="98" customWidth="1"/>
    <col min="9219" max="9219" width="6.33203125" style="98" customWidth="1"/>
    <col min="9220" max="9220" width="33.44140625" style="98" customWidth="1"/>
    <col min="9221" max="9221" width="18" style="98" customWidth="1"/>
    <col min="9222" max="9222" width="27.6640625" style="98" customWidth="1"/>
    <col min="9223" max="9223" width="28.88671875" style="98" bestFit="1" customWidth="1"/>
    <col min="9224" max="9224" width="3" style="98" customWidth="1"/>
    <col min="9225" max="9225" width="23.44140625" style="98" customWidth="1"/>
    <col min="9226" max="9226" width="8.88671875" style="98"/>
    <col min="9227" max="9227" width="17.88671875" style="98" bestFit="1" customWidth="1"/>
    <col min="9228" max="9472" width="8.88671875" style="98"/>
    <col min="9473" max="9473" width="7.21875" style="98" customWidth="1"/>
    <col min="9474" max="9474" width="2.33203125" style="98" customWidth="1"/>
    <col min="9475" max="9475" width="6.33203125" style="98" customWidth="1"/>
    <col min="9476" max="9476" width="33.44140625" style="98" customWidth="1"/>
    <col min="9477" max="9477" width="18" style="98" customWidth="1"/>
    <col min="9478" max="9478" width="27.6640625" style="98" customWidth="1"/>
    <col min="9479" max="9479" width="28.88671875" style="98" bestFit="1" customWidth="1"/>
    <col min="9480" max="9480" width="3" style="98" customWidth="1"/>
    <col min="9481" max="9481" width="23.44140625" style="98" customWidth="1"/>
    <col min="9482" max="9482" width="8.88671875" style="98"/>
    <col min="9483" max="9483" width="17.88671875" style="98" bestFit="1" customWidth="1"/>
    <col min="9484" max="9728" width="8.88671875" style="98"/>
    <col min="9729" max="9729" width="7.21875" style="98" customWidth="1"/>
    <col min="9730" max="9730" width="2.33203125" style="98" customWidth="1"/>
    <col min="9731" max="9731" width="6.33203125" style="98" customWidth="1"/>
    <col min="9732" max="9732" width="33.44140625" style="98" customWidth="1"/>
    <col min="9733" max="9733" width="18" style="98" customWidth="1"/>
    <col min="9734" max="9734" width="27.6640625" style="98" customWidth="1"/>
    <col min="9735" max="9735" width="28.88671875" style="98" bestFit="1" customWidth="1"/>
    <col min="9736" max="9736" width="3" style="98" customWidth="1"/>
    <col min="9737" max="9737" width="23.44140625" style="98" customWidth="1"/>
    <col min="9738" max="9738" width="8.88671875" style="98"/>
    <col min="9739" max="9739" width="17.88671875" style="98" bestFit="1" customWidth="1"/>
    <col min="9740" max="9984" width="8.88671875" style="98"/>
    <col min="9985" max="9985" width="7.21875" style="98" customWidth="1"/>
    <col min="9986" max="9986" width="2.33203125" style="98" customWidth="1"/>
    <col min="9987" max="9987" width="6.33203125" style="98" customWidth="1"/>
    <col min="9988" max="9988" width="33.44140625" style="98" customWidth="1"/>
    <col min="9989" max="9989" width="18" style="98" customWidth="1"/>
    <col min="9990" max="9990" width="27.6640625" style="98" customWidth="1"/>
    <col min="9991" max="9991" width="28.88671875" style="98" bestFit="1" customWidth="1"/>
    <col min="9992" max="9992" width="3" style="98" customWidth="1"/>
    <col min="9993" max="9993" width="23.44140625" style="98" customWidth="1"/>
    <col min="9994" max="9994" width="8.88671875" style="98"/>
    <col min="9995" max="9995" width="17.88671875" style="98" bestFit="1" customWidth="1"/>
    <col min="9996" max="10240" width="8.88671875" style="98"/>
    <col min="10241" max="10241" width="7.21875" style="98" customWidth="1"/>
    <col min="10242" max="10242" width="2.33203125" style="98" customWidth="1"/>
    <col min="10243" max="10243" width="6.33203125" style="98" customWidth="1"/>
    <col min="10244" max="10244" width="33.44140625" style="98" customWidth="1"/>
    <col min="10245" max="10245" width="18" style="98" customWidth="1"/>
    <col min="10246" max="10246" width="27.6640625" style="98" customWidth="1"/>
    <col min="10247" max="10247" width="28.88671875" style="98" bestFit="1" customWidth="1"/>
    <col min="10248" max="10248" width="3" style="98" customWidth="1"/>
    <col min="10249" max="10249" width="23.44140625" style="98" customWidth="1"/>
    <col min="10250" max="10250" width="8.88671875" style="98"/>
    <col min="10251" max="10251" width="17.88671875" style="98" bestFit="1" customWidth="1"/>
    <col min="10252" max="10496" width="8.88671875" style="98"/>
    <col min="10497" max="10497" width="7.21875" style="98" customWidth="1"/>
    <col min="10498" max="10498" width="2.33203125" style="98" customWidth="1"/>
    <col min="10499" max="10499" width="6.33203125" style="98" customWidth="1"/>
    <col min="10500" max="10500" width="33.44140625" style="98" customWidth="1"/>
    <col min="10501" max="10501" width="18" style="98" customWidth="1"/>
    <col min="10502" max="10502" width="27.6640625" style="98" customWidth="1"/>
    <col min="10503" max="10503" width="28.88671875" style="98" bestFit="1" customWidth="1"/>
    <col min="10504" max="10504" width="3" style="98" customWidth="1"/>
    <col min="10505" max="10505" width="23.44140625" style="98" customWidth="1"/>
    <col min="10506" max="10506" width="8.88671875" style="98"/>
    <col min="10507" max="10507" width="17.88671875" style="98" bestFit="1" customWidth="1"/>
    <col min="10508" max="10752" width="8.88671875" style="98"/>
    <col min="10753" max="10753" width="7.21875" style="98" customWidth="1"/>
    <col min="10754" max="10754" width="2.33203125" style="98" customWidth="1"/>
    <col min="10755" max="10755" width="6.33203125" style="98" customWidth="1"/>
    <col min="10756" max="10756" width="33.44140625" style="98" customWidth="1"/>
    <col min="10757" max="10757" width="18" style="98" customWidth="1"/>
    <col min="10758" max="10758" width="27.6640625" style="98" customWidth="1"/>
    <col min="10759" max="10759" width="28.88671875" style="98" bestFit="1" customWidth="1"/>
    <col min="10760" max="10760" width="3" style="98" customWidth="1"/>
    <col min="10761" max="10761" width="23.44140625" style="98" customWidth="1"/>
    <col min="10762" max="10762" width="8.88671875" style="98"/>
    <col min="10763" max="10763" width="17.88671875" style="98" bestFit="1" customWidth="1"/>
    <col min="10764" max="11008" width="8.88671875" style="98"/>
    <col min="11009" max="11009" width="7.21875" style="98" customWidth="1"/>
    <col min="11010" max="11010" width="2.33203125" style="98" customWidth="1"/>
    <col min="11011" max="11011" width="6.33203125" style="98" customWidth="1"/>
    <col min="11012" max="11012" width="33.44140625" style="98" customWidth="1"/>
    <col min="11013" max="11013" width="18" style="98" customWidth="1"/>
    <col min="11014" max="11014" width="27.6640625" style="98" customWidth="1"/>
    <col min="11015" max="11015" width="28.88671875" style="98" bestFit="1" customWidth="1"/>
    <col min="11016" max="11016" width="3" style="98" customWidth="1"/>
    <col min="11017" max="11017" width="23.44140625" style="98" customWidth="1"/>
    <col min="11018" max="11018" width="8.88671875" style="98"/>
    <col min="11019" max="11019" width="17.88671875" style="98" bestFit="1" customWidth="1"/>
    <col min="11020" max="11264" width="8.88671875" style="98"/>
    <col min="11265" max="11265" width="7.21875" style="98" customWidth="1"/>
    <col min="11266" max="11266" width="2.33203125" style="98" customWidth="1"/>
    <col min="11267" max="11267" width="6.33203125" style="98" customWidth="1"/>
    <col min="11268" max="11268" width="33.44140625" style="98" customWidth="1"/>
    <col min="11269" max="11269" width="18" style="98" customWidth="1"/>
    <col min="11270" max="11270" width="27.6640625" style="98" customWidth="1"/>
    <col min="11271" max="11271" width="28.88671875" style="98" bestFit="1" customWidth="1"/>
    <col min="11272" max="11272" width="3" style="98" customWidth="1"/>
    <col min="11273" max="11273" width="23.44140625" style="98" customWidth="1"/>
    <col min="11274" max="11274" width="8.88671875" style="98"/>
    <col min="11275" max="11275" width="17.88671875" style="98" bestFit="1" customWidth="1"/>
    <col min="11276" max="11520" width="8.88671875" style="98"/>
    <col min="11521" max="11521" width="7.21875" style="98" customWidth="1"/>
    <col min="11522" max="11522" width="2.33203125" style="98" customWidth="1"/>
    <col min="11523" max="11523" width="6.33203125" style="98" customWidth="1"/>
    <col min="11524" max="11524" width="33.44140625" style="98" customWidth="1"/>
    <col min="11525" max="11525" width="18" style="98" customWidth="1"/>
    <col min="11526" max="11526" width="27.6640625" style="98" customWidth="1"/>
    <col min="11527" max="11527" width="28.88671875" style="98" bestFit="1" customWidth="1"/>
    <col min="11528" max="11528" width="3" style="98" customWidth="1"/>
    <col min="11529" max="11529" width="23.44140625" style="98" customWidth="1"/>
    <col min="11530" max="11530" width="8.88671875" style="98"/>
    <col min="11531" max="11531" width="17.88671875" style="98" bestFit="1" customWidth="1"/>
    <col min="11532" max="11776" width="8.88671875" style="98"/>
    <col min="11777" max="11777" width="7.21875" style="98" customWidth="1"/>
    <col min="11778" max="11778" width="2.33203125" style="98" customWidth="1"/>
    <col min="11779" max="11779" width="6.33203125" style="98" customWidth="1"/>
    <col min="11780" max="11780" width="33.44140625" style="98" customWidth="1"/>
    <col min="11781" max="11781" width="18" style="98" customWidth="1"/>
    <col min="11782" max="11782" width="27.6640625" style="98" customWidth="1"/>
    <col min="11783" max="11783" width="28.88671875" style="98" bestFit="1" customWidth="1"/>
    <col min="11784" max="11784" width="3" style="98" customWidth="1"/>
    <col min="11785" max="11785" width="23.44140625" style="98" customWidth="1"/>
    <col min="11786" max="11786" width="8.88671875" style="98"/>
    <col min="11787" max="11787" width="17.88671875" style="98" bestFit="1" customWidth="1"/>
    <col min="11788" max="12032" width="8.88671875" style="98"/>
    <col min="12033" max="12033" width="7.21875" style="98" customWidth="1"/>
    <col min="12034" max="12034" width="2.33203125" style="98" customWidth="1"/>
    <col min="12035" max="12035" width="6.33203125" style="98" customWidth="1"/>
    <col min="12036" max="12036" width="33.44140625" style="98" customWidth="1"/>
    <col min="12037" max="12037" width="18" style="98" customWidth="1"/>
    <col min="12038" max="12038" width="27.6640625" style="98" customWidth="1"/>
    <col min="12039" max="12039" width="28.88671875" style="98" bestFit="1" customWidth="1"/>
    <col min="12040" max="12040" width="3" style="98" customWidth="1"/>
    <col min="12041" max="12041" width="23.44140625" style="98" customWidth="1"/>
    <col min="12042" max="12042" width="8.88671875" style="98"/>
    <col min="12043" max="12043" width="17.88671875" style="98" bestFit="1" customWidth="1"/>
    <col min="12044" max="12288" width="8.88671875" style="98"/>
    <col min="12289" max="12289" width="7.21875" style="98" customWidth="1"/>
    <col min="12290" max="12290" width="2.33203125" style="98" customWidth="1"/>
    <col min="12291" max="12291" width="6.33203125" style="98" customWidth="1"/>
    <col min="12292" max="12292" width="33.44140625" style="98" customWidth="1"/>
    <col min="12293" max="12293" width="18" style="98" customWidth="1"/>
    <col min="12294" max="12294" width="27.6640625" style="98" customWidth="1"/>
    <col min="12295" max="12295" width="28.88671875" style="98" bestFit="1" customWidth="1"/>
    <col min="12296" max="12296" width="3" style="98" customWidth="1"/>
    <col min="12297" max="12297" width="23.44140625" style="98" customWidth="1"/>
    <col min="12298" max="12298" width="8.88671875" style="98"/>
    <col min="12299" max="12299" width="17.88671875" style="98" bestFit="1" customWidth="1"/>
    <col min="12300" max="12544" width="8.88671875" style="98"/>
    <col min="12545" max="12545" width="7.21875" style="98" customWidth="1"/>
    <col min="12546" max="12546" width="2.33203125" style="98" customWidth="1"/>
    <col min="12547" max="12547" width="6.33203125" style="98" customWidth="1"/>
    <col min="12548" max="12548" width="33.44140625" style="98" customWidth="1"/>
    <col min="12549" max="12549" width="18" style="98" customWidth="1"/>
    <col min="12550" max="12550" width="27.6640625" style="98" customWidth="1"/>
    <col min="12551" max="12551" width="28.88671875" style="98" bestFit="1" customWidth="1"/>
    <col min="12552" max="12552" width="3" style="98" customWidth="1"/>
    <col min="12553" max="12553" width="23.44140625" style="98" customWidth="1"/>
    <col min="12554" max="12554" width="8.88671875" style="98"/>
    <col min="12555" max="12555" width="17.88671875" style="98" bestFit="1" customWidth="1"/>
    <col min="12556" max="12800" width="8.88671875" style="98"/>
    <col min="12801" max="12801" width="7.21875" style="98" customWidth="1"/>
    <col min="12802" max="12802" width="2.33203125" style="98" customWidth="1"/>
    <col min="12803" max="12803" width="6.33203125" style="98" customWidth="1"/>
    <col min="12804" max="12804" width="33.44140625" style="98" customWidth="1"/>
    <col min="12805" max="12805" width="18" style="98" customWidth="1"/>
    <col min="12806" max="12806" width="27.6640625" style="98" customWidth="1"/>
    <col min="12807" max="12807" width="28.88671875" style="98" bestFit="1" customWidth="1"/>
    <col min="12808" max="12808" width="3" style="98" customWidth="1"/>
    <col min="12809" max="12809" width="23.44140625" style="98" customWidth="1"/>
    <col min="12810" max="12810" width="8.88671875" style="98"/>
    <col min="12811" max="12811" width="17.88671875" style="98" bestFit="1" customWidth="1"/>
    <col min="12812" max="13056" width="8.88671875" style="98"/>
    <col min="13057" max="13057" width="7.21875" style="98" customWidth="1"/>
    <col min="13058" max="13058" width="2.33203125" style="98" customWidth="1"/>
    <col min="13059" max="13059" width="6.33203125" style="98" customWidth="1"/>
    <col min="13060" max="13060" width="33.44140625" style="98" customWidth="1"/>
    <col min="13061" max="13061" width="18" style="98" customWidth="1"/>
    <col min="13062" max="13062" width="27.6640625" style="98" customWidth="1"/>
    <col min="13063" max="13063" width="28.88671875" style="98" bestFit="1" customWidth="1"/>
    <col min="13064" max="13064" width="3" style="98" customWidth="1"/>
    <col min="13065" max="13065" width="23.44140625" style="98" customWidth="1"/>
    <col min="13066" max="13066" width="8.88671875" style="98"/>
    <col min="13067" max="13067" width="17.88671875" style="98" bestFit="1" customWidth="1"/>
    <col min="13068" max="13312" width="8.88671875" style="98"/>
    <col min="13313" max="13313" width="7.21875" style="98" customWidth="1"/>
    <col min="13314" max="13314" width="2.33203125" style="98" customWidth="1"/>
    <col min="13315" max="13315" width="6.33203125" style="98" customWidth="1"/>
    <col min="13316" max="13316" width="33.44140625" style="98" customWidth="1"/>
    <col min="13317" max="13317" width="18" style="98" customWidth="1"/>
    <col min="13318" max="13318" width="27.6640625" style="98" customWidth="1"/>
    <col min="13319" max="13319" width="28.88671875" style="98" bestFit="1" customWidth="1"/>
    <col min="13320" max="13320" width="3" style="98" customWidth="1"/>
    <col min="13321" max="13321" width="23.44140625" style="98" customWidth="1"/>
    <col min="13322" max="13322" width="8.88671875" style="98"/>
    <col min="13323" max="13323" width="17.88671875" style="98" bestFit="1" customWidth="1"/>
    <col min="13324" max="13568" width="8.88671875" style="98"/>
    <col min="13569" max="13569" width="7.21875" style="98" customWidth="1"/>
    <col min="13570" max="13570" width="2.33203125" style="98" customWidth="1"/>
    <col min="13571" max="13571" width="6.33203125" style="98" customWidth="1"/>
    <col min="13572" max="13572" width="33.44140625" style="98" customWidth="1"/>
    <col min="13573" max="13573" width="18" style="98" customWidth="1"/>
    <col min="13574" max="13574" width="27.6640625" style="98" customWidth="1"/>
    <col min="13575" max="13575" width="28.88671875" style="98" bestFit="1" customWidth="1"/>
    <col min="13576" max="13576" width="3" style="98" customWidth="1"/>
    <col min="13577" max="13577" width="23.44140625" style="98" customWidth="1"/>
    <col min="13578" max="13578" width="8.88671875" style="98"/>
    <col min="13579" max="13579" width="17.88671875" style="98" bestFit="1" customWidth="1"/>
    <col min="13580" max="13824" width="8.88671875" style="98"/>
    <col min="13825" max="13825" width="7.21875" style="98" customWidth="1"/>
    <col min="13826" max="13826" width="2.33203125" style="98" customWidth="1"/>
    <col min="13827" max="13827" width="6.33203125" style="98" customWidth="1"/>
    <col min="13828" max="13828" width="33.44140625" style="98" customWidth="1"/>
    <col min="13829" max="13829" width="18" style="98" customWidth="1"/>
    <col min="13830" max="13830" width="27.6640625" style="98" customWidth="1"/>
    <col min="13831" max="13831" width="28.88671875" style="98" bestFit="1" customWidth="1"/>
    <col min="13832" max="13832" width="3" style="98" customWidth="1"/>
    <col min="13833" max="13833" width="23.44140625" style="98" customWidth="1"/>
    <col min="13834" max="13834" width="8.88671875" style="98"/>
    <col min="13835" max="13835" width="17.88671875" style="98" bestFit="1" customWidth="1"/>
    <col min="13836" max="14080" width="8.88671875" style="98"/>
    <col min="14081" max="14081" width="7.21875" style="98" customWidth="1"/>
    <col min="14082" max="14082" width="2.33203125" style="98" customWidth="1"/>
    <col min="14083" max="14083" width="6.33203125" style="98" customWidth="1"/>
    <col min="14084" max="14084" width="33.44140625" style="98" customWidth="1"/>
    <col min="14085" max="14085" width="18" style="98" customWidth="1"/>
    <col min="14086" max="14086" width="27.6640625" style="98" customWidth="1"/>
    <col min="14087" max="14087" width="28.88671875" style="98" bestFit="1" customWidth="1"/>
    <col min="14088" max="14088" width="3" style="98" customWidth="1"/>
    <col min="14089" max="14089" width="23.44140625" style="98" customWidth="1"/>
    <col min="14090" max="14090" width="8.88671875" style="98"/>
    <col min="14091" max="14091" width="17.88671875" style="98" bestFit="1" customWidth="1"/>
    <col min="14092" max="14336" width="8.88671875" style="98"/>
    <col min="14337" max="14337" width="7.21875" style="98" customWidth="1"/>
    <col min="14338" max="14338" width="2.33203125" style="98" customWidth="1"/>
    <col min="14339" max="14339" width="6.33203125" style="98" customWidth="1"/>
    <col min="14340" max="14340" width="33.44140625" style="98" customWidth="1"/>
    <col min="14341" max="14341" width="18" style="98" customWidth="1"/>
    <col min="14342" max="14342" width="27.6640625" style="98" customWidth="1"/>
    <col min="14343" max="14343" width="28.88671875" style="98" bestFit="1" customWidth="1"/>
    <col min="14344" max="14344" width="3" style="98" customWidth="1"/>
    <col min="14345" max="14345" width="23.44140625" style="98" customWidth="1"/>
    <col min="14346" max="14346" width="8.88671875" style="98"/>
    <col min="14347" max="14347" width="17.88671875" style="98" bestFit="1" customWidth="1"/>
    <col min="14348" max="14592" width="8.88671875" style="98"/>
    <col min="14593" max="14593" width="7.21875" style="98" customWidth="1"/>
    <col min="14594" max="14594" width="2.33203125" style="98" customWidth="1"/>
    <col min="14595" max="14595" width="6.33203125" style="98" customWidth="1"/>
    <col min="14596" max="14596" width="33.44140625" style="98" customWidth="1"/>
    <col min="14597" max="14597" width="18" style="98" customWidth="1"/>
    <col min="14598" max="14598" width="27.6640625" style="98" customWidth="1"/>
    <col min="14599" max="14599" width="28.88671875" style="98" bestFit="1" customWidth="1"/>
    <col min="14600" max="14600" width="3" style="98" customWidth="1"/>
    <col min="14601" max="14601" width="23.44140625" style="98" customWidth="1"/>
    <col min="14602" max="14602" width="8.88671875" style="98"/>
    <col min="14603" max="14603" width="17.88671875" style="98" bestFit="1" customWidth="1"/>
    <col min="14604" max="14848" width="8.88671875" style="98"/>
    <col min="14849" max="14849" width="7.21875" style="98" customWidth="1"/>
    <col min="14850" max="14850" width="2.33203125" style="98" customWidth="1"/>
    <col min="14851" max="14851" width="6.33203125" style="98" customWidth="1"/>
    <col min="14852" max="14852" width="33.44140625" style="98" customWidth="1"/>
    <col min="14853" max="14853" width="18" style="98" customWidth="1"/>
    <col min="14854" max="14854" width="27.6640625" style="98" customWidth="1"/>
    <col min="14855" max="14855" width="28.88671875" style="98" bestFit="1" customWidth="1"/>
    <col min="14856" max="14856" width="3" style="98" customWidth="1"/>
    <col min="14857" max="14857" width="23.44140625" style="98" customWidth="1"/>
    <col min="14858" max="14858" width="8.88671875" style="98"/>
    <col min="14859" max="14859" width="17.88671875" style="98" bestFit="1" customWidth="1"/>
    <col min="14860" max="15104" width="8.88671875" style="98"/>
    <col min="15105" max="15105" width="7.21875" style="98" customWidth="1"/>
    <col min="15106" max="15106" width="2.33203125" style="98" customWidth="1"/>
    <col min="15107" max="15107" width="6.33203125" style="98" customWidth="1"/>
    <col min="15108" max="15108" width="33.44140625" style="98" customWidth="1"/>
    <col min="15109" max="15109" width="18" style="98" customWidth="1"/>
    <col min="15110" max="15110" width="27.6640625" style="98" customWidth="1"/>
    <col min="15111" max="15111" width="28.88671875" style="98" bestFit="1" customWidth="1"/>
    <col min="15112" max="15112" width="3" style="98" customWidth="1"/>
    <col min="15113" max="15113" width="23.44140625" style="98" customWidth="1"/>
    <col min="15114" max="15114" width="8.88671875" style="98"/>
    <col min="15115" max="15115" width="17.88671875" style="98" bestFit="1" customWidth="1"/>
    <col min="15116" max="15360" width="8.88671875" style="98"/>
    <col min="15361" max="15361" width="7.21875" style="98" customWidth="1"/>
    <col min="15362" max="15362" width="2.33203125" style="98" customWidth="1"/>
    <col min="15363" max="15363" width="6.33203125" style="98" customWidth="1"/>
    <col min="15364" max="15364" width="33.44140625" style="98" customWidth="1"/>
    <col min="15365" max="15365" width="18" style="98" customWidth="1"/>
    <col min="15366" max="15366" width="27.6640625" style="98" customWidth="1"/>
    <col min="15367" max="15367" width="28.88671875" style="98" bestFit="1" customWidth="1"/>
    <col min="15368" max="15368" width="3" style="98" customWidth="1"/>
    <col min="15369" max="15369" width="23.44140625" style="98" customWidth="1"/>
    <col min="15370" max="15370" width="8.88671875" style="98"/>
    <col min="15371" max="15371" width="17.88671875" style="98" bestFit="1" customWidth="1"/>
    <col min="15372" max="15616" width="8.88671875" style="98"/>
    <col min="15617" max="15617" width="7.21875" style="98" customWidth="1"/>
    <col min="15618" max="15618" width="2.33203125" style="98" customWidth="1"/>
    <col min="15619" max="15619" width="6.33203125" style="98" customWidth="1"/>
    <col min="15620" max="15620" width="33.44140625" style="98" customWidth="1"/>
    <col min="15621" max="15621" width="18" style="98" customWidth="1"/>
    <col min="15622" max="15622" width="27.6640625" style="98" customWidth="1"/>
    <col min="15623" max="15623" width="28.88671875" style="98" bestFit="1" customWidth="1"/>
    <col min="15624" max="15624" width="3" style="98" customWidth="1"/>
    <col min="15625" max="15625" width="23.44140625" style="98" customWidth="1"/>
    <col min="15626" max="15626" width="8.88671875" style="98"/>
    <col min="15627" max="15627" width="17.88671875" style="98" bestFit="1" customWidth="1"/>
    <col min="15628" max="15872" width="8.88671875" style="98"/>
    <col min="15873" max="15873" width="7.21875" style="98" customWidth="1"/>
    <col min="15874" max="15874" width="2.33203125" style="98" customWidth="1"/>
    <col min="15875" max="15875" width="6.33203125" style="98" customWidth="1"/>
    <col min="15876" max="15876" width="33.44140625" style="98" customWidth="1"/>
    <col min="15877" max="15877" width="18" style="98" customWidth="1"/>
    <col min="15878" max="15878" width="27.6640625" style="98" customWidth="1"/>
    <col min="15879" max="15879" width="28.88671875" style="98" bestFit="1" customWidth="1"/>
    <col min="15880" max="15880" width="3" style="98" customWidth="1"/>
    <col min="15881" max="15881" width="23.44140625" style="98" customWidth="1"/>
    <col min="15882" max="15882" width="8.88671875" style="98"/>
    <col min="15883" max="15883" width="17.88671875" style="98" bestFit="1" customWidth="1"/>
    <col min="15884" max="16128" width="8.88671875" style="98"/>
    <col min="16129" max="16129" width="7.21875" style="98" customWidth="1"/>
    <col min="16130" max="16130" width="2.33203125" style="98" customWidth="1"/>
    <col min="16131" max="16131" width="6.33203125" style="98" customWidth="1"/>
    <col min="16132" max="16132" width="33.44140625" style="98" customWidth="1"/>
    <col min="16133" max="16133" width="18" style="98" customWidth="1"/>
    <col min="16134" max="16134" width="27.6640625" style="98" customWidth="1"/>
    <col min="16135" max="16135" width="28.88671875" style="98" bestFit="1" customWidth="1"/>
    <col min="16136" max="16136" width="3" style="98" customWidth="1"/>
    <col min="16137" max="16137" width="23.44140625" style="98" customWidth="1"/>
    <col min="16138" max="16138" width="8.88671875" style="98"/>
    <col min="16139" max="16139" width="17.88671875" style="98" bestFit="1" customWidth="1"/>
    <col min="16140" max="16384" width="8.88671875" style="98"/>
  </cols>
  <sheetData>
    <row r="1" spans="1:12" ht="18">
      <c r="A1" s="1019"/>
      <c r="B1" s="1020"/>
      <c r="C1" s="1020"/>
      <c r="D1" s="1020"/>
      <c r="E1" s="1020"/>
      <c r="F1" s="1020"/>
      <c r="G1" s="1020"/>
      <c r="H1" s="1020"/>
      <c r="I1" s="1020"/>
      <c r="J1" s="1025" t="str">
        <f>'Attachment H-34A '!K1&amp;""&amp;", Attachment 2a"</f>
        <v>Attachment H-34A, Attachment 2a</v>
      </c>
      <c r="K1" s="1025"/>
      <c r="L1" s="1025"/>
    </row>
    <row r="2" spans="1:12" ht="18">
      <c r="A2" s="1021" t="s">
        <v>498</v>
      </c>
      <c r="B2" s="1021"/>
      <c r="C2" s="1021"/>
      <c r="D2" s="1021"/>
      <c r="E2" s="1021"/>
      <c r="F2" s="1021"/>
      <c r="G2" s="1021"/>
      <c r="H2" s="1021"/>
      <c r="I2" s="1021"/>
      <c r="J2" s="629"/>
      <c r="K2" s="1023" t="s">
        <v>186</v>
      </c>
      <c r="L2" s="1023"/>
    </row>
    <row r="3" spans="1:12" ht="18">
      <c r="A3" s="156"/>
      <c r="B3" s="156"/>
      <c r="C3" s="156"/>
      <c r="D3" s="156"/>
      <c r="E3" s="156"/>
      <c r="F3" s="156"/>
      <c r="G3" s="156"/>
      <c r="H3" s="156"/>
      <c r="I3" s="156"/>
      <c r="J3" s="1025" t="str">
        <f>'Attachment H-34A '!K4</f>
        <v>For the 12 months ended 12/31/2026</v>
      </c>
      <c r="K3" s="1025"/>
      <c r="L3" s="1025"/>
    </row>
    <row r="4" spans="1:12" s="99" customFormat="1" ht="15">
      <c r="A4" s="100"/>
      <c r="B4" s="100"/>
    </row>
    <row r="5" spans="1:12" s="99" customFormat="1" ht="15.75">
      <c r="A5" s="103" t="s">
        <v>306</v>
      </c>
      <c r="B5" s="104"/>
      <c r="C5" s="104"/>
      <c r="D5" s="104"/>
      <c r="E5" s="104"/>
      <c r="F5" s="104"/>
      <c r="G5" s="104"/>
      <c r="H5" s="104"/>
      <c r="I5" s="104"/>
    </row>
    <row r="6" spans="1:12" s="99" customFormat="1" ht="15.75">
      <c r="A6" s="105"/>
      <c r="G6" s="106" t="s">
        <v>307</v>
      </c>
    </row>
    <row r="7" spans="1:12" s="99" customFormat="1" ht="15">
      <c r="I7" s="107"/>
    </row>
    <row r="8" spans="1:12" s="99" customFormat="1" ht="15">
      <c r="A8" s="100">
        <v>1</v>
      </c>
      <c r="C8" s="108" t="s">
        <v>480</v>
      </c>
      <c r="D8" s="108"/>
      <c r="F8" s="108"/>
      <c r="G8" s="109" t="s">
        <v>943</v>
      </c>
      <c r="H8" s="108"/>
      <c r="I8" s="102">
        <f>'Attachment H-34A '!I99</f>
        <v>581165683.22330844</v>
      </c>
    </row>
    <row r="9" spans="1:12" s="99" customFormat="1" ht="15">
      <c r="G9" s="108"/>
      <c r="I9" s="107"/>
    </row>
    <row r="10" spans="1:12" s="99" customFormat="1" ht="15">
      <c r="A10" s="100"/>
      <c r="B10" s="108"/>
      <c r="C10" s="108"/>
      <c r="D10" s="108"/>
      <c r="F10" s="101"/>
      <c r="G10" s="108"/>
      <c r="H10" s="101"/>
      <c r="I10" s="101"/>
    </row>
    <row r="11" spans="1:12" s="99" customFormat="1" ht="15.75">
      <c r="A11" s="100">
        <f>A8+1</f>
        <v>2</v>
      </c>
      <c r="B11" s="108"/>
      <c r="C11" s="108" t="s">
        <v>481</v>
      </c>
      <c r="D11" s="110"/>
      <c r="F11" s="99" t="s">
        <v>482</v>
      </c>
      <c r="G11" s="109" t="s">
        <v>944</v>
      </c>
      <c r="H11" s="101"/>
      <c r="I11" s="101">
        <f>'Attachment H-34A '!I255</f>
        <v>0</v>
      </c>
    </row>
    <row r="12" spans="1:12" s="99" customFormat="1" ht="15">
      <c r="A12" s="100"/>
      <c r="B12" s="108"/>
      <c r="C12" s="108"/>
      <c r="D12" s="108"/>
      <c r="G12" s="109"/>
      <c r="H12" s="101"/>
      <c r="I12" s="101"/>
    </row>
    <row r="13" spans="1:12" s="99" customFormat="1" ht="15.75">
      <c r="A13" s="100"/>
      <c r="B13" s="108"/>
      <c r="C13" s="108" t="s">
        <v>91</v>
      </c>
      <c r="D13" s="111"/>
      <c r="G13" s="109"/>
      <c r="H13" s="101"/>
      <c r="I13" s="101"/>
    </row>
    <row r="14" spans="1:12" s="99" customFormat="1" ht="15">
      <c r="A14" s="100">
        <f>A11+1</f>
        <v>3</v>
      </c>
      <c r="B14" s="108"/>
      <c r="C14" s="108"/>
      <c r="D14" s="108" t="s">
        <v>483</v>
      </c>
      <c r="E14" s="101"/>
      <c r="F14" s="101"/>
      <c r="G14" s="109" t="s">
        <v>509</v>
      </c>
      <c r="H14" s="101"/>
      <c r="I14" s="101">
        <f>'Attachment 8 - Cap Structure'!E23</f>
        <v>509031863.11021435</v>
      </c>
    </row>
    <row r="15" spans="1:12" s="99" customFormat="1" ht="15">
      <c r="A15" s="100">
        <f>A14+1</f>
        <v>4</v>
      </c>
      <c r="B15" s="108"/>
      <c r="C15" s="108"/>
      <c r="D15" s="108" t="s">
        <v>312</v>
      </c>
      <c r="E15" s="101"/>
      <c r="F15" s="101"/>
      <c r="G15" s="109" t="s">
        <v>510</v>
      </c>
      <c r="H15" s="101"/>
      <c r="I15" s="101">
        <f>'Attachment 8 - Cap Structure'!F23</f>
        <v>0</v>
      </c>
    </row>
    <row r="16" spans="1:12" s="99" customFormat="1" ht="15">
      <c r="A16" s="100">
        <f>A15+1</f>
        <v>5</v>
      </c>
      <c r="B16" s="108"/>
      <c r="C16" s="108"/>
      <c r="D16" s="108" t="s">
        <v>313</v>
      </c>
      <c r="E16" s="101"/>
      <c r="F16" s="101"/>
      <c r="G16" s="109" t="s">
        <v>513</v>
      </c>
      <c r="H16" s="101"/>
      <c r="I16" s="101">
        <f>'Attachment 8 - Cap Structure'!H23</f>
        <v>0</v>
      </c>
    </row>
    <row r="17" spans="1:11" s="99" customFormat="1" ht="15">
      <c r="A17" s="100">
        <f>+A16+1</f>
        <v>6</v>
      </c>
      <c r="B17" s="108"/>
      <c r="C17" s="108"/>
      <c r="D17" s="108" t="s">
        <v>508</v>
      </c>
      <c r="E17" s="112"/>
      <c r="F17" s="112"/>
      <c r="G17" s="113" t="s">
        <v>512</v>
      </c>
      <c r="H17" s="112"/>
      <c r="I17" s="112">
        <f>'Attachment 8 - Cap Structure'!G23+'Attachment 8 - Cap Structure'!I23</f>
        <v>0</v>
      </c>
    </row>
    <row r="18" spans="1:11" s="99" customFormat="1" ht="15">
      <c r="A18" s="100">
        <f>A17+1</f>
        <v>7</v>
      </c>
      <c r="B18" s="108"/>
      <c r="C18" s="108"/>
      <c r="D18" s="108" t="s">
        <v>91</v>
      </c>
      <c r="E18" s="101"/>
      <c r="F18" s="101"/>
      <c r="G18" s="109" t="s">
        <v>511</v>
      </c>
      <c r="H18" s="101"/>
      <c r="I18" s="101">
        <f>'Attachment 8 - Cap Structure'!J23</f>
        <v>509031863.11021435</v>
      </c>
    </row>
    <row r="19" spans="1:11" s="99" customFormat="1" ht="15">
      <c r="A19" s="100"/>
      <c r="B19" s="108"/>
      <c r="C19" s="108"/>
      <c r="D19" s="108"/>
      <c r="E19" s="101"/>
      <c r="F19" s="101"/>
      <c r="G19" s="109"/>
      <c r="H19" s="101"/>
      <c r="I19" s="101"/>
    </row>
    <row r="20" spans="1:11" s="99" customFormat="1" ht="15">
      <c r="A20" s="100"/>
      <c r="B20" s="108"/>
      <c r="C20" s="108"/>
      <c r="D20" s="108"/>
      <c r="E20" s="101"/>
      <c r="F20" s="101"/>
      <c r="G20" s="109"/>
      <c r="H20" s="101"/>
      <c r="I20" s="101"/>
    </row>
    <row r="21" spans="1:11" s="99" customFormat="1" ht="15.75">
      <c r="A21" s="100"/>
      <c r="B21" s="108"/>
      <c r="C21" s="108" t="s">
        <v>484</v>
      </c>
      <c r="D21" s="111"/>
      <c r="G21" s="109"/>
      <c r="I21" s="101"/>
    </row>
    <row r="22" spans="1:11" s="99" customFormat="1" ht="15">
      <c r="A22" s="100">
        <f>+A18+1</f>
        <v>8</v>
      </c>
      <c r="B22" s="108"/>
      <c r="C22" s="108"/>
      <c r="D22" s="108" t="s">
        <v>247</v>
      </c>
      <c r="G22" s="109" t="s">
        <v>945</v>
      </c>
      <c r="I22" s="101">
        <f>'Attachment H-34A '!D260</f>
        <v>200000000</v>
      </c>
    </row>
    <row r="23" spans="1:11" s="99" customFormat="1" ht="15">
      <c r="A23" s="100">
        <f>A22+1</f>
        <v>9</v>
      </c>
      <c r="B23" s="108"/>
      <c r="C23" s="108"/>
      <c r="D23" s="108" t="s">
        <v>245</v>
      </c>
      <c r="G23" s="109" t="s">
        <v>946</v>
      </c>
      <c r="I23" s="101">
        <f>'Attachment H-34A '!D261</f>
        <v>0</v>
      </c>
    </row>
    <row r="24" spans="1:11" s="99" customFormat="1" ht="15">
      <c r="A24" s="100">
        <f t="shared" ref="A24:A25" si="0">A23+1</f>
        <v>10</v>
      </c>
      <c r="B24" s="108"/>
      <c r="C24" s="108"/>
      <c r="D24" s="108" t="s">
        <v>91</v>
      </c>
      <c r="G24" s="113" t="s">
        <v>947</v>
      </c>
      <c r="I24" s="101">
        <f>'Attachment H-34A '!D262</f>
        <v>509031863.11021435</v>
      </c>
    </row>
    <row r="25" spans="1:11" s="99" customFormat="1" ht="15.75">
      <c r="A25" s="100">
        <f t="shared" si="0"/>
        <v>11</v>
      </c>
      <c r="B25" s="108"/>
      <c r="C25" s="108"/>
      <c r="D25" s="108" t="s">
        <v>485</v>
      </c>
      <c r="E25" s="114"/>
      <c r="F25" s="115"/>
      <c r="G25" s="109" t="s">
        <v>948</v>
      </c>
      <c r="H25" s="116"/>
      <c r="I25" s="116">
        <f>'Attachment H-34A '!D263</f>
        <v>709031863.11021435</v>
      </c>
    </row>
    <row r="26" spans="1:11" s="99" customFormat="1" ht="15">
      <c r="A26" s="100"/>
      <c r="B26" s="108"/>
      <c r="C26" s="108"/>
      <c r="D26" s="108"/>
      <c r="G26" s="108"/>
      <c r="H26" s="101"/>
      <c r="I26" s="117"/>
    </row>
    <row r="27" spans="1:11" s="99" customFormat="1" ht="15">
      <c r="A27" s="100">
        <f>A25+1</f>
        <v>12</v>
      </c>
      <c r="B27" s="108"/>
      <c r="C27" s="108"/>
      <c r="D27" s="108" t="s">
        <v>486</v>
      </c>
      <c r="F27" s="108" t="s">
        <v>487</v>
      </c>
      <c r="G27" s="109" t="s">
        <v>949</v>
      </c>
      <c r="H27" s="101"/>
      <c r="I27" s="118">
        <f>'Attachment H-34A '!E260</f>
        <v>0.50719928355074395</v>
      </c>
    </row>
    <row r="28" spans="1:11" s="99" customFormat="1" ht="15">
      <c r="A28" s="100">
        <f>A27+1</f>
        <v>13</v>
      </c>
      <c r="B28" s="108"/>
      <c r="C28" s="108"/>
      <c r="D28" s="108" t="s">
        <v>488</v>
      </c>
      <c r="F28" s="108" t="s">
        <v>245</v>
      </c>
      <c r="G28" s="109" t="s">
        <v>950</v>
      </c>
      <c r="H28" s="101"/>
      <c r="I28" s="118">
        <f>'Attachment H-34A '!E261</f>
        <v>0</v>
      </c>
    </row>
    <row r="29" spans="1:11" s="99" customFormat="1" ht="15">
      <c r="A29" s="100">
        <f>A28+1</f>
        <v>14</v>
      </c>
      <c r="B29" s="108"/>
      <c r="C29" s="108"/>
      <c r="D29" s="108" t="s">
        <v>489</v>
      </c>
      <c r="F29" s="108" t="s">
        <v>91</v>
      </c>
      <c r="G29" s="109" t="s">
        <v>951</v>
      </c>
      <c r="H29" s="101"/>
      <c r="I29" s="118">
        <f>'Attachment H-34A '!E262</f>
        <v>0.49280071644925594</v>
      </c>
    </row>
    <row r="30" spans="1:11" s="99" customFormat="1" ht="15">
      <c r="A30" s="100"/>
      <c r="B30" s="108"/>
      <c r="C30" s="108"/>
      <c r="D30" s="108"/>
      <c r="F30" s="109"/>
      <c r="G30" s="108"/>
      <c r="H30" s="101"/>
      <c r="I30" s="117"/>
    </row>
    <row r="31" spans="1:11" s="99" customFormat="1" ht="15">
      <c r="A31" s="100">
        <f>A29+1</f>
        <v>15</v>
      </c>
      <c r="B31" s="108"/>
      <c r="C31" s="108"/>
      <c r="D31" s="108" t="s">
        <v>353</v>
      </c>
      <c r="F31" s="109" t="s">
        <v>487</v>
      </c>
      <c r="G31" s="109" t="s">
        <v>952</v>
      </c>
      <c r="H31" s="101"/>
      <c r="I31" s="119">
        <f>'Attachment H-34A '!G260</f>
        <v>5.2400000000000002E-2</v>
      </c>
      <c r="K31" s="119"/>
    </row>
    <row r="32" spans="1:11" s="99" customFormat="1" ht="15">
      <c r="A32" s="100">
        <f>A31+1</f>
        <v>16</v>
      </c>
      <c r="B32" s="108"/>
      <c r="C32" s="108"/>
      <c r="D32" s="108" t="s">
        <v>490</v>
      </c>
      <c r="F32" s="109" t="s">
        <v>245</v>
      </c>
      <c r="G32" s="109" t="s">
        <v>953</v>
      </c>
      <c r="H32" s="101"/>
      <c r="I32" s="119">
        <f>'Attachment H-34A '!G261</f>
        <v>0</v>
      </c>
    </row>
    <row r="33" spans="1:11" s="99" customFormat="1" ht="15">
      <c r="A33" s="100">
        <f>A32+1</f>
        <v>17</v>
      </c>
      <c r="B33" s="108"/>
      <c r="C33" s="108"/>
      <c r="D33" s="108" t="s">
        <v>491</v>
      </c>
      <c r="F33" s="109" t="s">
        <v>91</v>
      </c>
      <c r="G33" s="109" t="s">
        <v>965</v>
      </c>
      <c r="H33" s="101"/>
      <c r="I33" s="832">
        <f>'Attachment H-34A '!G262+0.01</f>
        <v>0.11449999999999999</v>
      </c>
      <c r="K33" s="119"/>
    </row>
    <row r="34" spans="1:11" s="99" customFormat="1" ht="15">
      <c r="A34" s="100"/>
      <c r="B34" s="108"/>
      <c r="C34" s="108"/>
      <c r="D34" s="108"/>
      <c r="F34" s="109"/>
      <c r="G34" s="108"/>
      <c r="H34" s="101"/>
    </row>
    <row r="35" spans="1:11" s="99" customFormat="1" ht="15">
      <c r="A35" s="100">
        <f>A33+1</f>
        <v>18</v>
      </c>
      <c r="B35" s="108"/>
      <c r="C35" s="108"/>
      <c r="D35" s="108" t="s">
        <v>492</v>
      </c>
      <c r="F35" s="108" t="s">
        <v>493</v>
      </c>
      <c r="G35" s="108" t="s">
        <v>331</v>
      </c>
      <c r="H35" s="120"/>
      <c r="I35" s="119">
        <f>I31*I27</f>
        <v>2.6577242458058984E-2</v>
      </c>
    </row>
    <row r="36" spans="1:11" s="99" customFormat="1" ht="15">
      <c r="A36" s="100">
        <f>A35+1</f>
        <v>19</v>
      </c>
      <c r="B36" s="108"/>
      <c r="C36" s="108"/>
      <c r="D36" s="108" t="s">
        <v>494</v>
      </c>
      <c r="F36" s="108" t="s">
        <v>245</v>
      </c>
      <c r="G36" s="108" t="s">
        <v>332</v>
      </c>
      <c r="H36" s="121"/>
      <c r="I36" s="119">
        <f>I32*I28</f>
        <v>0</v>
      </c>
    </row>
    <row r="37" spans="1:11" s="99" customFormat="1" ht="15">
      <c r="A37" s="100">
        <f>A36+1</f>
        <v>20</v>
      </c>
      <c r="B37" s="108"/>
      <c r="C37" s="108"/>
      <c r="D37" s="122" t="s">
        <v>495</v>
      </c>
      <c r="E37" s="123"/>
      <c r="F37" s="122" t="s">
        <v>91</v>
      </c>
      <c r="G37" s="122" t="s">
        <v>333</v>
      </c>
      <c r="H37" s="124"/>
      <c r="I37" s="125">
        <f>I33*I29</f>
        <v>5.6425682033439797E-2</v>
      </c>
    </row>
    <row r="38" spans="1:11" s="99" customFormat="1" ht="15.75">
      <c r="A38" s="100">
        <f>A37+1</f>
        <v>21</v>
      </c>
      <c r="B38" s="108"/>
      <c r="C38" s="108" t="s">
        <v>496</v>
      </c>
      <c r="D38" s="108"/>
      <c r="E38" s="126"/>
      <c r="F38" s="126"/>
      <c r="G38" s="108" t="str">
        <f>"(Sum Lines "&amp;A35&amp;" to "&amp;A37&amp;")"</f>
        <v>(Sum Lines 18 to 20)</v>
      </c>
      <c r="H38" s="127"/>
      <c r="I38" s="128">
        <f>SUM(I35:I37)</f>
        <v>8.3002924491498778E-2</v>
      </c>
    </row>
    <row r="39" spans="1:11" s="99" customFormat="1" ht="15.75">
      <c r="A39" s="106"/>
      <c r="B39" s="108"/>
      <c r="C39" s="108"/>
      <c r="D39" s="108"/>
      <c r="E39" s="126"/>
      <c r="F39" s="126"/>
      <c r="G39" s="111"/>
      <c r="H39" s="127"/>
      <c r="I39" s="128"/>
    </row>
    <row r="40" spans="1:11" s="99" customFormat="1" ht="16.5" thickBot="1">
      <c r="A40" s="100">
        <f>A38+1</f>
        <v>22</v>
      </c>
      <c r="B40" s="108"/>
      <c r="C40" s="108" t="s">
        <v>497</v>
      </c>
      <c r="D40" s="108"/>
      <c r="E40" s="129"/>
      <c r="F40" s="130"/>
      <c r="G40" s="131" t="str">
        <f>"(Line "&amp;A8&amp;" * Line "&amp;A38&amp;")"</f>
        <v>(Line 1 * Line 21)</v>
      </c>
      <c r="H40" s="132"/>
      <c r="I40" s="133">
        <f>+I38*I8</f>
        <v>48238451.321634568</v>
      </c>
    </row>
    <row r="41" spans="1:11" s="99" customFormat="1" ht="15.75" thickTop="1">
      <c r="A41" s="100"/>
      <c r="B41" s="100"/>
      <c r="C41" s="100"/>
      <c r="F41" s="100"/>
      <c r="G41" s="101"/>
      <c r="H41" s="101"/>
      <c r="I41" s="119"/>
    </row>
    <row r="42" spans="1:11" s="99" customFormat="1" ht="15.75">
      <c r="A42" s="134" t="s">
        <v>314</v>
      </c>
      <c r="B42" s="134"/>
      <c r="C42" s="135"/>
      <c r="D42" s="136"/>
      <c r="E42" s="104"/>
      <c r="F42" s="137"/>
      <c r="G42" s="104"/>
      <c r="H42" s="104"/>
      <c r="I42" s="138"/>
    </row>
    <row r="43" spans="1:11" s="99" customFormat="1" ht="15.75">
      <c r="A43" s="108"/>
      <c r="B43" s="108"/>
      <c r="C43" s="100"/>
      <c r="D43" s="126"/>
      <c r="F43" s="117"/>
      <c r="I43" s="139"/>
      <c r="K43" s="101"/>
    </row>
    <row r="44" spans="1:11" s="99" customFormat="1" ht="15.75">
      <c r="A44" s="100" t="s">
        <v>3</v>
      </c>
      <c r="B44" s="100"/>
      <c r="C44" s="140" t="s">
        <v>308</v>
      </c>
      <c r="F44" s="117"/>
      <c r="G44" s="101"/>
      <c r="H44" s="141"/>
    </row>
    <row r="45" spans="1:11" s="99" customFormat="1" ht="15">
      <c r="A45" s="100">
        <f>+A40+1</f>
        <v>23</v>
      </c>
      <c r="B45" s="100"/>
      <c r="C45" s="100"/>
      <c r="D45" s="185" t="s">
        <v>65</v>
      </c>
      <c r="F45" s="100"/>
      <c r="G45" s="109" t="s">
        <v>955</v>
      </c>
      <c r="H45" s="142"/>
      <c r="I45" s="143">
        <f>'Attachment H-34A '!D159</f>
        <v>0.26917099999999994</v>
      </c>
    </row>
    <row r="46" spans="1:11" s="99" customFormat="1" ht="15">
      <c r="A46" s="100">
        <f>+A45+1</f>
        <v>24</v>
      </c>
      <c r="B46" s="100"/>
      <c r="C46" s="100"/>
      <c r="D46" s="186" t="s">
        <v>816</v>
      </c>
      <c r="E46" s="144"/>
      <c r="F46" s="100"/>
      <c r="G46" s="109" t="s">
        <v>320</v>
      </c>
      <c r="H46" s="142"/>
      <c r="I46" s="159">
        <f>(I45/(1-I45)*(1-I35/I38))</f>
        <v>0.25037785733616441</v>
      </c>
    </row>
    <row r="47" spans="1:11" s="99" customFormat="1" ht="15">
      <c r="A47" s="100"/>
      <c r="B47" s="100"/>
      <c r="C47" s="100"/>
      <c r="D47" s="187"/>
      <c r="E47" s="142"/>
      <c r="F47" s="100"/>
      <c r="G47" s="109"/>
      <c r="H47" s="142"/>
      <c r="I47" s="145"/>
    </row>
    <row r="48" spans="1:11" s="99" customFormat="1" ht="15">
      <c r="A48" s="100"/>
      <c r="B48" s="100"/>
      <c r="C48" s="100"/>
      <c r="D48" s="187"/>
      <c r="E48" s="146"/>
      <c r="F48" s="100"/>
      <c r="G48" s="109"/>
      <c r="H48" s="142"/>
      <c r="I48" s="143"/>
    </row>
    <row r="49" spans="1:11" s="99" customFormat="1" ht="15.75">
      <c r="A49" s="100">
        <v>25</v>
      </c>
      <c r="B49" s="100"/>
      <c r="C49" s="100"/>
      <c r="D49" s="185" t="s">
        <v>817</v>
      </c>
      <c r="E49" s="144"/>
      <c r="F49" s="100"/>
      <c r="G49" s="595" t="s">
        <v>956</v>
      </c>
      <c r="H49" s="142"/>
      <c r="I49" s="77">
        <f>'Attachment H-34A '!D163</f>
        <v>1.3683091393472344</v>
      </c>
      <c r="K49" s="147"/>
    </row>
    <row r="50" spans="1:11" s="99" customFormat="1" ht="15">
      <c r="A50" s="100">
        <v>26</v>
      </c>
      <c r="B50" s="100"/>
      <c r="C50" s="100"/>
      <c r="D50" s="187" t="s">
        <v>269</v>
      </c>
      <c r="F50" s="148"/>
      <c r="G50" s="109" t="s">
        <v>957</v>
      </c>
      <c r="H50" s="141"/>
      <c r="I50" s="157">
        <f>'Attachment H-34A '!D164</f>
        <v>0</v>
      </c>
    </row>
    <row r="51" spans="1:11" s="99" customFormat="1" ht="15">
      <c r="A51" s="100">
        <v>27</v>
      </c>
      <c r="B51" s="100"/>
      <c r="C51" s="100"/>
      <c r="D51" s="187" t="s">
        <v>311</v>
      </c>
      <c r="F51" s="148"/>
      <c r="G51" s="109" t="s">
        <v>958</v>
      </c>
      <c r="H51" s="141"/>
      <c r="I51" s="157">
        <f>'Attachment H-34A '!D165</f>
        <v>167169</v>
      </c>
    </row>
    <row r="52" spans="1:11" s="99" customFormat="1" ht="15">
      <c r="A52" s="100">
        <v>28</v>
      </c>
      <c r="B52" s="100"/>
      <c r="C52" s="100"/>
      <c r="D52" s="187" t="s">
        <v>318</v>
      </c>
      <c r="F52" s="148"/>
      <c r="G52" s="109" t="s">
        <v>959</v>
      </c>
      <c r="H52" s="141"/>
      <c r="I52" s="157">
        <f>'Attachment H-34A '!D166</f>
        <v>383336.12964486826</v>
      </c>
    </row>
    <row r="53" spans="1:11" s="99" customFormat="1" ht="15">
      <c r="A53" s="100">
        <v>29</v>
      </c>
      <c r="B53" s="100"/>
      <c r="C53" s="100"/>
      <c r="D53" s="185" t="s">
        <v>315</v>
      </c>
      <c r="F53" s="148"/>
      <c r="G53" s="146" t="s">
        <v>335</v>
      </c>
      <c r="H53" s="141"/>
      <c r="I53" s="157">
        <f>I46*I40</f>
        <v>12077840.083125731</v>
      </c>
    </row>
    <row r="54" spans="1:11" s="99" customFormat="1" ht="15">
      <c r="A54" s="100">
        <v>30</v>
      </c>
      <c r="B54" s="100"/>
      <c r="C54" s="100"/>
      <c r="D54" s="186" t="s">
        <v>316</v>
      </c>
      <c r="F54" s="148"/>
      <c r="G54" s="109" t="s">
        <v>960</v>
      </c>
      <c r="H54" s="141"/>
      <c r="I54" s="157">
        <f>'Attachment H-34A '!I168</f>
        <v>0</v>
      </c>
    </row>
    <row r="55" spans="1:11" s="99" customFormat="1" ht="15">
      <c r="A55" s="100">
        <v>31</v>
      </c>
      <c r="B55" s="100"/>
      <c r="C55" s="100"/>
      <c r="D55" s="186" t="s">
        <v>317</v>
      </c>
      <c r="F55" s="148"/>
      <c r="G55" s="109" t="s">
        <v>961</v>
      </c>
      <c r="H55" s="141"/>
      <c r="I55" s="157">
        <f>'Attachment H-34A '!I169</f>
        <v>228738.87051553783</v>
      </c>
    </row>
    <row r="56" spans="1:11" s="99" customFormat="1" ht="15.75" thickBot="1">
      <c r="A56" s="100">
        <v>32</v>
      </c>
      <c r="B56" s="100"/>
      <c r="C56" s="100"/>
      <c r="D56" s="186" t="s">
        <v>319</v>
      </c>
      <c r="F56" s="148"/>
      <c r="G56" s="109" t="s">
        <v>962</v>
      </c>
      <c r="H56" s="141"/>
      <c r="I56" s="158">
        <f>'Attachment H-34A '!D170</f>
        <v>524522.32963506959</v>
      </c>
    </row>
    <row r="57" spans="1:11" s="99" customFormat="1" ht="15">
      <c r="A57" s="100">
        <v>33</v>
      </c>
      <c r="B57" s="100"/>
      <c r="C57" s="100"/>
      <c r="D57" s="185" t="s">
        <v>67</v>
      </c>
      <c r="F57" s="148"/>
      <c r="G57" s="146" t="s">
        <v>334</v>
      </c>
      <c r="H57" s="141"/>
      <c r="I57" s="184">
        <f>SUM(I53:I56)</f>
        <v>12831101.283276338</v>
      </c>
    </row>
    <row r="58" spans="1:11" s="99" customFormat="1" ht="15">
      <c r="A58" s="100"/>
      <c r="B58" s="100"/>
      <c r="C58" s="100"/>
      <c r="F58" s="148"/>
      <c r="G58" s="146"/>
      <c r="H58" s="141"/>
      <c r="I58" s="149"/>
    </row>
    <row r="59" spans="1:11" s="99" customFormat="1" ht="15.75">
      <c r="A59" s="134" t="s">
        <v>789</v>
      </c>
      <c r="B59" s="134"/>
      <c r="C59" s="135"/>
      <c r="D59" s="136"/>
      <c r="E59" s="104"/>
      <c r="F59" s="137"/>
      <c r="G59" s="104"/>
      <c r="H59" s="104"/>
      <c r="I59" s="138"/>
    </row>
    <row r="60" spans="1:11" s="99" customFormat="1" ht="15.75">
      <c r="A60" s="179"/>
      <c r="B60" s="179"/>
      <c r="C60" s="180"/>
      <c r="D60" s="181"/>
      <c r="F60" s="182"/>
      <c r="I60" s="183"/>
    </row>
    <row r="61" spans="1:11" s="99" customFormat="1" ht="15">
      <c r="A61" s="100">
        <v>34</v>
      </c>
      <c r="B61" s="100"/>
      <c r="C61" s="100"/>
      <c r="D61" s="99" t="s">
        <v>865</v>
      </c>
      <c r="F61" s="148"/>
      <c r="G61" s="146" t="s">
        <v>336</v>
      </c>
      <c r="H61" s="141"/>
      <c r="I61" s="157">
        <f>I40+I57</f>
        <v>61069552.60491091</v>
      </c>
    </row>
    <row r="62" spans="1:11" s="99" customFormat="1" ht="15">
      <c r="A62" s="100"/>
      <c r="B62" s="100"/>
      <c r="C62" s="100"/>
      <c r="F62" s="148"/>
      <c r="G62" s="146"/>
      <c r="H62" s="141"/>
      <c r="I62" s="157"/>
    </row>
    <row r="63" spans="1:11" s="99" customFormat="1" ht="15">
      <c r="A63" s="100">
        <v>35</v>
      </c>
      <c r="B63" s="100"/>
      <c r="C63" s="100"/>
      <c r="D63" s="99" t="s">
        <v>697</v>
      </c>
      <c r="F63" s="148"/>
      <c r="G63" s="146" t="s">
        <v>699</v>
      </c>
      <c r="H63" s="141"/>
      <c r="I63" s="157">
        <f>I40</f>
        <v>48238451.321634568</v>
      </c>
    </row>
    <row r="64" spans="1:11" s="99" customFormat="1" ht="15">
      <c r="A64" s="100">
        <v>36</v>
      </c>
      <c r="B64" s="100"/>
      <c r="C64" s="100"/>
      <c r="D64" s="99" t="s">
        <v>698</v>
      </c>
      <c r="F64" s="148"/>
      <c r="G64" s="146" t="s">
        <v>700</v>
      </c>
      <c r="H64" s="141"/>
      <c r="I64" s="157">
        <f>I57</f>
        <v>12831101.283276338</v>
      </c>
    </row>
    <row r="65" spans="1:11" s="99" customFormat="1" ht="15">
      <c r="A65" s="100">
        <v>37</v>
      </c>
      <c r="B65" s="100"/>
      <c r="C65" s="100"/>
      <c r="D65" s="99" t="s">
        <v>524</v>
      </c>
      <c r="F65" s="148"/>
      <c r="G65" s="146" t="s">
        <v>859</v>
      </c>
      <c r="H65" s="141"/>
      <c r="I65" s="157">
        <f>I61-'Attachment 2 - ROE Calcs'!I61</f>
        <v>3918821.8457144946</v>
      </c>
      <c r="J65" s="188"/>
    </row>
    <row r="66" spans="1:11" s="99" customFormat="1" ht="15">
      <c r="A66" s="100">
        <v>38</v>
      </c>
      <c r="B66" s="100"/>
      <c r="C66" s="100"/>
      <c r="D66" s="99" t="s">
        <v>338</v>
      </c>
      <c r="F66" s="148"/>
      <c r="G66" s="146" t="s">
        <v>337</v>
      </c>
      <c r="H66" s="141"/>
      <c r="I66" s="157">
        <f>I8</f>
        <v>581165683.22330844</v>
      </c>
    </row>
    <row r="67" spans="1:11" s="99" customFormat="1" ht="15">
      <c r="A67" s="100">
        <v>39</v>
      </c>
      <c r="B67" s="100"/>
      <c r="C67" s="100"/>
      <c r="D67" s="99" t="s">
        <v>525</v>
      </c>
      <c r="F67" s="148"/>
      <c r="G67" s="146" t="s">
        <v>759</v>
      </c>
      <c r="H67" s="141"/>
      <c r="I67" s="178">
        <f>I65/I66</f>
        <v>6.7430372419438221E-3</v>
      </c>
      <c r="J67" s="188"/>
    </row>
    <row r="68" spans="1:11" s="99" customFormat="1" ht="15">
      <c r="A68" s="100"/>
      <c r="B68" s="100"/>
      <c r="C68" s="100"/>
      <c r="F68" s="148"/>
      <c r="G68" s="146"/>
      <c r="H68" s="141"/>
      <c r="I68" s="157"/>
    </row>
    <row r="69" spans="1:11" s="99" customFormat="1" ht="15.75">
      <c r="A69" s="100" t="s">
        <v>224</v>
      </c>
      <c r="B69" s="100"/>
      <c r="C69" s="100"/>
      <c r="F69" s="148"/>
      <c r="G69" s="146"/>
      <c r="H69" s="141"/>
      <c r="I69" s="150"/>
    </row>
    <row r="70" spans="1:11" s="99" customFormat="1" ht="31.5" customHeight="1">
      <c r="A70" s="100" t="s">
        <v>223</v>
      </c>
      <c r="B70" s="1024" t="s">
        <v>1015</v>
      </c>
      <c r="C70" s="1024"/>
      <c r="D70" s="1024"/>
      <c r="E70" s="1024"/>
      <c r="F70" s="1024"/>
      <c r="G70" s="1024"/>
      <c r="H70" s="1024"/>
      <c r="I70" s="1024"/>
      <c r="J70" s="1024"/>
      <c r="K70" s="1024"/>
    </row>
    <row r="71" spans="1:11" s="99" customFormat="1" ht="16.5" thickBot="1">
      <c r="A71" s="100"/>
      <c r="B71" s="100"/>
      <c r="C71" s="160"/>
      <c r="D71" s="160"/>
      <c r="E71" s="161"/>
      <c r="F71" s="162"/>
      <c r="G71" s="163"/>
      <c r="H71" s="164"/>
      <c r="I71" s="165"/>
      <c r="K71" s="101" t="s">
        <v>3</v>
      </c>
    </row>
    <row r="72" spans="1:11" s="99" customFormat="1" ht="15.75" thickTop="1">
      <c r="A72" s="100"/>
      <c r="B72" s="100"/>
      <c r="C72" s="100"/>
      <c r="D72" s="146"/>
      <c r="F72" s="100"/>
      <c r="G72" s="153"/>
      <c r="H72" s="154"/>
      <c r="I72" s="155"/>
    </row>
  </sheetData>
  <mergeCells count="6">
    <mergeCell ref="A1:I1"/>
    <mergeCell ref="A2:I2"/>
    <mergeCell ref="B70:K70"/>
    <mergeCell ref="J3:L3"/>
    <mergeCell ref="K2:L2"/>
    <mergeCell ref="J1:L1"/>
  </mergeCells>
  <pageMargins left="0.7" right="0.7" top="0.75" bottom="0.75" header="0.3" footer="0.3"/>
  <pageSetup scale="3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E064C-64DF-40C2-9850-3106ABEAF529}">
  <dimension ref="A1:AV42"/>
  <sheetViews>
    <sheetView view="pageBreakPreview" zoomScale="60" zoomScaleNormal="80" workbookViewId="0">
      <selection sqref="A1:N1"/>
    </sheetView>
  </sheetViews>
  <sheetFormatPr defaultRowHeight="15"/>
  <cols>
    <col min="1" max="1" width="7.5546875" customWidth="1"/>
    <col min="2" max="2" width="3.6640625" bestFit="1" customWidth="1"/>
    <col min="3" max="3" width="31.6640625" customWidth="1"/>
    <col min="4" max="4" width="14.44140625" customWidth="1"/>
    <col min="5" max="5" width="15.109375" customWidth="1"/>
    <col min="6" max="11" width="13.21875" bestFit="1" customWidth="1"/>
    <col min="12" max="18" width="16" bestFit="1" customWidth="1"/>
    <col min="19" max="19" width="3.88671875" customWidth="1"/>
    <col min="20" max="20" width="15.33203125" bestFit="1" customWidth="1"/>
    <col min="21" max="21" width="15.44140625" customWidth="1"/>
    <col min="22" max="28" width="12.5546875" customWidth="1"/>
    <col min="29" max="29" width="13.88671875" customWidth="1"/>
    <col min="30" max="30" width="14.88671875" customWidth="1"/>
    <col min="31" max="31" width="12.88671875" bestFit="1" customWidth="1"/>
    <col min="32" max="32" width="13.6640625" bestFit="1" customWidth="1"/>
    <col min="33" max="33" width="13.21875" bestFit="1" customWidth="1"/>
    <col min="34" max="34" width="3.88671875" customWidth="1"/>
    <col min="35" max="35" width="13.77734375" customWidth="1"/>
    <col min="36" max="36" width="11" bestFit="1" customWidth="1"/>
    <col min="37" max="37" width="15.6640625" bestFit="1" customWidth="1"/>
    <col min="38" max="38" width="17.33203125" bestFit="1" customWidth="1"/>
    <col min="39" max="39" width="16.77734375" customWidth="1"/>
  </cols>
  <sheetData>
    <row r="1" spans="1:48" ht="15.75">
      <c r="A1" s="1026" t="s">
        <v>747</v>
      </c>
      <c r="B1" s="1026"/>
      <c r="C1" s="1026"/>
      <c r="D1" s="1026"/>
      <c r="E1" s="1026"/>
      <c r="F1" s="1026"/>
      <c r="G1" s="1026"/>
      <c r="H1" s="1026"/>
      <c r="I1" s="1026"/>
      <c r="J1" s="1026"/>
      <c r="K1" s="1026"/>
      <c r="L1" s="1026"/>
      <c r="M1" s="1026"/>
      <c r="N1" s="1026"/>
      <c r="O1" s="18"/>
      <c r="R1" s="3"/>
      <c r="S1" s="3" t="str">
        <f>'Attachment H-34A '!K1&amp;""&amp;", Attachment 2b"</f>
        <v>Attachment H-34A, Attachment 2b</v>
      </c>
      <c r="T1" s="1026" t="str">
        <f>A1</f>
        <v>Incentive ROE NITS Worksheet Support</v>
      </c>
      <c r="U1" s="1026"/>
      <c r="V1" s="1026"/>
      <c r="W1" s="1026"/>
      <c r="X1" s="1026"/>
      <c r="Y1" s="1026"/>
      <c r="Z1" s="1026"/>
      <c r="AA1" s="1026"/>
      <c r="AB1" s="1026"/>
      <c r="AC1" s="1026"/>
      <c r="AD1" s="1026"/>
      <c r="AE1" s="1026"/>
      <c r="AF1" s="18"/>
      <c r="AK1" s="18"/>
      <c r="AL1" s="18"/>
      <c r="AM1" s="3" t="str">
        <f>S1</f>
        <v>Attachment H-34A, Attachment 2b</v>
      </c>
    </row>
    <row r="2" spans="1:48" ht="15.75">
      <c r="A2" s="1027" t="s">
        <v>342</v>
      </c>
      <c r="B2" s="1027"/>
      <c r="C2" s="1027"/>
      <c r="D2" s="1027"/>
      <c r="E2" s="1027"/>
      <c r="F2" s="1027"/>
      <c r="G2" s="1027"/>
      <c r="H2" s="1027"/>
      <c r="I2" s="1027"/>
      <c r="J2" s="1027"/>
      <c r="K2" s="1027"/>
      <c r="L2" s="1027"/>
      <c r="M2" s="1027"/>
      <c r="N2" s="1027"/>
      <c r="O2" s="190"/>
      <c r="R2" s="3"/>
      <c r="S2" s="3" t="s">
        <v>189</v>
      </c>
      <c r="T2" s="1027" t="s">
        <v>342</v>
      </c>
      <c r="U2" s="1027"/>
      <c r="V2" s="1027"/>
      <c r="W2" s="1027"/>
      <c r="X2" s="1027"/>
      <c r="Y2" s="1027"/>
      <c r="Z2" s="1027"/>
      <c r="AA2" s="1027"/>
      <c r="AB2" s="1027"/>
      <c r="AC2" s="1027"/>
      <c r="AD2" s="1027"/>
      <c r="AE2" s="1027"/>
      <c r="AF2" s="190"/>
      <c r="AK2" s="190"/>
      <c r="AL2" s="190"/>
      <c r="AM2" s="3" t="s">
        <v>192</v>
      </c>
    </row>
    <row r="3" spans="1:48" ht="15.75">
      <c r="A3" s="190"/>
      <c r="B3" s="191"/>
      <c r="C3" s="191"/>
      <c r="D3" s="191"/>
      <c r="E3" s="191"/>
      <c r="F3" s="191"/>
      <c r="G3" s="191"/>
      <c r="H3" s="191"/>
      <c r="I3" s="191"/>
      <c r="J3" s="191"/>
      <c r="K3" s="191"/>
      <c r="L3" s="191"/>
      <c r="M3" s="3"/>
      <c r="R3" s="3"/>
      <c r="S3" s="3" t="str">
        <f>'Attachment H-34A '!K4</f>
        <v>For the 12 months ended 12/31/2026</v>
      </c>
      <c r="AM3" s="3" t="str">
        <f>'Attachment H-34A '!K4</f>
        <v>For the 12 months ended 12/31/2026</v>
      </c>
    </row>
    <row r="4" spans="1:48" ht="15.75">
      <c r="A4" s="190"/>
      <c r="B4" s="191"/>
      <c r="C4" s="191"/>
      <c r="D4" s="191"/>
      <c r="E4" s="191"/>
      <c r="F4" s="191"/>
      <c r="G4" s="191"/>
      <c r="H4" s="191"/>
      <c r="I4" s="191"/>
      <c r="J4" s="191"/>
      <c r="K4" s="191"/>
      <c r="L4" s="191"/>
      <c r="M4" s="3"/>
    </row>
    <row r="5" spans="1:48" ht="15.75">
      <c r="A5" s="190"/>
      <c r="B5" s="191"/>
      <c r="C5" s="191"/>
      <c r="D5" s="191"/>
      <c r="E5" s="191"/>
      <c r="F5" s="191"/>
      <c r="G5" s="191"/>
      <c r="H5" s="191"/>
      <c r="I5" s="191"/>
      <c r="J5" s="191"/>
      <c r="K5" s="191"/>
      <c r="L5" s="191"/>
      <c r="M5" s="3"/>
    </row>
    <row r="6" spans="1:48" ht="15.75">
      <c r="A6" s="190"/>
      <c r="B6" s="191"/>
      <c r="C6" s="191"/>
      <c r="D6" s="191"/>
      <c r="E6" s="191"/>
      <c r="F6" s="191"/>
      <c r="G6" s="191"/>
      <c r="H6" s="191"/>
      <c r="I6" s="191"/>
      <c r="J6" s="191"/>
      <c r="K6" s="191"/>
      <c r="L6" s="191"/>
      <c r="M6" s="3"/>
      <c r="AI6" s="783" t="s">
        <v>692</v>
      </c>
      <c r="AJ6" s="783" t="s">
        <v>809</v>
      </c>
      <c r="AK6" s="783" t="s">
        <v>810</v>
      </c>
      <c r="AL6" s="783" t="s">
        <v>811</v>
      </c>
      <c r="AM6" s="783" t="s">
        <v>800</v>
      </c>
    </row>
    <row r="7" spans="1:48" ht="15.75">
      <c r="A7" s="190"/>
      <c r="B7" s="191"/>
      <c r="C7" s="191"/>
      <c r="D7" s="191"/>
      <c r="E7" s="191"/>
      <c r="F7" s="191"/>
      <c r="G7" s="191"/>
      <c r="H7" s="191"/>
      <c r="I7" s="191"/>
      <c r="J7" s="191"/>
      <c r="K7" s="191"/>
      <c r="L7" s="191"/>
      <c r="M7" s="3"/>
    </row>
    <row r="8" spans="1:48" ht="50.25" customHeight="1">
      <c r="A8" s="19" t="s">
        <v>177</v>
      </c>
      <c r="B8" s="20"/>
      <c r="C8" s="30" t="s">
        <v>178</v>
      </c>
      <c r="D8" s="21" t="s">
        <v>193</v>
      </c>
      <c r="E8" s="22" t="s">
        <v>280</v>
      </c>
      <c r="F8" s="398">
        <v>46011</v>
      </c>
      <c r="G8" s="192">
        <f>F8+31</f>
        <v>46042</v>
      </c>
      <c r="H8" s="192">
        <f>G8+31</f>
        <v>46073</v>
      </c>
      <c r="I8" s="192">
        <f>H8+31</f>
        <v>46104</v>
      </c>
      <c r="J8" s="192">
        <f>I8+31</f>
        <v>46135</v>
      </c>
      <c r="K8" s="192">
        <f t="shared" ref="K8:R8" si="0">J8+31</f>
        <v>46166</v>
      </c>
      <c r="L8" s="192">
        <f t="shared" si="0"/>
        <v>46197</v>
      </c>
      <c r="M8" s="192">
        <f t="shared" si="0"/>
        <v>46228</v>
      </c>
      <c r="N8" s="192">
        <f t="shared" si="0"/>
        <v>46259</v>
      </c>
      <c r="O8" s="192">
        <f t="shared" si="0"/>
        <v>46290</v>
      </c>
      <c r="P8" s="192">
        <f t="shared" si="0"/>
        <v>46321</v>
      </c>
      <c r="Q8" s="192">
        <f t="shared" si="0"/>
        <v>46352</v>
      </c>
      <c r="R8" s="192">
        <f t="shared" si="0"/>
        <v>46383</v>
      </c>
      <c r="S8" s="192"/>
      <c r="T8" s="22" t="s">
        <v>340</v>
      </c>
      <c r="U8" s="192">
        <f>F8</f>
        <v>46011</v>
      </c>
      <c r="V8" s="192">
        <f t="shared" ref="V8:AG8" si="1">G8</f>
        <v>46042</v>
      </c>
      <c r="W8" s="192">
        <f t="shared" si="1"/>
        <v>46073</v>
      </c>
      <c r="X8" s="192">
        <f t="shared" si="1"/>
        <v>46104</v>
      </c>
      <c r="Y8" s="192">
        <f t="shared" si="1"/>
        <v>46135</v>
      </c>
      <c r="Z8" s="192">
        <f t="shared" si="1"/>
        <v>46166</v>
      </c>
      <c r="AA8" s="192">
        <f t="shared" si="1"/>
        <v>46197</v>
      </c>
      <c r="AB8" s="192">
        <f t="shared" si="1"/>
        <v>46228</v>
      </c>
      <c r="AC8" s="192">
        <f t="shared" si="1"/>
        <v>46259</v>
      </c>
      <c r="AD8" s="192">
        <f t="shared" si="1"/>
        <v>46290</v>
      </c>
      <c r="AE8" s="192">
        <f t="shared" si="1"/>
        <v>46321</v>
      </c>
      <c r="AF8" s="192">
        <f t="shared" si="1"/>
        <v>46352</v>
      </c>
      <c r="AG8" s="192">
        <f t="shared" si="1"/>
        <v>46383</v>
      </c>
      <c r="AH8" s="193"/>
      <c r="AI8" s="22" t="s">
        <v>341</v>
      </c>
      <c r="AJ8" s="192" t="s">
        <v>752</v>
      </c>
      <c r="AK8" s="196" t="s">
        <v>701</v>
      </c>
      <c r="AL8" s="196" t="s">
        <v>749</v>
      </c>
      <c r="AM8" s="196" t="s">
        <v>753</v>
      </c>
      <c r="AN8" s="195"/>
      <c r="AO8" s="195"/>
      <c r="AP8" s="195"/>
      <c r="AQ8" s="195"/>
      <c r="AR8" s="195"/>
      <c r="AS8" s="195"/>
      <c r="AT8" s="195"/>
      <c r="AU8" s="195"/>
      <c r="AV8" s="195"/>
    </row>
    <row r="9" spans="1:48" ht="15.75">
      <c r="A9" s="23"/>
      <c r="B9" s="24"/>
      <c r="C9" s="25" t="s">
        <v>14</v>
      </c>
      <c r="D9" s="24"/>
      <c r="E9" s="25" t="s">
        <v>15</v>
      </c>
      <c r="F9" s="25" t="s">
        <v>16</v>
      </c>
      <c r="G9" s="25" t="s">
        <v>16</v>
      </c>
      <c r="H9" s="25" t="s">
        <v>16</v>
      </c>
      <c r="I9" s="25" t="s">
        <v>16</v>
      </c>
      <c r="J9" s="25" t="s">
        <v>16</v>
      </c>
      <c r="K9" s="25" t="s">
        <v>16</v>
      </c>
      <c r="L9" s="25" t="s">
        <v>16</v>
      </c>
      <c r="M9" s="25" t="s">
        <v>16</v>
      </c>
      <c r="N9" s="25" t="s">
        <v>16</v>
      </c>
      <c r="O9" s="25" t="s">
        <v>16</v>
      </c>
      <c r="P9" s="25" t="s">
        <v>16</v>
      </c>
      <c r="Q9" s="25" t="s">
        <v>16</v>
      </c>
      <c r="R9" s="25" t="s">
        <v>16</v>
      </c>
      <c r="S9" s="25"/>
      <c r="T9" s="25" t="s">
        <v>997</v>
      </c>
      <c r="U9" s="25" t="s">
        <v>16</v>
      </c>
      <c r="V9" s="25" t="s">
        <v>16</v>
      </c>
      <c r="W9" s="25" t="s">
        <v>16</v>
      </c>
      <c r="X9" s="25" t="s">
        <v>16</v>
      </c>
      <c r="Y9" s="25" t="s">
        <v>16</v>
      </c>
      <c r="Z9" s="25" t="s">
        <v>16</v>
      </c>
      <c r="AA9" s="25" t="s">
        <v>16</v>
      </c>
      <c r="AB9" s="25" t="s">
        <v>16</v>
      </c>
      <c r="AC9" s="25" t="s">
        <v>16</v>
      </c>
      <c r="AD9" s="25" t="s">
        <v>16</v>
      </c>
      <c r="AE9" s="25" t="s">
        <v>16</v>
      </c>
      <c r="AF9" s="25" t="s">
        <v>16</v>
      </c>
      <c r="AG9" s="25" t="s">
        <v>16</v>
      </c>
      <c r="AH9" s="194"/>
      <c r="AI9" s="25" t="s">
        <v>997</v>
      </c>
      <c r="AJ9" s="833" t="s">
        <v>17</v>
      </c>
      <c r="AK9" s="834" t="s">
        <v>143</v>
      </c>
      <c r="AL9" s="834" t="s">
        <v>536</v>
      </c>
      <c r="AM9" s="834" t="s">
        <v>339</v>
      </c>
    </row>
    <row r="10" spans="1:48" ht="15.75">
      <c r="A10" s="26"/>
      <c r="B10" s="2"/>
      <c r="C10" s="2"/>
      <c r="D10" s="2"/>
      <c r="E10" s="2"/>
      <c r="F10" s="2"/>
      <c r="G10" s="2"/>
      <c r="H10" s="2"/>
      <c r="I10" s="2"/>
      <c r="J10" s="2"/>
      <c r="K10" s="2"/>
      <c r="L10" s="2"/>
      <c r="M10" s="2"/>
      <c r="N10" s="2"/>
      <c r="O10" s="2"/>
      <c r="P10" s="2"/>
      <c r="Q10" s="2"/>
      <c r="R10" s="2"/>
      <c r="S10" s="2"/>
      <c r="AH10" s="197"/>
      <c r="AM10" s="198"/>
    </row>
    <row r="11" spans="1:48" ht="15.75">
      <c r="A11" s="223"/>
      <c r="B11" s="17"/>
      <c r="C11" s="17"/>
      <c r="D11" s="27"/>
      <c r="E11" s="9"/>
      <c r="F11" s="9"/>
      <c r="G11" s="9"/>
      <c r="H11" s="9"/>
      <c r="I11" s="9"/>
      <c r="J11" s="9"/>
      <c r="K11" s="9"/>
      <c r="L11" s="9"/>
      <c r="M11" s="9"/>
      <c r="N11" s="9"/>
      <c r="O11" s="9"/>
      <c r="P11" s="9"/>
      <c r="Q11" s="9"/>
      <c r="R11" s="9"/>
      <c r="S11" s="9"/>
      <c r="U11" s="9"/>
      <c r="V11" s="9"/>
      <c r="W11" s="9"/>
      <c r="X11" s="9"/>
      <c r="Y11" s="9"/>
      <c r="Z11" s="9"/>
      <c r="AA11" s="9"/>
      <c r="AB11" s="9"/>
      <c r="AC11" s="9"/>
      <c r="AD11" s="9"/>
      <c r="AE11" s="9"/>
      <c r="AF11" s="9"/>
      <c r="AG11" s="9"/>
      <c r="AH11" s="197"/>
      <c r="AM11" s="198"/>
    </row>
    <row r="12" spans="1:48" ht="15.75">
      <c r="A12" s="720" t="s">
        <v>460</v>
      </c>
      <c r="B12" s="619"/>
      <c r="C12" s="721"/>
      <c r="D12" s="722"/>
      <c r="E12" s="9">
        <f>AVERAGE(F12:R12)</f>
        <v>0</v>
      </c>
      <c r="F12" s="61">
        <v>0</v>
      </c>
      <c r="G12" s="61">
        <v>0</v>
      </c>
      <c r="H12" s="61">
        <v>0</v>
      </c>
      <c r="I12" s="61">
        <v>0</v>
      </c>
      <c r="J12" s="61">
        <v>0</v>
      </c>
      <c r="K12" s="61">
        <v>0</v>
      </c>
      <c r="L12" s="61">
        <v>0</v>
      </c>
      <c r="M12" s="61">
        <v>0</v>
      </c>
      <c r="N12" s="61">
        <v>0</v>
      </c>
      <c r="O12" s="61">
        <v>0</v>
      </c>
      <c r="P12" s="61">
        <v>0</v>
      </c>
      <c r="Q12" s="61">
        <v>0</v>
      </c>
      <c r="R12" s="61">
        <v>0</v>
      </c>
      <c r="S12" s="9"/>
      <c r="T12" s="9">
        <f>AVERAGE(U12:AG12)</f>
        <v>0</v>
      </c>
      <c r="U12" s="61">
        <v>0</v>
      </c>
      <c r="V12" s="61">
        <v>0</v>
      </c>
      <c r="W12" s="61">
        <v>0</v>
      </c>
      <c r="X12" s="61">
        <v>0</v>
      </c>
      <c r="Y12" s="61">
        <v>0</v>
      </c>
      <c r="Z12" s="61">
        <v>0</v>
      </c>
      <c r="AA12" s="61">
        <v>0</v>
      </c>
      <c r="AB12" s="61">
        <v>0</v>
      </c>
      <c r="AC12" s="61">
        <v>0</v>
      </c>
      <c r="AD12" s="61">
        <v>0</v>
      </c>
      <c r="AE12" s="61">
        <v>0</v>
      </c>
      <c r="AF12" s="61">
        <v>0</v>
      </c>
      <c r="AG12" s="61">
        <v>0</v>
      </c>
      <c r="AH12" s="197"/>
      <c r="AI12" s="717">
        <f t="shared" ref="AI12:AI17" si="2">E12-T12</f>
        <v>0</v>
      </c>
      <c r="AJ12" s="317"/>
      <c r="AK12" s="717">
        <f>AI12*'Attachment H-34A '!$I$242</f>
        <v>0</v>
      </c>
      <c r="AL12" s="641">
        <f>AI12*(('Attachment H-34A '!$I$249)*AJ12/100+'Attachment H-34A '!$I$242)</f>
        <v>0</v>
      </c>
      <c r="AM12" s="198">
        <f>AL12-AK12</f>
        <v>0</v>
      </c>
    </row>
    <row r="13" spans="1:48" ht="15.75">
      <c r="A13" s="720" t="s">
        <v>461</v>
      </c>
      <c r="B13" s="619"/>
      <c r="C13" s="721"/>
      <c r="D13" s="722"/>
      <c r="E13" s="9">
        <f t="shared" ref="E13:E17" si="3">AVERAGE(F13:R13)</f>
        <v>0</v>
      </c>
      <c r="F13" s="61">
        <v>0</v>
      </c>
      <c r="G13" s="61">
        <v>0</v>
      </c>
      <c r="H13" s="61">
        <v>0</v>
      </c>
      <c r="I13" s="61">
        <v>0</v>
      </c>
      <c r="J13" s="61">
        <v>0</v>
      </c>
      <c r="K13" s="61">
        <v>0</v>
      </c>
      <c r="L13" s="61">
        <v>0</v>
      </c>
      <c r="M13" s="61">
        <v>0</v>
      </c>
      <c r="N13" s="61">
        <v>0</v>
      </c>
      <c r="O13" s="61">
        <v>0</v>
      </c>
      <c r="P13" s="61">
        <v>0</v>
      </c>
      <c r="Q13" s="61">
        <v>0</v>
      </c>
      <c r="R13" s="61">
        <v>0</v>
      </c>
      <c r="S13" s="9"/>
      <c r="T13" s="9">
        <f t="shared" ref="T13:T17" si="4">AVERAGE(U13:AG13)</f>
        <v>0</v>
      </c>
      <c r="U13" s="61">
        <v>0</v>
      </c>
      <c r="V13" s="61">
        <v>0</v>
      </c>
      <c r="W13" s="61">
        <v>0</v>
      </c>
      <c r="X13" s="61">
        <v>0</v>
      </c>
      <c r="Y13" s="61">
        <v>0</v>
      </c>
      <c r="Z13" s="61">
        <v>0</v>
      </c>
      <c r="AA13" s="61">
        <v>0</v>
      </c>
      <c r="AB13" s="61">
        <v>0</v>
      </c>
      <c r="AC13" s="61">
        <v>0</v>
      </c>
      <c r="AD13" s="61">
        <v>0</v>
      </c>
      <c r="AE13" s="61">
        <v>0</v>
      </c>
      <c r="AF13" s="61">
        <v>0</v>
      </c>
      <c r="AG13" s="61">
        <v>0</v>
      </c>
      <c r="AH13" s="197"/>
      <c r="AI13" s="717">
        <f t="shared" si="2"/>
        <v>0</v>
      </c>
      <c r="AJ13" s="317"/>
      <c r="AK13" s="641">
        <f>AI13*'Attachment H-34A '!$I$242</f>
        <v>0</v>
      </c>
      <c r="AL13" s="641">
        <f>AI13*(('Attachment H-34A '!$I$249)*AJ13/100+'Attachment H-34A '!$I$242)</f>
        <v>0</v>
      </c>
      <c r="AM13" s="198">
        <f t="shared" ref="AM13:AM17" si="5">AL13-AK13</f>
        <v>0</v>
      </c>
    </row>
    <row r="14" spans="1:48" ht="15.75">
      <c r="A14" s="720" t="s">
        <v>462</v>
      </c>
      <c r="B14" s="619"/>
      <c r="C14" s="721"/>
      <c r="D14" s="722"/>
      <c r="E14" s="9">
        <f t="shared" si="3"/>
        <v>0</v>
      </c>
      <c r="F14" s="61">
        <v>0</v>
      </c>
      <c r="G14" s="61">
        <v>0</v>
      </c>
      <c r="H14" s="61">
        <v>0</v>
      </c>
      <c r="I14" s="61">
        <v>0</v>
      </c>
      <c r="J14" s="61">
        <v>0</v>
      </c>
      <c r="K14" s="61">
        <v>0</v>
      </c>
      <c r="L14" s="61">
        <v>0</v>
      </c>
      <c r="M14" s="61">
        <v>0</v>
      </c>
      <c r="N14" s="61">
        <v>0</v>
      </c>
      <c r="O14" s="61">
        <v>0</v>
      </c>
      <c r="P14" s="61">
        <v>0</v>
      </c>
      <c r="Q14" s="61">
        <v>0</v>
      </c>
      <c r="R14" s="61">
        <v>0</v>
      </c>
      <c r="T14" s="9">
        <f t="shared" si="4"/>
        <v>0</v>
      </c>
      <c r="U14" s="61">
        <v>0</v>
      </c>
      <c r="V14" s="61">
        <v>0</v>
      </c>
      <c r="W14" s="61">
        <v>0</v>
      </c>
      <c r="X14" s="61">
        <v>0</v>
      </c>
      <c r="Y14" s="61">
        <v>0</v>
      </c>
      <c r="Z14" s="61">
        <v>0</v>
      </c>
      <c r="AA14" s="61">
        <v>0</v>
      </c>
      <c r="AB14" s="61">
        <v>0</v>
      </c>
      <c r="AC14" s="61">
        <v>0</v>
      </c>
      <c r="AD14" s="61">
        <v>0</v>
      </c>
      <c r="AE14" s="61">
        <v>0</v>
      </c>
      <c r="AF14" s="61">
        <v>0</v>
      </c>
      <c r="AG14" s="61">
        <v>0</v>
      </c>
      <c r="AH14" s="197"/>
      <c r="AI14" s="717">
        <f t="shared" si="2"/>
        <v>0</v>
      </c>
      <c r="AJ14" s="317"/>
      <c r="AK14" s="641">
        <f>AI14*'Attachment H-34A '!$I$242</f>
        <v>0</v>
      </c>
      <c r="AL14" s="641">
        <f>AI14*(('Attachment H-34A '!$I$249)*AJ14/100+'Attachment H-34A '!$I$242)</f>
        <v>0</v>
      </c>
      <c r="AM14" s="198">
        <f t="shared" si="5"/>
        <v>0</v>
      </c>
    </row>
    <row r="15" spans="1:48" ht="15.75">
      <c r="A15" s="720" t="s">
        <v>518</v>
      </c>
      <c r="B15" s="619"/>
      <c r="C15" s="721"/>
      <c r="D15" s="722"/>
      <c r="E15" s="9">
        <f t="shared" si="3"/>
        <v>0</v>
      </c>
      <c r="F15" s="61">
        <v>0</v>
      </c>
      <c r="G15" s="61">
        <v>0</v>
      </c>
      <c r="H15" s="61">
        <v>0</v>
      </c>
      <c r="I15" s="61">
        <v>0</v>
      </c>
      <c r="J15" s="61">
        <v>0</v>
      </c>
      <c r="K15" s="61">
        <v>0</v>
      </c>
      <c r="L15" s="61">
        <v>0</v>
      </c>
      <c r="M15" s="61">
        <v>0</v>
      </c>
      <c r="N15" s="61">
        <v>0</v>
      </c>
      <c r="O15" s="61">
        <v>0</v>
      </c>
      <c r="P15" s="61">
        <v>0</v>
      </c>
      <c r="Q15" s="61">
        <v>0</v>
      </c>
      <c r="R15" s="61">
        <v>0</v>
      </c>
      <c r="T15" s="9">
        <f t="shared" si="4"/>
        <v>0</v>
      </c>
      <c r="U15" s="61">
        <v>0</v>
      </c>
      <c r="V15" s="61">
        <v>0</v>
      </c>
      <c r="W15" s="61">
        <v>0</v>
      </c>
      <c r="X15" s="61">
        <v>0</v>
      </c>
      <c r="Y15" s="61">
        <v>0</v>
      </c>
      <c r="Z15" s="61">
        <v>0</v>
      </c>
      <c r="AA15" s="61">
        <v>0</v>
      </c>
      <c r="AB15" s="61">
        <v>0</v>
      </c>
      <c r="AC15" s="61">
        <v>0</v>
      </c>
      <c r="AD15" s="61">
        <v>0</v>
      </c>
      <c r="AE15" s="61">
        <v>0</v>
      </c>
      <c r="AF15" s="61">
        <v>0</v>
      </c>
      <c r="AG15" s="61">
        <v>0</v>
      </c>
      <c r="AH15" s="197"/>
      <c r="AI15" s="717">
        <f t="shared" si="2"/>
        <v>0</v>
      </c>
      <c r="AJ15" s="317"/>
      <c r="AK15" s="641">
        <f>AI15*'Attachment H-34A '!$I$242</f>
        <v>0</v>
      </c>
      <c r="AL15" s="641">
        <f>AI15*(('Attachment H-34A '!$I$249)*AJ15/100+'Attachment H-34A '!$I$242)</f>
        <v>0</v>
      </c>
      <c r="AM15" s="198">
        <f t="shared" si="5"/>
        <v>0</v>
      </c>
    </row>
    <row r="16" spans="1:48" ht="15.75">
      <c r="A16" s="720" t="s">
        <v>763</v>
      </c>
      <c r="B16" s="619"/>
      <c r="C16" s="721"/>
      <c r="D16" s="722"/>
      <c r="E16" s="9">
        <f t="shared" si="3"/>
        <v>0</v>
      </c>
      <c r="F16" s="61">
        <v>0</v>
      </c>
      <c r="G16" s="61">
        <v>0</v>
      </c>
      <c r="H16" s="61">
        <v>0</v>
      </c>
      <c r="I16" s="61">
        <v>0</v>
      </c>
      <c r="J16" s="61">
        <v>0</v>
      </c>
      <c r="K16" s="61">
        <v>0</v>
      </c>
      <c r="L16" s="61">
        <v>0</v>
      </c>
      <c r="M16" s="61">
        <v>0</v>
      </c>
      <c r="N16" s="61">
        <v>0</v>
      </c>
      <c r="O16" s="61">
        <v>0</v>
      </c>
      <c r="P16" s="61">
        <v>0</v>
      </c>
      <c r="Q16" s="61">
        <v>0</v>
      </c>
      <c r="R16" s="61">
        <v>0</v>
      </c>
      <c r="T16" s="9">
        <f t="shared" si="4"/>
        <v>0</v>
      </c>
      <c r="U16" s="61">
        <v>0</v>
      </c>
      <c r="V16" s="61">
        <v>0</v>
      </c>
      <c r="W16" s="61">
        <v>0</v>
      </c>
      <c r="X16" s="61">
        <v>0</v>
      </c>
      <c r="Y16" s="61">
        <v>0</v>
      </c>
      <c r="Z16" s="61">
        <v>0</v>
      </c>
      <c r="AA16" s="61">
        <v>0</v>
      </c>
      <c r="AB16" s="61">
        <v>0</v>
      </c>
      <c r="AC16" s="61">
        <v>0</v>
      </c>
      <c r="AD16" s="61">
        <v>0</v>
      </c>
      <c r="AE16" s="61">
        <v>0</v>
      </c>
      <c r="AF16" s="61">
        <v>0</v>
      </c>
      <c r="AG16" s="61">
        <v>0</v>
      </c>
      <c r="AH16" s="197"/>
      <c r="AI16" s="717">
        <f t="shared" si="2"/>
        <v>0</v>
      </c>
      <c r="AJ16" s="317"/>
      <c r="AK16" s="641">
        <f>AI16*'Attachment H-34A '!$I$242</f>
        <v>0</v>
      </c>
      <c r="AL16" s="641">
        <f>AI16*(('Attachment H-34A '!$I$249)*AJ16/100+'Attachment H-34A '!$I$242)</f>
        <v>0</v>
      </c>
      <c r="AM16" s="198">
        <f t="shared" si="5"/>
        <v>0</v>
      </c>
    </row>
    <row r="17" spans="1:39" ht="15.75">
      <c r="A17" s="720" t="s">
        <v>764</v>
      </c>
      <c r="B17" s="619"/>
      <c r="C17" s="721"/>
      <c r="D17" s="722"/>
      <c r="E17" s="9">
        <f t="shared" si="3"/>
        <v>0</v>
      </c>
      <c r="F17" s="61">
        <v>0</v>
      </c>
      <c r="G17" s="61">
        <v>0</v>
      </c>
      <c r="H17" s="61">
        <v>0</v>
      </c>
      <c r="I17" s="61">
        <v>0</v>
      </c>
      <c r="J17" s="61">
        <v>0</v>
      </c>
      <c r="K17" s="61">
        <v>0</v>
      </c>
      <c r="L17" s="61">
        <v>0</v>
      </c>
      <c r="M17" s="61">
        <v>0</v>
      </c>
      <c r="N17" s="61">
        <v>0</v>
      </c>
      <c r="O17" s="61">
        <v>0</v>
      </c>
      <c r="P17" s="61">
        <v>0</v>
      </c>
      <c r="Q17" s="61">
        <v>0</v>
      </c>
      <c r="R17" s="61">
        <v>0</v>
      </c>
      <c r="T17" s="9">
        <f t="shared" si="4"/>
        <v>0</v>
      </c>
      <c r="U17" s="61">
        <v>0</v>
      </c>
      <c r="V17" s="61">
        <v>0</v>
      </c>
      <c r="W17" s="61">
        <v>0</v>
      </c>
      <c r="X17" s="61">
        <v>0</v>
      </c>
      <c r="Y17" s="61">
        <v>0</v>
      </c>
      <c r="Z17" s="61">
        <v>0</v>
      </c>
      <c r="AA17" s="61">
        <v>0</v>
      </c>
      <c r="AB17" s="61">
        <v>0</v>
      </c>
      <c r="AC17" s="61">
        <v>0</v>
      </c>
      <c r="AD17" s="61">
        <v>0</v>
      </c>
      <c r="AE17" s="61">
        <v>0</v>
      </c>
      <c r="AF17" s="61">
        <v>0</v>
      </c>
      <c r="AG17" s="61">
        <v>0</v>
      </c>
      <c r="AH17" s="197"/>
      <c r="AI17" s="717">
        <f t="shared" si="2"/>
        <v>0</v>
      </c>
      <c r="AJ17" s="317"/>
      <c r="AK17" s="641">
        <f>AI17*'Attachment H-34A '!$I$242</f>
        <v>0</v>
      </c>
      <c r="AL17" s="641">
        <f>AI17*(('Attachment H-34A '!$I$249)*AJ17/100+'Attachment H-34A '!$I$242)</f>
        <v>0</v>
      </c>
      <c r="AM17" s="198">
        <f t="shared" si="5"/>
        <v>0</v>
      </c>
    </row>
    <row r="18" spans="1:39">
      <c r="A18" s="199"/>
      <c r="AM18" s="198"/>
    </row>
    <row r="19" spans="1:39">
      <c r="A19" s="199"/>
      <c r="AM19" s="198"/>
    </row>
    <row r="20" spans="1:39" ht="15.6" customHeight="1">
      <c r="A20" s="199"/>
      <c r="U20" s="414"/>
      <c r="X20" s="594"/>
      <c r="Y20" s="594"/>
      <c r="Z20" s="594"/>
      <c r="AA20" s="594"/>
      <c r="AB20" s="594"/>
      <c r="AM20" s="198"/>
    </row>
    <row r="21" spans="1:39" ht="15.75">
      <c r="A21" s="199"/>
      <c r="X21" s="594"/>
      <c r="Y21" s="594"/>
      <c r="Z21" s="594"/>
      <c r="AA21" s="594"/>
      <c r="AB21" s="594"/>
      <c r="AM21" s="198"/>
    </row>
    <row r="22" spans="1:39" ht="15.75">
      <c r="A22" s="199"/>
      <c r="X22" s="594"/>
      <c r="Y22" s="594"/>
      <c r="Z22" s="594"/>
      <c r="AA22" s="594"/>
      <c r="AB22" s="594"/>
      <c r="AM22" s="198"/>
    </row>
    <row r="23" spans="1:39" ht="15.75">
      <c r="A23" s="199"/>
      <c r="X23" s="594"/>
      <c r="Y23" s="594"/>
      <c r="Z23" s="594"/>
      <c r="AA23" s="594"/>
      <c r="AB23" s="594"/>
      <c r="AM23" s="198"/>
    </row>
    <row r="24" spans="1:39">
      <c r="A24" s="199"/>
      <c r="AM24" s="198"/>
    </row>
    <row r="25" spans="1:39">
      <c r="A25" s="199"/>
      <c r="AM25" s="198"/>
    </row>
    <row r="26" spans="1:39">
      <c r="A26" s="199"/>
      <c r="AM26" s="198"/>
    </row>
    <row r="27" spans="1:39">
      <c r="A27" s="199"/>
      <c r="AM27" s="198"/>
    </row>
    <row r="28" spans="1:39">
      <c r="A28" s="199"/>
      <c r="AM28" s="198"/>
    </row>
    <row r="29" spans="1:39">
      <c r="A29" s="199"/>
      <c r="AM29" s="198"/>
    </row>
    <row r="30" spans="1:39">
      <c r="A30" s="200"/>
      <c r="B30" s="201"/>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2"/>
    </row>
    <row r="31" spans="1:39">
      <c r="A31" s="787" t="s">
        <v>463</v>
      </c>
      <c r="C31" t="s">
        <v>254</v>
      </c>
      <c r="AM31">
        <f>SUM(AM12:AM26)</f>
        <v>0</v>
      </c>
    </row>
    <row r="32" spans="1:39" ht="15.75">
      <c r="A32" s="1" t="s">
        <v>265</v>
      </c>
      <c r="B32" s="1"/>
      <c r="C32" s="1"/>
      <c r="S32" s="28"/>
      <c r="T32" s="1" t="s">
        <v>812</v>
      </c>
      <c r="U32" s="1"/>
    </row>
    <row r="33" spans="1:39" ht="15.75" customHeight="1">
      <c r="A33" s="29"/>
      <c r="B33" s="1" t="s">
        <v>223</v>
      </c>
      <c r="C33" s="1" t="s">
        <v>826</v>
      </c>
      <c r="D33" s="1"/>
      <c r="E33" s="1"/>
      <c r="F33" s="1"/>
      <c r="G33" s="1"/>
      <c r="H33" s="1"/>
      <c r="I33" s="1"/>
      <c r="J33" s="1"/>
      <c r="K33" s="1"/>
      <c r="M33" s="1" t="s">
        <v>825</v>
      </c>
      <c r="S33" s="29"/>
      <c r="T33" s="16" t="s">
        <v>282</v>
      </c>
      <c r="U33" s="1" t="s">
        <v>818</v>
      </c>
      <c r="V33" s="1"/>
      <c r="W33" s="1"/>
      <c r="X33" s="1"/>
      <c r="Y33" s="1"/>
      <c r="Z33" s="1"/>
      <c r="AA33" s="1"/>
      <c r="AB33" s="1"/>
      <c r="AC33" s="1"/>
      <c r="AF33" s="16" t="s">
        <v>620</v>
      </c>
      <c r="AG33" s="1" t="s">
        <v>985</v>
      </c>
      <c r="AH33" s="1"/>
      <c r="AI33" s="1"/>
      <c r="AJ33" s="1"/>
      <c r="AK33" s="1"/>
      <c r="AL33" s="1"/>
      <c r="AM33" s="1"/>
    </row>
    <row r="34" spans="1:39" ht="15.75">
      <c r="B34" s="1" t="s">
        <v>236</v>
      </c>
      <c r="C34" s="1" t="s">
        <v>792</v>
      </c>
      <c r="D34" s="1"/>
      <c r="E34" s="1"/>
      <c r="F34" s="1"/>
      <c r="G34" s="1"/>
      <c r="H34" s="1"/>
      <c r="I34" s="1"/>
      <c r="J34" s="1"/>
      <c r="K34" s="1"/>
      <c r="T34" s="16" t="s">
        <v>295</v>
      </c>
      <c r="U34" s="1" t="s">
        <v>916</v>
      </c>
      <c r="V34" s="1"/>
      <c r="W34" s="1"/>
      <c r="X34" s="1"/>
      <c r="Y34" s="1"/>
      <c r="Z34" s="1"/>
      <c r="AA34" s="1"/>
      <c r="AB34" s="1"/>
      <c r="AC34" s="1"/>
      <c r="AF34" s="845" t="s">
        <v>522</v>
      </c>
      <c r="AG34" t="s">
        <v>999</v>
      </c>
    </row>
    <row r="35" spans="1:39">
      <c r="T35" s="845" t="s">
        <v>296</v>
      </c>
      <c r="U35" t="s">
        <v>998</v>
      </c>
      <c r="AF35" s="845" t="s">
        <v>1000</v>
      </c>
      <c r="AG35" t="s">
        <v>1001</v>
      </c>
    </row>
    <row r="40" spans="1:39" ht="15.75">
      <c r="AD40" s="1028"/>
      <c r="AE40" s="1029"/>
      <c r="AF40" s="1"/>
    </row>
    <row r="41" spans="1:39" ht="15.75">
      <c r="AD41" s="1"/>
      <c r="AE41" s="1"/>
      <c r="AF41" s="1"/>
    </row>
    <row r="42" spans="1:39" ht="15.75">
      <c r="AB42" s="1"/>
      <c r="AC42" s="1"/>
      <c r="AD42" s="1"/>
      <c r="AE42" s="1"/>
      <c r="AF42" s="1"/>
    </row>
  </sheetData>
  <mergeCells count="5">
    <mergeCell ref="A1:N1"/>
    <mergeCell ref="T1:AE1"/>
    <mergeCell ref="A2:N2"/>
    <mergeCell ref="T2:AE2"/>
    <mergeCell ref="AD40:AE40"/>
  </mergeCells>
  <pageMargins left="0.7" right="0.7" top="0.75" bottom="0.75" header="0.3" footer="0.3"/>
  <pageSetup scale="38" orientation="landscape" r:id="rId1"/>
  <colBreaks count="1" manualBreakCount="1">
    <brk id="19" max="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M67"/>
  <sheetViews>
    <sheetView view="pageBreakPreview" zoomScale="80" zoomScaleNormal="100" zoomScaleSheetLayoutView="80" workbookViewId="0"/>
  </sheetViews>
  <sheetFormatPr defaultColWidth="8.88671875" defaultRowHeight="20.100000000000001" customHeight="1"/>
  <cols>
    <col min="1" max="1" width="6.109375" style="39" bestFit="1" customWidth="1"/>
    <col min="2" max="2" width="15.109375" style="33" customWidth="1"/>
    <col min="3" max="3" width="8.88671875" style="33"/>
    <col min="4" max="4" width="2.77734375" style="33" customWidth="1"/>
    <col min="5" max="5" width="14.109375" style="39" bestFit="1" customWidth="1"/>
    <col min="6" max="6" width="23.21875" style="39" customWidth="1"/>
    <col min="7" max="7" width="19.109375" style="39" customWidth="1"/>
    <col min="8" max="8" width="17.109375" style="39" customWidth="1"/>
    <col min="9" max="9" width="12.77734375" style="39" customWidth="1"/>
    <col min="10" max="11" width="15" style="39" bestFit="1" customWidth="1"/>
    <col min="12" max="12" width="3.5546875" style="39" customWidth="1"/>
    <col min="13" max="13" width="15.109375" style="33" bestFit="1" customWidth="1"/>
    <col min="14" max="14" width="8.77734375" style="33" customWidth="1"/>
    <col min="15" max="16384" width="8.88671875" style="33"/>
  </cols>
  <sheetData>
    <row r="1" spans="1:13" ht="20.100000000000001" customHeight="1">
      <c r="E1" s="33"/>
      <c r="F1" s="33"/>
      <c r="G1" s="33"/>
      <c r="M1" s="3" t="str">
        <f>'Attachment H-34A '!K1&amp;""&amp;", Attachment 3"</f>
        <v>Attachment H-34A, Attachment 3</v>
      </c>
    </row>
    <row r="2" spans="1:13" ht="20.100000000000001" customHeight="1">
      <c r="M2" s="3" t="s">
        <v>186</v>
      </c>
    </row>
    <row r="3" spans="1:13" ht="20.100000000000001" customHeight="1">
      <c r="H3" s="41" t="s">
        <v>499</v>
      </c>
      <c r="M3" s="3" t="str">
        <f>'Attachment H-34A '!K4</f>
        <v>For the 12 months ended 12/31/2026</v>
      </c>
    </row>
    <row r="4" spans="1:13" ht="20.100000000000001" customHeight="1">
      <c r="A4" s="42"/>
    </row>
    <row r="5" spans="1:13" ht="20.100000000000001" customHeight="1">
      <c r="E5" s="300" t="s">
        <v>449</v>
      </c>
      <c r="F5" s="300" t="s">
        <v>450</v>
      </c>
      <c r="G5" s="300" t="s">
        <v>451</v>
      </c>
      <c r="H5" s="300" t="s">
        <v>452</v>
      </c>
      <c r="I5" s="300" t="s">
        <v>453</v>
      </c>
      <c r="J5" s="300" t="s">
        <v>454</v>
      </c>
      <c r="K5" s="300"/>
      <c r="L5" s="301"/>
      <c r="M5" s="39" t="s">
        <v>455</v>
      </c>
    </row>
    <row r="6" spans="1:13" ht="20.100000000000001" customHeight="1">
      <c r="E6" s="41" t="s">
        <v>214</v>
      </c>
      <c r="F6" s="41" t="s">
        <v>25</v>
      </c>
      <c r="G6" s="41" t="s">
        <v>215</v>
      </c>
      <c r="H6" s="41" t="s">
        <v>217</v>
      </c>
      <c r="I6" s="41" t="s">
        <v>216</v>
      </c>
      <c r="J6" s="41" t="s">
        <v>218</v>
      </c>
      <c r="K6" s="41"/>
      <c r="L6" s="33"/>
      <c r="M6" s="41" t="s">
        <v>10</v>
      </c>
    </row>
    <row r="7" spans="1:13" ht="20.100000000000001" customHeight="1">
      <c r="D7" s="37"/>
      <c r="E7" s="40"/>
      <c r="F7" s="40"/>
      <c r="G7" s="40"/>
      <c r="H7" s="40"/>
      <c r="I7" s="40"/>
      <c r="J7" s="43"/>
      <c r="K7" s="43"/>
      <c r="L7" s="33"/>
    </row>
    <row r="8" spans="1:13" ht="20.100000000000001" customHeight="1">
      <c r="A8" s="43">
        <v>1</v>
      </c>
      <c r="B8" s="33" t="s">
        <v>198</v>
      </c>
      <c r="C8" s="36">
        <v>2025</v>
      </c>
      <c r="E8" s="76">
        <f t="shared" ref="E8:J8" si="0">E27-E48</f>
        <v>0</v>
      </c>
      <c r="F8" s="76">
        <f t="shared" si="0"/>
        <v>856767691.9501636</v>
      </c>
      <c r="G8" s="76">
        <f t="shared" si="0"/>
        <v>0</v>
      </c>
      <c r="H8" s="76">
        <f t="shared" si="0"/>
        <v>0</v>
      </c>
      <c r="I8" s="76">
        <f t="shared" si="0"/>
        <v>3171897.5553990882</v>
      </c>
      <c r="J8" s="76">
        <f t="shared" si="0"/>
        <v>0</v>
      </c>
      <c r="K8" s="76"/>
      <c r="L8" s="320"/>
      <c r="M8" s="320">
        <f>SUM(E8,F8,G8,H8,I8,J8)</f>
        <v>859939589.50556266</v>
      </c>
    </row>
    <row r="9" spans="1:13" ht="20.100000000000001" customHeight="1">
      <c r="A9" s="43">
        <v>2</v>
      </c>
      <c r="B9" s="33" t="s">
        <v>199</v>
      </c>
      <c r="C9" s="35">
        <f>C8+1</f>
        <v>2026</v>
      </c>
      <c r="E9" s="76">
        <f t="shared" ref="E9:J9" si="1">E28-E49</f>
        <v>0</v>
      </c>
      <c r="F9" s="76">
        <f t="shared" si="1"/>
        <v>878188364.56728506</v>
      </c>
      <c r="G9" s="76">
        <f t="shared" si="1"/>
        <v>0</v>
      </c>
      <c r="H9" s="76">
        <f t="shared" si="1"/>
        <v>0</v>
      </c>
      <c r="I9" s="76">
        <f t="shared" si="1"/>
        <v>3241462.6119463812</v>
      </c>
      <c r="J9" s="76">
        <f t="shared" si="1"/>
        <v>0</v>
      </c>
      <c r="K9" s="76"/>
      <c r="L9" s="320"/>
      <c r="M9" s="320">
        <f t="shared" ref="M9:M20" si="2">SUM(E9,F9,G9,H9,I9,J9)</f>
        <v>881429827.17923141</v>
      </c>
    </row>
    <row r="10" spans="1:13" ht="20.100000000000001" customHeight="1">
      <c r="A10" s="43">
        <v>3</v>
      </c>
      <c r="B10" s="33" t="s">
        <v>200</v>
      </c>
      <c r="C10" s="35">
        <f>C9</f>
        <v>2026</v>
      </c>
      <c r="E10" s="76">
        <f t="shared" ref="E10:J10" si="3">E29-E50</f>
        <v>0</v>
      </c>
      <c r="F10" s="76">
        <f t="shared" si="3"/>
        <v>878543226.23832881</v>
      </c>
      <c r="G10" s="76">
        <f t="shared" si="3"/>
        <v>0</v>
      </c>
      <c r="H10" s="76">
        <f t="shared" si="3"/>
        <v>0</v>
      </c>
      <c r="I10" s="76">
        <f t="shared" si="3"/>
        <v>3239611.832274409</v>
      </c>
      <c r="J10" s="76">
        <f t="shared" si="3"/>
        <v>0</v>
      </c>
      <c r="K10" s="76"/>
      <c r="L10" s="320"/>
      <c r="M10" s="320">
        <f t="shared" si="2"/>
        <v>881782838.07060325</v>
      </c>
    </row>
    <row r="11" spans="1:13" ht="20.100000000000001" customHeight="1">
      <c r="A11" s="43">
        <v>4</v>
      </c>
      <c r="B11" s="33" t="s">
        <v>201</v>
      </c>
      <c r="C11" s="35">
        <f t="shared" ref="C11:C20" si="4">C10</f>
        <v>2026</v>
      </c>
      <c r="E11" s="76">
        <f t="shared" ref="E11:J11" si="5">E30-E51</f>
        <v>0</v>
      </c>
      <c r="F11" s="76">
        <f t="shared" si="5"/>
        <v>880807691.04188907</v>
      </c>
      <c r="G11" s="76">
        <f t="shared" si="5"/>
        <v>0</v>
      </c>
      <c r="H11" s="76">
        <f t="shared" si="5"/>
        <v>0</v>
      </c>
      <c r="I11" s="76">
        <f t="shared" si="5"/>
        <v>3227745.6877011266</v>
      </c>
      <c r="J11" s="76">
        <f t="shared" si="5"/>
        <v>0</v>
      </c>
      <c r="K11" s="76"/>
      <c r="L11" s="320"/>
      <c r="M11" s="320">
        <f t="shared" si="2"/>
        <v>884035436.72959018</v>
      </c>
    </row>
    <row r="12" spans="1:13" ht="20.100000000000001" customHeight="1">
      <c r="A12" s="43">
        <v>5</v>
      </c>
      <c r="B12" s="33" t="s">
        <v>202</v>
      </c>
      <c r="C12" s="35">
        <f t="shared" si="4"/>
        <v>2026</v>
      </c>
      <c r="E12" s="76">
        <f t="shared" ref="E12:J12" si="6">E31-E52</f>
        <v>0</v>
      </c>
      <c r="F12" s="76">
        <f t="shared" si="6"/>
        <v>886238768.40712404</v>
      </c>
      <c r="G12" s="76">
        <f t="shared" si="6"/>
        <v>0</v>
      </c>
      <c r="H12" s="76">
        <f t="shared" si="6"/>
        <v>0</v>
      </c>
      <c r="I12" s="76">
        <f t="shared" si="6"/>
        <v>3247715.4777348223</v>
      </c>
      <c r="J12" s="76">
        <f t="shared" si="6"/>
        <v>0</v>
      </c>
      <c r="K12" s="76"/>
      <c r="L12" s="320"/>
      <c r="M12" s="320">
        <f t="shared" si="2"/>
        <v>889486483.88485885</v>
      </c>
    </row>
    <row r="13" spans="1:13" ht="20.100000000000001" customHeight="1">
      <c r="A13" s="43">
        <v>6</v>
      </c>
      <c r="B13" s="33" t="s">
        <v>203</v>
      </c>
      <c r="C13" s="35">
        <f t="shared" si="4"/>
        <v>2026</v>
      </c>
      <c r="E13" s="76">
        <f t="shared" ref="E13:J13" si="7">E32-E53</f>
        <v>0</v>
      </c>
      <c r="F13" s="76">
        <f t="shared" si="7"/>
        <v>900787913.94037247</v>
      </c>
      <c r="G13" s="76">
        <f t="shared" si="7"/>
        <v>0</v>
      </c>
      <c r="H13" s="76">
        <f t="shared" si="7"/>
        <v>0</v>
      </c>
      <c r="I13" s="76">
        <f t="shared" si="7"/>
        <v>3276319.7169681825</v>
      </c>
      <c r="J13" s="76">
        <f t="shared" si="7"/>
        <v>0</v>
      </c>
      <c r="K13" s="76"/>
      <c r="L13" s="320"/>
      <c r="M13" s="320">
        <f t="shared" si="2"/>
        <v>904064233.65734065</v>
      </c>
    </row>
    <row r="14" spans="1:13" ht="20.100000000000001" customHeight="1">
      <c r="A14" s="43">
        <v>7</v>
      </c>
      <c r="B14" s="33" t="s">
        <v>213</v>
      </c>
      <c r="C14" s="35">
        <f t="shared" si="4"/>
        <v>2026</v>
      </c>
      <c r="E14" s="76">
        <f t="shared" ref="E14:J14" si="8">E33-E54</f>
        <v>0</v>
      </c>
      <c r="F14" s="76">
        <f t="shared" si="8"/>
        <v>914783620.58847189</v>
      </c>
      <c r="G14" s="76">
        <f t="shared" si="8"/>
        <v>0</v>
      </c>
      <c r="H14" s="76">
        <f t="shared" si="8"/>
        <v>0</v>
      </c>
      <c r="I14" s="76">
        <f t="shared" si="8"/>
        <v>3305615.3583568055</v>
      </c>
      <c r="J14" s="76">
        <f t="shared" si="8"/>
        <v>0</v>
      </c>
      <c r="K14" s="76"/>
      <c r="L14" s="320"/>
      <c r="M14" s="320">
        <f t="shared" si="2"/>
        <v>918089235.94682872</v>
      </c>
    </row>
    <row r="15" spans="1:13" ht="20.100000000000001" customHeight="1">
      <c r="A15" s="43">
        <v>8</v>
      </c>
      <c r="B15" s="33" t="s">
        <v>204</v>
      </c>
      <c r="C15" s="35">
        <f t="shared" si="4"/>
        <v>2026</v>
      </c>
      <c r="E15" s="76">
        <f t="shared" ref="E15:J15" si="9">E34-E55</f>
        <v>0</v>
      </c>
      <c r="F15" s="76">
        <f t="shared" si="9"/>
        <v>921910351.77470458</v>
      </c>
      <c r="G15" s="76">
        <f t="shared" si="9"/>
        <v>0</v>
      </c>
      <c r="H15" s="76">
        <f t="shared" si="9"/>
        <v>0</v>
      </c>
      <c r="I15" s="76">
        <f t="shared" si="9"/>
        <v>3340141.6773224967</v>
      </c>
      <c r="J15" s="76">
        <f t="shared" si="9"/>
        <v>0</v>
      </c>
      <c r="K15" s="76"/>
      <c r="L15" s="320"/>
      <c r="M15" s="320">
        <f t="shared" si="2"/>
        <v>925250493.45202708</v>
      </c>
    </row>
    <row r="16" spans="1:13" ht="20.100000000000001" customHeight="1">
      <c r="A16" s="43">
        <v>9</v>
      </c>
      <c r="B16" s="33" t="s">
        <v>205</v>
      </c>
      <c r="C16" s="35">
        <f t="shared" si="4"/>
        <v>2026</v>
      </c>
      <c r="E16" s="76">
        <f t="shared" ref="E16:I16" si="10">E35-E56</f>
        <v>0</v>
      </c>
      <c r="F16" s="76">
        <f t="shared" si="10"/>
        <v>924605459.85942757</v>
      </c>
      <c r="G16" s="76">
        <f t="shared" si="10"/>
        <v>0</v>
      </c>
      <c r="H16" s="76">
        <f t="shared" si="10"/>
        <v>0</v>
      </c>
      <c r="I16" s="76">
        <f t="shared" si="10"/>
        <v>3314651.1092310674</v>
      </c>
      <c r="J16" s="76">
        <f>J35-J56</f>
        <v>0</v>
      </c>
      <c r="K16" s="76"/>
      <c r="L16" s="320"/>
      <c r="M16" s="320">
        <f t="shared" si="2"/>
        <v>927920110.96865869</v>
      </c>
    </row>
    <row r="17" spans="1:13" ht="20.100000000000001" customHeight="1">
      <c r="A17" s="43">
        <v>10</v>
      </c>
      <c r="B17" s="33" t="s">
        <v>206</v>
      </c>
      <c r="C17" s="35">
        <f t="shared" si="4"/>
        <v>2026</v>
      </c>
      <c r="E17" s="76">
        <f t="shared" ref="E17:J17" si="11">E36-E57</f>
        <v>0</v>
      </c>
      <c r="F17" s="76">
        <f t="shared" si="11"/>
        <v>927596189.22924638</v>
      </c>
      <c r="G17" s="76">
        <f t="shared" si="11"/>
        <v>0</v>
      </c>
      <c r="H17" s="76">
        <f t="shared" si="11"/>
        <v>0</v>
      </c>
      <c r="I17" s="76">
        <f t="shared" si="11"/>
        <v>3313531.7769766781</v>
      </c>
      <c r="J17" s="76">
        <f t="shared" si="11"/>
        <v>0</v>
      </c>
      <c r="K17" s="76"/>
      <c r="L17" s="320"/>
      <c r="M17" s="320">
        <f t="shared" si="2"/>
        <v>930909721.00622308</v>
      </c>
    </row>
    <row r="18" spans="1:13" ht="20.100000000000001" customHeight="1">
      <c r="A18" s="43">
        <v>11</v>
      </c>
      <c r="B18" s="33" t="s">
        <v>208</v>
      </c>
      <c r="C18" s="35">
        <f t="shared" si="4"/>
        <v>2026</v>
      </c>
      <c r="E18" s="76">
        <f t="shared" ref="E18:J18" si="12">E37-E58</f>
        <v>0</v>
      </c>
      <c r="F18" s="76">
        <f t="shared" si="12"/>
        <v>931125610.13323867</v>
      </c>
      <c r="G18" s="76">
        <f t="shared" si="12"/>
        <v>0</v>
      </c>
      <c r="H18" s="76">
        <f t="shared" si="12"/>
        <v>0</v>
      </c>
      <c r="I18" s="76">
        <f t="shared" si="12"/>
        <v>3334754.5294489046</v>
      </c>
      <c r="J18" s="76">
        <f t="shared" si="12"/>
        <v>0</v>
      </c>
      <c r="K18" s="76"/>
      <c r="L18" s="320"/>
      <c r="M18" s="320">
        <f t="shared" si="2"/>
        <v>934460364.66268754</v>
      </c>
    </row>
    <row r="19" spans="1:13" ht="20.100000000000001" customHeight="1">
      <c r="A19" s="43">
        <v>12</v>
      </c>
      <c r="B19" s="33" t="s">
        <v>207</v>
      </c>
      <c r="C19" s="35">
        <f t="shared" si="4"/>
        <v>2026</v>
      </c>
      <c r="E19" s="76">
        <f t="shared" ref="E19:J19" si="13">E38-E59</f>
        <v>0</v>
      </c>
      <c r="F19" s="76">
        <f t="shared" si="13"/>
        <v>941558369.77693605</v>
      </c>
      <c r="G19" s="76">
        <f t="shared" si="13"/>
        <v>0</v>
      </c>
      <c r="H19" s="76">
        <f t="shared" si="13"/>
        <v>0</v>
      </c>
      <c r="I19" s="76">
        <f t="shared" si="13"/>
        <v>3363465.1219574134</v>
      </c>
      <c r="J19" s="76">
        <f t="shared" si="13"/>
        <v>0</v>
      </c>
      <c r="K19" s="76"/>
      <c r="L19" s="320"/>
      <c r="M19" s="320">
        <f t="shared" si="2"/>
        <v>944921834.89889348</v>
      </c>
    </row>
    <row r="20" spans="1:13" ht="20.100000000000001" customHeight="1">
      <c r="A20" s="43">
        <v>13</v>
      </c>
      <c r="B20" s="33" t="s">
        <v>198</v>
      </c>
      <c r="C20" s="35">
        <f t="shared" si="4"/>
        <v>2026</v>
      </c>
      <c r="E20" s="76">
        <f t="shared" ref="E20:J20" si="14">E39-E60</f>
        <v>0</v>
      </c>
      <c r="F20" s="76">
        <f t="shared" si="14"/>
        <v>963277173.06649959</v>
      </c>
      <c r="G20" s="76">
        <f t="shared" si="14"/>
        <v>0</v>
      </c>
      <c r="H20" s="76">
        <f t="shared" si="14"/>
        <v>0</v>
      </c>
      <c r="I20" s="76">
        <f t="shared" si="14"/>
        <v>3398719.0644080262</v>
      </c>
      <c r="J20" s="76">
        <f t="shared" si="14"/>
        <v>0</v>
      </c>
      <c r="K20" s="76"/>
      <c r="L20" s="320"/>
      <c r="M20" s="320">
        <f t="shared" si="2"/>
        <v>966675892.13090765</v>
      </c>
    </row>
    <row r="21" spans="1:13" ht="20.100000000000001" customHeight="1">
      <c r="E21" s="76"/>
      <c r="F21" s="76"/>
      <c r="G21" s="76"/>
      <c r="H21" s="76"/>
      <c r="I21" s="76"/>
      <c r="J21" s="76"/>
      <c r="K21" s="76"/>
      <c r="L21" s="320"/>
      <c r="M21" s="320"/>
    </row>
    <row r="22" spans="1:13" s="44" customFormat="1" ht="20.100000000000001" customHeight="1">
      <c r="A22" s="166">
        <v>14</v>
      </c>
      <c r="B22" s="44" t="s">
        <v>222</v>
      </c>
      <c r="D22" s="49" t="s">
        <v>770</v>
      </c>
      <c r="E22" s="319">
        <f>SUM(E8:E20)/13</f>
        <v>0</v>
      </c>
      <c r="F22" s="319">
        <f>SUM(F8:F20)/13</f>
        <v>908168494.65951431</v>
      </c>
      <c r="G22" s="319">
        <f t="shared" ref="G22" si="15">SUM(G8:G20)/13</f>
        <v>0</v>
      </c>
      <c r="H22" s="319">
        <f>SUM(H8:H20)/13</f>
        <v>0</v>
      </c>
      <c r="I22" s="319">
        <f t="shared" ref="I22:J22" si="16">SUM(I8:I20)/13</f>
        <v>3290433.1938250312</v>
      </c>
      <c r="J22" s="319">
        <f t="shared" si="16"/>
        <v>0</v>
      </c>
      <c r="K22" s="319"/>
      <c r="L22" s="319"/>
      <c r="M22" s="319">
        <f>SUM(M8:M20)/13</f>
        <v>911458927.85333943</v>
      </c>
    </row>
    <row r="24" spans="1:13" ht="20.100000000000001" customHeight="1">
      <c r="E24" s="41" t="s">
        <v>214</v>
      </c>
      <c r="F24" s="41" t="s">
        <v>25</v>
      </c>
      <c r="G24" s="41" t="s">
        <v>215</v>
      </c>
      <c r="H24" s="41" t="s">
        <v>217</v>
      </c>
      <c r="I24" s="41" t="s">
        <v>216</v>
      </c>
      <c r="J24" s="41" t="s">
        <v>218</v>
      </c>
      <c r="K24" s="33"/>
      <c r="M24" s="41" t="s">
        <v>10</v>
      </c>
    </row>
    <row r="25" spans="1:13" ht="20.100000000000001" customHeight="1">
      <c r="E25" s="41"/>
      <c r="F25" s="41"/>
      <c r="G25" s="41"/>
      <c r="H25" s="41"/>
      <c r="I25" s="41"/>
      <c r="J25" s="41"/>
      <c r="K25" s="33"/>
    </row>
    <row r="26" spans="1:13" ht="20.100000000000001" customHeight="1">
      <c r="D26" s="37" t="s">
        <v>236</v>
      </c>
      <c r="E26" s="40" t="s">
        <v>133</v>
      </c>
      <c r="F26" s="40" t="s">
        <v>219</v>
      </c>
      <c r="G26" s="40" t="s">
        <v>134</v>
      </c>
      <c r="H26" s="40" t="s">
        <v>220</v>
      </c>
      <c r="I26" s="40" t="s">
        <v>221</v>
      </c>
      <c r="J26" s="43">
        <v>356.1</v>
      </c>
      <c r="K26" s="33"/>
    </row>
    <row r="27" spans="1:13" ht="20.100000000000001" customHeight="1">
      <c r="A27" s="43">
        <v>15</v>
      </c>
      <c r="B27" s="33" t="s">
        <v>198</v>
      </c>
      <c r="C27" s="35">
        <f>C8</f>
        <v>2025</v>
      </c>
      <c r="E27" s="69"/>
      <c r="F27" s="69">
        <v>856767691.9501636</v>
      </c>
      <c r="G27" s="69"/>
      <c r="H27" s="69"/>
      <c r="I27" s="69">
        <v>3171897.5553990882</v>
      </c>
      <c r="J27" s="69"/>
      <c r="K27" s="70"/>
      <c r="M27" s="70">
        <f t="shared" ref="M27:M39" si="17">SUM(E27:J27)</f>
        <v>859939589.50556266</v>
      </c>
    </row>
    <row r="28" spans="1:13" ht="20.100000000000001" customHeight="1">
      <c r="A28" s="43">
        <v>16</v>
      </c>
      <c r="B28" s="33" t="s">
        <v>199</v>
      </c>
      <c r="C28" s="35">
        <f>C27+1</f>
        <v>2026</v>
      </c>
      <c r="E28" s="69"/>
      <c r="F28" s="69">
        <v>878188364.56728506</v>
      </c>
      <c r="G28" s="69"/>
      <c r="H28" s="69"/>
      <c r="I28" s="69">
        <v>3241462.6119463812</v>
      </c>
      <c r="J28" s="69"/>
      <c r="K28" s="70"/>
      <c r="M28" s="70">
        <f t="shared" si="17"/>
        <v>881429827.17923141</v>
      </c>
    </row>
    <row r="29" spans="1:13" ht="20.100000000000001" customHeight="1">
      <c r="A29" s="43">
        <v>17</v>
      </c>
      <c r="B29" s="33" t="s">
        <v>200</v>
      </c>
      <c r="C29" s="35">
        <f>C28</f>
        <v>2026</v>
      </c>
      <c r="E29" s="69"/>
      <c r="F29" s="69">
        <v>878543226.23832881</v>
      </c>
      <c r="G29" s="69"/>
      <c r="H29" s="69"/>
      <c r="I29" s="69">
        <v>3239611.832274409</v>
      </c>
      <c r="J29" s="69"/>
      <c r="K29" s="70"/>
      <c r="M29" s="70">
        <f t="shared" si="17"/>
        <v>881782838.07060325</v>
      </c>
    </row>
    <row r="30" spans="1:13" ht="20.100000000000001" customHeight="1">
      <c r="A30" s="43">
        <v>18</v>
      </c>
      <c r="B30" s="33" t="s">
        <v>201</v>
      </c>
      <c r="C30" s="35">
        <f t="shared" ref="C30:C39" si="18">C29</f>
        <v>2026</v>
      </c>
      <c r="E30" s="69"/>
      <c r="F30" s="69">
        <v>880807691.04188907</v>
      </c>
      <c r="G30" s="69"/>
      <c r="H30" s="69"/>
      <c r="I30" s="69">
        <v>3227745.6877011266</v>
      </c>
      <c r="J30" s="69"/>
      <c r="K30" s="70"/>
      <c r="M30" s="70">
        <f t="shared" si="17"/>
        <v>884035436.72959018</v>
      </c>
    </row>
    <row r="31" spans="1:13" ht="20.100000000000001" customHeight="1">
      <c r="A31" s="43">
        <v>19</v>
      </c>
      <c r="B31" s="33" t="s">
        <v>202</v>
      </c>
      <c r="C31" s="35">
        <f t="shared" si="18"/>
        <v>2026</v>
      </c>
      <c r="E31" s="69"/>
      <c r="F31" s="69">
        <v>886238768.40712404</v>
      </c>
      <c r="G31" s="69"/>
      <c r="H31" s="69"/>
      <c r="I31" s="69">
        <v>3247715.4777348223</v>
      </c>
      <c r="J31" s="69"/>
      <c r="K31" s="70"/>
      <c r="M31" s="70">
        <f t="shared" si="17"/>
        <v>889486483.88485885</v>
      </c>
    </row>
    <row r="32" spans="1:13" ht="20.100000000000001" customHeight="1">
      <c r="A32" s="43">
        <v>20</v>
      </c>
      <c r="B32" s="33" t="s">
        <v>203</v>
      </c>
      <c r="C32" s="35">
        <f t="shared" si="18"/>
        <v>2026</v>
      </c>
      <c r="E32" s="69"/>
      <c r="F32" s="69">
        <v>900787913.94037247</v>
      </c>
      <c r="G32" s="69"/>
      <c r="H32" s="69"/>
      <c r="I32" s="69">
        <v>3276319.7169681825</v>
      </c>
      <c r="J32" s="69"/>
      <c r="K32" s="70"/>
      <c r="M32" s="70">
        <f t="shared" si="17"/>
        <v>904064233.65734065</v>
      </c>
    </row>
    <row r="33" spans="1:13" ht="20.100000000000001" customHeight="1">
      <c r="A33" s="43">
        <v>21</v>
      </c>
      <c r="B33" s="33" t="s">
        <v>213</v>
      </c>
      <c r="C33" s="35">
        <f t="shared" si="18"/>
        <v>2026</v>
      </c>
      <c r="E33" s="69"/>
      <c r="F33" s="69">
        <v>914783620.58847189</v>
      </c>
      <c r="G33" s="69"/>
      <c r="H33" s="69"/>
      <c r="I33" s="69">
        <v>3305615.3583568055</v>
      </c>
      <c r="J33" s="69"/>
      <c r="K33" s="70"/>
      <c r="M33" s="70">
        <f t="shared" si="17"/>
        <v>918089235.94682872</v>
      </c>
    </row>
    <row r="34" spans="1:13" ht="20.100000000000001" customHeight="1">
      <c r="A34" s="43">
        <v>22</v>
      </c>
      <c r="B34" s="33" t="s">
        <v>204</v>
      </c>
      <c r="C34" s="35">
        <f t="shared" si="18"/>
        <v>2026</v>
      </c>
      <c r="E34" s="69"/>
      <c r="F34" s="69">
        <v>921910351.77470458</v>
      </c>
      <c r="G34" s="69"/>
      <c r="H34" s="69"/>
      <c r="I34" s="69">
        <v>3340141.6773224967</v>
      </c>
      <c r="J34" s="69"/>
      <c r="K34" s="70"/>
      <c r="M34" s="70">
        <f t="shared" si="17"/>
        <v>925250493.45202708</v>
      </c>
    </row>
    <row r="35" spans="1:13" ht="20.100000000000001" customHeight="1">
      <c r="A35" s="43">
        <v>23</v>
      </c>
      <c r="B35" s="33" t="s">
        <v>205</v>
      </c>
      <c r="C35" s="35">
        <f t="shared" si="18"/>
        <v>2026</v>
      </c>
      <c r="E35" s="69"/>
      <c r="F35" s="69">
        <v>924605459.85942757</v>
      </c>
      <c r="G35" s="69"/>
      <c r="H35" s="69"/>
      <c r="I35" s="69">
        <v>3314651.1092310674</v>
      </c>
      <c r="J35" s="69"/>
      <c r="K35" s="70"/>
      <c r="M35" s="70">
        <f t="shared" si="17"/>
        <v>927920110.96865869</v>
      </c>
    </row>
    <row r="36" spans="1:13" ht="20.100000000000001" customHeight="1">
      <c r="A36" s="43">
        <v>24</v>
      </c>
      <c r="B36" s="33" t="s">
        <v>206</v>
      </c>
      <c r="C36" s="35">
        <f t="shared" si="18"/>
        <v>2026</v>
      </c>
      <c r="E36" s="69"/>
      <c r="F36" s="69">
        <v>927596189.22924638</v>
      </c>
      <c r="G36" s="69"/>
      <c r="H36" s="69"/>
      <c r="I36" s="69">
        <v>3313531.7769766781</v>
      </c>
      <c r="J36" s="69"/>
      <c r="K36" s="70"/>
      <c r="M36" s="70">
        <f t="shared" si="17"/>
        <v>930909721.00622308</v>
      </c>
    </row>
    <row r="37" spans="1:13" ht="20.100000000000001" customHeight="1">
      <c r="A37" s="43">
        <v>25</v>
      </c>
      <c r="B37" s="33" t="s">
        <v>208</v>
      </c>
      <c r="C37" s="35">
        <f t="shared" si="18"/>
        <v>2026</v>
      </c>
      <c r="E37" s="69"/>
      <c r="F37" s="69">
        <v>931125610.13323867</v>
      </c>
      <c r="G37" s="69"/>
      <c r="H37" s="69"/>
      <c r="I37" s="69">
        <v>3334754.5294489046</v>
      </c>
      <c r="J37" s="69"/>
      <c r="K37" s="70"/>
      <c r="M37" s="70">
        <f t="shared" si="17"/>
        <v>934460364.66268754</v>
      </c>
    </row>
    <row r="38" spans="1:13" ht="20.100000000000001" customHeight="1">
      <c r="A38" s="43">
        <v>26</v>
      </c>
      <c r="B38" s="33" t="s">
        <v>207</v>
      </c>
      <c r="C38" s="35">
        <f t="shared" si="18"/>
        <v>2026</v>
      </c>
      <c r="E38" s="69"/>
      <c r="F38" s="69">
        <v>941558369.77693605</v>
      </c>
      <c r="G38" s="69"/>
      <c r="H38" s="69"/>
      <c r="I38" s="69">
        <v>3363465.1219574134</v>
      </c>
      <c r="J38" s="69"/>
      <c r="K38" s="70"/>
      <c r="M38" s="70">
        <f t="shared" si="17"/>
        <v>944921834.89889348</v>
      </c>
    </row>
    <row r="39" spans="1:13" ht="20.100000000000001" customHeight="1">
      <c r="A39" s="43">
        <v>27</v>
      </c>
      <c r="B39" s="33" t="s">
        <v>198</v>
      </c>
      <c r="C39" s="35">
        <f t="shared" si="18"/>
        <v>2026</v>
      </c>
      <c r="E39" s="69"/>
      <c r="F39" s="69">
        <v>963277173.06649959</v>
      </c>
      <c r="G39" s="69"/>
      <c r="H39" s="69"/>
      <c r="I39" s="69">
        <v>3398719.0644080262</v>
      </c>
      <c r="J39" s="69"/>
      <c r="K39" s="70"/>
      <c r="M39" s="70">
        <f t="shared" si="17"/>
        <v>966675892.13090765</v>
      </c>
    </row>
    <row r="40" spans="1:13" ht="20.100000000000001" customHeight="1">
      <c r="E40" s="71"/>
      <c r="F40" s="71"/>
      <c r="G40" s="71"/>
      <c r="H40" s="71"/>
      <c r="I40" s="71"/>
      <c r="J40" s="71"/>
      <c r="K40" s="70"/>
      <c r="M40" s="70"/>
    </row>
    <row r="41" spans="1:13" ht="20.100000000000001" customHeight="1">
      <c r="A41" s="43">
        <v>28</v>
      </c>
      <c r="B41" s="33" t="s">
        <v>222</v>
      </c>
      <c r="E41" s="71">
        <f>SUM(E27:E39)/13</f>
        <v>0</v>
      </c>
      <c r="F41" s="71">
        <f>SUM(F27:F39)/13</f>
        <v>908168494.65951431</v>
      </c>
      <c r="G41" s="71">
        <f t="shared" ref="G41:J41" si="19">SUM(G27:G39)/13</f>
        <v>0</v>
      </c>
      <c r="H41" s="71">
        <f>SUM(H27:H39)/13</f>
        <v>0</v>
      </c>
      <c r="I41" s="71">
        <f>SUM(I27:I39)/13</f>
        <v>3290433.1938250312</v>
      </c>
      <c r="J41" s="71">
        <f t="shared" si="19"/>
        <v>0</v>
      </c>
      <c r="K41" s="71"/>
      <c r="M41" s="71">
        <f>SUM(M27:M39)/13</f>
        <v>911458927.85333943</v>
      </c>
    </row>
    <row r="44" spans="1:13" ht="20.100000000000001" customHeight="1">
      <c r="B44" s="53" t="s">
        <v>533</v>
      </c>
      <c r="C44" s="54"/>
      <c r="D44" s="54"/>
      <c r="E44" s="55"/>
      <c r="F44" s="55"/>
      <c r="G44" s="56"/>
      <c r="H44" s="306"/>
      <c r="I44" s="306"/>
      <c r="J44" s="311"/>
      <c r="L44" s="33"/>
    </row>
    <row r="45" spans="1:13" ht="20.100000000000001" customHeight="1">
      <c r="B45" s="57"/>
      <c r="E45" s="41" t="s">
        <v>214</v>
      </c>
      <c r="F45" s="41" t="s">
        <v>25</v>
      </c>
      <c r="G45" s="41" t="s">
        <v>215</v>
      </c>
      <c r="H45" s="41" t="s">
        <v>217</v>
      </c>
      <c r="I45" s="41" t="s">
        <v>216</v>
      </c>
      <c r="J45" s="304" t="s">
        <v>218</v>
      </c>
      <c r="L45" s="33"/>
    </row>
    <row r="46" spans="1:13" ht="20.100000000000001" customHeight="1">
      <c r="B46" s="57"/>
      <c r="E46" s="33"/>
      <c r="F46" s="41"/>
      <c r="G46" s="41"/>
      <c r="H46" s="33"/>
      <c r="I46" s="41"/>
      <c r="J46" s="58"/>
      <c r="L46" s="33"/>
    </row>
    <row r="47" spans="1:13" ht="20.100000000000001" customHeight="1">
      <c r="B47" s="57"/>
      <c r="D47" s="37" t="s">
        <v>236</v>
      </c>
      <c r="E47" s="40" t="s">
        <v>565</v>
      </c>
      <c r="F47" s="40" t="s">
        <v>250</v>
      </c>
      <c r="G47" s="40" t="s">
        <v>544</v>
      </c>
      <c r="H47" s="40" t="s">
        <v>330</v>
      </c>
      <c r="I47" s="40" t="s">
        <v>521</v>
      </c>
      <c r="J47" s="403" t="s">
        <v>330</v>
      </c>
      <c r="L47" s="33"/>
    </row>
    <row r="48" spans="1:13" ht="20.100000000000001" customHeight="1">
      <c r="A48" s="43">
        <v>29</v>
      </c>
      <c r="B48" s="57" t="s">
        <v>198</v>
      </c>
      <c r="C48" s="35">
        <f>C8</f>
        <v>2025</v>
      </c>
      <c r="E48" s="312"/>
      <c r="F48" s="72"/>
      <c r="G48" s="72"/>
      <c r="H48" s="312"/>
      <c r="I48" s="72"/>
      <c r="J48" s="313"/>
      <c r="L48" s="33"/>
    </row>
    <row r="49" spans="1:12" ht="20.100000000000001" customHeight="1">
      <c r="A49" s="43">
        <v>30</v>
      </c>
      <c r="B49" s="57" t="s">
        <v>199</v>
      </c>
      <c r="C49" s="35">
        <f>C48+1</f>
        <v>2026</v>
      </c>
      <c r="E49" s="312"/>
      <c r="F49" s="72"/>
      <c r="G49" s="72"/>
      <c r="H49" s="312"/>
      <c r="I49" s="72"/>
      <c r="J49" s="313"/>
      <c r="L49" s="33"/>
    </row>
    <row r="50" spans="1:12" ht="20.100000000000001" customHeight="1">
      <c r="A50" s="43">
        <v>31</v>
      </c>
      <c r="B50" s="57" t="s">
        <v>200</v>
      </c>
      <c r="C50" s="35">
        <f>C49</f>
        <v>2026</v>
      </c>
      <c r="E50" s="312"/>
      <c r="F50" s="72"/>
      <c r="G50" s="72"/>
      <c r="H50" s="312"/>
      <c r="I50" s="72"/>
      <c r="J50" s="313"/>
      <c r="L50" s="33"/>
    </row>
    <row r="51" spans="1:12" ht="20.100000000000001" customHeight="1">
      <c r="A51" s="43">
        <v>32</v>
      </c>
      <c r="B51" s="57" t="s">
        <v>201</v>
      </c>
      <c r="C51" s="35">
        <f t="shared" ref="C51:C60" si="20">C50</f>
        <v>2026</v>
      </c>
      <c r="E51" s="312"/>
      <c r="F51" s="72"/>
      <c r="G51" s="72"/>
      <c r="H51" s="312"/>
      <c r="I51" s="72"/>
      <c r="J51" s="313"/>
      <c r="L51" s="33"/>
    </row>
    <row r="52" spans="1:12" ht="20.100000000000001" customHeight="1">
      <c r="A52" s="43">
        <v>33</v>
      </c>
      <c r="B52" s="57" t="s">
        <v>202</v>
      </c>
      <c r="C52" s="35">
        <f t="shared" si="20"/>
        <v>2026</v>
      </c>
      <c r="E52" s="312"/>
      <c r="F52" s="72"/>
      <c r="G52" s="72"/>
      <c r="H52" s="312"/>
      <c r="I52" s="72"/>
      <c r="J52" s="313"/>
      <c r="L52" s="33"/>
    </row>
    <row r="53" spans="1:12" ht="20.100000000000001" customHeight="1">
      <c r="A53" s="43">
        <v>34</v>
      </c>
      <c r="B53" s="57" t="s">
        <v>203</v>
      </c>
      <c r="C53" s="35">
        <f t="shared" si="20"/>
        <v>2026</v>
      </c>
      <c r="E53" s="312"/>
      <c r="F53" s="72"/>
      <c r="G53" s="72"/>
      <c r="H53" s="312"/>
      <c r="I53" s="72"/>
      <c r="J53" s="313"/>
      <c r="L53" s="33"/>
    </row>
    <row r="54" spans="1:12" ht="20.100000000000001" customHeight="1">
      <c r="A54" s="43">
        <v>35</v>
      </c>
      <c r="B54" s="57" t="s">
        <v>213</v>
      </c>
      <c r="C54" s="35">
        <f t="shared" si="20"/>
        <v>2026</v>
      </c>
      <c r="E54" s="312"/>
      <c r="F54" s="72"/>
      <c r="G54" s="72"/>
      <c r="H54" s="312"/>
      <c r="I54" s="72"/>
      <c r="J54" s="313"/>
      <c r="L54" s="33"/>
    </row>
    <row r="55" spans="1:12" ht="20.100000000000001" customHeight="1">
      <c r="A55" s="43">
        <v>36</v>
      </c>
      <c r="B55" s="57" t="s">
        <v>204</v>
      </c>
      <c r="C55" s="35">
        <f t="shared" si="20"/>
        <v>2026</v>
      </c>
      <c r="E55" s="312"/>
      <c r="F55" s="72"/>
      <c r="G55" s="72"/>
      <c r="H55" s="312"/>
      <c r="I55" s="72"/>
      <c r="J55" s="313"/>
      <c r="L55" s="33"/>
    </row>
    <row r="56" spans="1:12" ht="20.100000000000001" customHeight="1">
      <c r="A56" s="43">
        <v>37</v>
      </c>
      <c r="B56" s="57" t="s">
        <v>205</v>
      </c>
      <c r="C56" s="35">
        <f t="shared" si="20"/>
        <v>2026</v>
      </c>
      <c r="E56" s="312"/>
      <c r="F56" s="72"/>
      <c r="G56" s="72"/>
      <c r="H56" s="312"/>
      <c r="I56" s="72"/>
      <c r="J56" s="313"/>
      <c r="L56" s="33"/>
    </row>
    <row r="57" spans="1:12" ht="20.100000000000001" customHeight="1">
      <c r="A57" s="43">
        <v>38</v>
      </c>
      <c r="B57" s="57" t="s">
        <v>206</v>
      </c>
      <c r="C57" s="35">
        <f t="shared" si="20"/>
        <v>2026</v>
      </c>
      <c r="E57" s="312"/>
      <c r="F57" s="72"/>
      <c r="G57" s="72"/>
      <c r="H57" s="312"/>
      <c r="I57" s="72"/>
      <c r="J57" s="313"/>
      <c r="L57" s="33"/>
    </row>
    <row r="58" spans="1:12" ht="20.100000000000001" customHeight="1">
      <c r="A58" s="43">
        <v>39</v>
      </c>
      <c r="B58" s="57" t="s">
        <v>208</v>
      </c>
      <c r="C58" s="35">
        <f t="shared" si="20"/>
        <v>2026</v>
      </c>
      <c r="E58" s="312"/>
      <c r="F58" s="72"/>
      <c r="G58" s="72"/>
      <c r="H58" s="312"/>
      <c r="I58" s="72"/>
      <c r="J58" s="313"/>
      <c r="L58" s="33"/>
    </row>
    <row r="59" spans="1:12" ht="20.100000000000001" customHeight="1">
      <c r="A59" s="43">
        <v>40</v>
      </c>
      <c r="B59" s="57" t="s">
        <v>207</v>
      </c>
      <c r="C59" s="35">
        <f t="shared" si="20"/>
        <v>2026</v>
      </c>
      <c r="E59" s="312"/>
      <c r="F59" s="72"/>
      <c r="G59" s="72"/>
      <c r="H59" s="312"/>
      <c r="I59" s="72"/>
      <c r="J59" s="313"/>
      <c r="L59" s="33"/>
    </row>
    <row r="60" spans="1:12" ht="20.100000000000001" customHeight="1">
      <c r="A60" s="43">
        <v>41</v>
      </c>
      <c r="B60" s="57" t="s">
        <v>198</v>
      </c>
      <c r="C60" s="35">
        <f t="shared" si="20"/>
        <v>2026</v>
      </c>
      <c r="E60" s="312"/>
      <c r="F60" s="72"/>
      <c r="G60" s="72"/>
      <c r="H60" s="312"/>
      <c r="I60" s="72"/>
      <c r="J60" s="313"/>
      <c r="L60" s="33"/>
    </row>
    <row r="61" spans="1:12" ht="20.100000000000001" customHeight="1">
      <c r="B61" s="57"/>
      <c r="E61" s="33"/>
      <c r="F61" s="73"/>
      <c r="G61" s="33"/>
      <c r="H61" s="33"/>
      <c r="I61" s="33"/>
      <c r="J61" s="58"/>
      <c r="L61" s="33"/>
    </row>
    <row r="62" spans="1:12" ht="20.100000000000001" customHeight="1">
      <c r="A62" s="43">
        <v>42</v>
      </c>
      <c r="B62" s="59" t="s">
        <v>222</v>
      </c>
      <c r="C62" s="60"/>
      <c r="D62" s="60"/>
      <c r="E62" s="74">
        <f t="shared" ref="E62" si="21">SUM(E48:E60)/13</f>
        <v>0</v>
      </c>
      <c r="F62" s="74">
        <f>SUM(F48:F60)/13</f>
        <v>0</v>
      </c>
      <c r="G62" s="74">
        <f>SUM(G48:G60)/13</f>
        <v>0</v>
      </c>
      <c r="H62" s="74">
        <f>SUM(H48:H60)/13</f>
        <v>0</v>
      </c>
      <c r="I62" s="74">
        <f>SUM(I48:I60)/13</f>
        <v>0</v>
      </c>
      <c r="J62" s="305">
        <f>SUM(J48:J60)/13</f>
        <v>0</v>
      </c>
      <c r="L62" s="33"/>
    </row>
    <row r="64" spans="1:12" ht="20.100000000000001" customHeight="1">
      <c r="A64" s="33" t="s">
        <v>224</v>
      </c>
    </row>
    <row r="65" spans="1:2" ht="20.100000000000001" customHeight="1">
      <c r="A65" s="39" t="s">
        <v>223</v>
      </c>
      <c r="B65" s="33" t="s">
        <v>967</v>
      </c>
    </row>
    <row r="66" spans="1:2" ht="20.100000000000001" customHeight="1">
      <c r="A66" s="39" t="s">
        <v>236</v>
      </c>
      <c r="B66" s="33" t="s">
        <v>225</v>
      </c>
    </row>
    <row r="67" spans="1:2" ht="20.100000000000001" customHeight="1">
      <c r="A67" s="39" t="s">
        <v>282</v>
      </c>
      <c r="B67" s="33" t="s">
        <v>549</v>
      </c>
    </row>
  </sheetData>
  <customSheetViews>
    <customSheetView guid="{E1861F40-EBD5-44AE-868B-FDE0ED504D72}" scale="85">
      <selection activeCell="E9" sqref="E9"/>
      <pageMargins left="0.7" right="0.7" top="0.75" bottom="0.75" header="0.3" footer="0.3"/>
      <pageSetup scale="55" orientation="portrait" r:id="rId1"/>
    </customSheetView>
  </customSheetViews>
  <pageMargins left="0.7" right="0.7" top="0.75" bottom="0.75" header="0.3" footer="0.3"/>
  <pageSetup scale="44" fitToWidth="0" fitToHeight="0" orientation="portrait" r:id="rId2"/>
  <headerFooter alignWithMargins="0"/>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5B0E6-1736-47A3-B69D-EE4415B67312}">
  <dimension ref="A1:M68"/>
  <sheetViews>
    <sheetView view="pageBreakPreview" zoomScale="90" zoomScaleNormal="100" zoomScaleSheetLayoutView="90" workbookViewId="0"/>
  </sheetViews>
  <sheetFormatPr defaultColWidth="8.88671875" defaultRowHeight="15.75"/>
  <cols>
    <col min="1" max="1" width="5.77734375" style="39" bestFit="1" customWidth="1"/>
    <col min="2" max="2" width="10.77734375" style="33" customWidth="1"/>
    <col min="3" max="3" width="13" style="33" customWidth="1"/>
    <col min="4" max="4" width="2.77734375" style="33" customWidth="1"/>
    <col min="5" max="5" width="14.6640625" style="39" customWidth="1"/>
    <col min="6" max="6" width="24.21875" style="39" customWidth="1"/>
    <col min="7" max="7" width="18" style="39" customWidth="1"/>
    <col min="8" max="8" width="17.109375" style="39" customWidth="1"/>
    <col min="9" max="9" width="14.6640625" style="39" customWidth="1"/>
    <col min="10" max="10" width="16.6640625" style="39" customWidth="1"/>
    <col min="11" max="11" width="14.6640625" style="39" customWidth="1"/>
    <col min="12" max="12" width="2.21875" style="39" customWidth="1"/>
    <col min="13" max="13" width="13.6640625" style="33" bestFit="1" customWidth="1"/>
    <col min="14" max="16384" width="8.88671875" style="33"/>
  </cols>
  <sheetData>
    <row r="1" spans="1:13" ht="20.100000000000001" customHeight="1">
      <c r="E1" s="765"/>
      <c r="F1" s="765"/>
      <c r="G1" s="765"/>
      <c r="M1" s="3" t="str">
        <f>'Attachment H-34A '!K1&amp;""&amp;", Attachment 4"</f>
        <v>Attachment H-34A, Attachment 4</v>
      </c>
    </row>
    <row r="2" spans="1:13" ht="20.100000000000001" customHeight="1">
      <c r="M2" s="3" t="s">
        <v>186</v>
      </c>
    </row>
    <row r="3" spans="1:13" ht="20.100000000000001" customHeight="1">
      <c r="H3" s="41" t="s">
        <v>500</v>
      </c>
      <c r="M3" s="3" t="str">
        <f>'Attachment H-34A '!K4</f>
        <v>For the 12 months ended 12/31/2026</v>
      </c>
    </row>
    <row r="4" spans="1:13" ht="20.100000000000001" customHeight="1">
      <c r="A4" s="42"/>
    </row>
    <row r="5" spans="1:13" ht="20.100000000000001" customHeight="1">
      <c r="E5" s="300" t="s">
        <v>449</v>
      </c>
      <c r="F5" s="300" t="s">
        <v>450</v>
      </c>
      <c r="G5" s="300" t="s">
        <v>451</v>
      </c>
      <c r="H5" s="300" t="s">
        <v>452</v>
      </c>
      <c r="I5" s="300" t="s">
        <v>453</v>
      </c>
      <c r="J5" s="300" t="s">
        <v>454</v>
      </c>
      <c r="K5" s="300"/>
      <c r="L5" s="301"/>
      <c r="M5" s="39" t="s">
        <v>455</v>
      </c>
    </row>
    <row r="6" spans="1:13" ht="20.100000000000001" customHeight="1">
      <c r="E6" s="41" t="s">
        <v>214</v>
      </c>
      <c r="F6" s="41" t="s">
        <v>25</v>
      </c>
      <c r="G6" s="41" t="s">
        <v>215</v>
      </c>
      <c r="H6" s="41" t="s">
        <v>217</v>
      </c>
      <c r="I6" s="41" t="s">
        <v>216</v>
      </c>
      <c r="J6" s="41" t="s">
        <v>218</v>
      </c>
      <c r="K6" s="41"/>
      <c r="L6" s="33"/>
      <c r="M6" s="41" t="s">
        <v>10</v>
      </c>
    </row>
    <row r="7" spans="1:13" ht="20.100000000000001" customHeight="1">
      <c r="D7" s="37"/>
      <c r="E7" s="40"/>
      <c r="F7" s="40"/>
      <c r="G7" s="40"/>
      <c r="H7" s="40"/>
      <c r="I7" s="40"/>
      <c r="J7" s="43"/>
      <c r="K7" s="43"/>
      <c r="L7" s="33"/>
    </row>
    <row r="8" spans="1:13" ht="20.100000000000001" customHeight="1">
      <c r="A8" s="43">
        <v>1</v>
      </c>
      <c r="B8" s="33" t="s">
        <v>198</v>
      </c>
      <c r="C8" s="36">
        <v>2025</v>
      </c>
      <c r="E8" s="76">
        <f t="shared" ref="E8:J20" si="0">E28-E49</f>
        <v>0</v>
      </c>
      <c r="F8" s="76">
        <f>F28-F49</f>
        <v>221637068.23601443</v>
      </c>
      <c r="G8" s="76">
        <f>G28-G49</f>
        <v>0</v>
      </c>
      <c r="H8" s="76">
        <f>H28-H49</f>
        <v>0</v>
      </c>
      <c r="I8" s="76">
        <f>I28-I49</f>
        <v>503627.87637780316</v>
      </c>
      <c r="J8" s="76">
        <f>J28-J49</f>
        <v>0</v>
      </c>
      <c r="K8" s="76"/>
      <c r="L8" s="320"/>
      <c r="M8" s="320">
        <f>SUM(E8,F8,G8,H8,I8,J8)</f>
        <v>222140696.11239222</v>
      </c>
    </row>
    <row r="9" spans="1:13" ht="20.100000000000001" customHeight="1">
      <c r="A9" s="43">
        <v>2</v>
      </c>
      <c r="B9" s="33" t="s">
        <v>199</v>
      </c>
      <c r="C9" s="35">
        <f>C8+1</f>
        <v>2026</v>
      </c>
      <c r="E9" s="76">
        <f t="shared" si="0"/>
        <v>0</v>
      </c>
      <c r="F9" s="76">
        <f t="shared" si="0"/>
        <v>222909065.62816164</v>
      </c>
      <c r="G9" s="76">
        <f t="shared" si="0"/>
        <v>0</v>
      </c>
      <c r="H9" s="76">
        <f t="shared" si="0"/>
        <v>0</v>
      </c>
      <c r="I9" s="76">
        <f t="shared" si="0"/>
        <v>530205.55400010874</v>
      </c>
      <c r="J9" s="76">
        <f t="shared" si="0"/>
        <v>0</v>
      </c>
      <c r="K9" s="76"/>
      <c r="L9" s="320"/>
      <c r="M9" s="320">
        <f t="shared" ref="M9:M20" si="1">SUM(E9,F9,G9,H9,I9,J9)</f>
        <v>223439271.18216175</v>
      </c>
    </row>
    <row r="10" spans="1:13" ht="20.100000000000001" customHeight="1">
      <c r="A10" s="43">
        <v>3</v>
      </c>
      <c r="B10" s="33" t="s">
        <v>200</v>
      </c>
      <c r="C10" s="35">
        <f>C9</f>
        <v>2026</v>
      </c>
      <c r="E10" s="76">
        <f t="shared" si="0"/>
        <v>0</v>
      </c>
      <c r="F10" s="76">
        <f t="shared" si="0"/>
        <v>224227022.25347316</v>
      </c>
      <c r="G10" s="76">
        <f t="shared" si="0"/>
        <v>0</v>
      </c>
      <c r="H10" s="76">
        <f t="shared" si="0"/>
        <v>0</v>
      </c>
      <c r="I10" s="76">
        <f t="shared" si="0"/>
        <v>557040.80880842474</v>
      </c>
      <c r="J10" s="76">
        <f t="shared" si="0"/>
        <v>0</v>
      </c>
      <c r="K10" s="76"/>
      <c r="L10" s="320"/>
      <c r="M10" s="320">
        <f t="shared" si="1"/>
        <v>224784063.06228158</v>
      </c>
    </row>
    <row r="11" spans="1:13" ht="20.100000000000001" customHeight="1">
      <c r="A11" s="43">
        <v>4</v>
      </c>
      <c r="B11" s="33" t="s">
        <v>201</v>
      </c>
      <c r="C11" s="35">
        <f t="shared" ref="C11:C20" si="2">C10</f>
        <v>2026</v>
      </c>
      <c r="E11" s="76">
        <f t="shared" si="0"/>
        <v>0</v>
      </c>
      <c r="F11" s="76">
        <f t="shared" si="0"/>
        <v>225351557.12793878</v>
      </c>
      <c r="G11" s="76">
        <f t="shared" si="0"/>
        <v>0</v>
      </c>
      <c r="H11" s="76">
        <f t="shared" si="0"/>
        <v>0</v>
      </c>
      <c r="I11" s="76">
        <f t="shared" si="0"/>
        <v>583660.50284542073</v>
      </c>
      <c r="J11" s="76">
        <f t="shared" si="0"/>
        <v>0</v>
      </c>
      <c r="K11" s="76"/>
      <c r="L11" s="320"/>
      <c r="M11" s="320">
        <f t="shared" si="1"/>
        <v>225935217.63078418</v>
      </c>
    </row>
    <row r="12" spans="1:13" ht="20.100000000000001" customHeight="1">
      <c r="A12" s="43">
        <v>5</v>
      </c>
      <c r="B12" s="33" t="s">
        <v>202</v>
      </c>
      <c r="C12" s="35">
        <f t="shared" si="2"/>
        <v>2026</v>
      </c>
      <c r="E12" s="76">
        <f t="shared" si="0"/>
        <v>0</v>
      </c>
      <c r="F12" s="76">
        <f t="shared" si="0"/>
        <v>226434189.44178149</v>
      </c>
      <c r="G12" s="76">
        <f t="shared" si="0"/>
        <v>0</v>
      </c>
      <c r="H12" s="76">
        <f t="shared" si="0"/>
        <v>0</v>
      </c>
      <c r="I12" s="76">
        <f t="shared" si="0"/>
        <v>610207.61229145096</v>
      </c>
      <c r="J12" s="76">
        <f t="shared" si="0"/>
        <v>0</v>
      </c>
      <c r="K12" s="76"/>
      <c r="L12" s="320"/>
      <c r="M12" s="320">
        <f t="shared" si="1"/>
        <v>227044397.05407295</v>
      </c>
    </row>
    <row r="13" spans="1:13" ht="20.100000000000001" customHeight="1">
      <c r="A13" s="43">
        <v>6</v>
      </c>
      <c r="B13" s="33" t="s">
        <v>203</v>
      </c>
      <c r="C13" s="35">
        <f t="shared" si="2"/>
        <v>2026</v>
      </c>
      <c r="E13" s="76">
        <f t="shared" si="0"/>
        <v>0</v>
      </c>
      <c r="F13" s="76">
        <f t="shared" si="0"/>
        <v>227613433.70606378</v>
      </c>
      <c r="G13" s="76">
        <f t="shared" si="0"/>
        <v>0</v>
      </c>
      <c r="H13" s="76">
        <f t="shared" si="0"/>
        <v>0</v>
      </c>
      <c r="I13" s="76">
        <f t="shared" si="0"/>
        <v>637040.81118263898</v>
      </c>
      <c r="J13" s="76">
        <f t="shared" si="0"/>
        <v>0</v>
      </c>
      <c r="K13" s="76"/>
      <c r="L13" s="320"/>
      <c r="M13" s="320">
        <f t="shared" si="1"/>
        <v>228250474.51724643</v>
      </c>
    </row>
    <row r="14" spans="1:13" ht="20.100000000000001" customHeight="1">
      <c r="A14" s="43">
        <v>7</v>
      </c>
      <c r="B14" s="33" t="s">
        <v>213</v>
      </c>
      <c r="C14" s="35">
        <f t="shared" si="2"/>
        <v>2026</v>
      </c>
      <c r="E14" s="76">
        <f t="shared" si="0"/>
        <v>0</v>
      </c>
      <c r="F14" s="76">
        <f t="shared" si="0"/>
        <v>228832257.38801107</v>
      </c>
      <c r="G14" s="76">
        <f t="shared" si="0"/>
        <v>0</v>
      </c>
      <c r="H14" s="76">
        <f t="shared" si="0"/>
        <v>0</v>
      </c>
      <c r="I14" s="76">
        <f t="shared" si="0"/>
        <v>664186.9295347404</v>
      </c>
      <c r="J14" s="76">
        <f t="shared" si="0"/>
        <v>0</v>
      </c>
      <c r="K14" s="76"/>
      <c r="L14" s="320"/>
      <c r="M14" s="320">
        <f t="shared" si="1"/>
        <v>229496444.3175458</v>
      </c>
    </row>
    <row r="15" spans="1:13" ht="20.100000000000001" customHeight="1">
      <c r="A15" s="43">
        <v>8</v>
      </c>
      <c r="B15" s="33" t="s">
        <v>204</v>
      </c>
      <c r="C15" s="35">
        <f t="shared" si="2"/>
        <v>2026</v>
      </c>
      <c r="E15" s="76">
        <f t="shared" si="0"/>
        <v>0</v>
      </c>
      <c r="F15" s="76">
        <f t="shared" si="0"/>
        <v>230143342.55749494</v>
      </c>
      <c r="G15" s="76">
        <f t="shared" si="0"/>
        <v>0</v>
      </c>
      <c r="H15" s="76">
        <f t="shared" si="0"/>
        <v>0</v>
      </c>
      <c r="I15" s="76">
        <f t="shared" si="0"/>
        <v>691614.70983988757</v>
      </c>
      <c r="J15" s="76">
        <f t="shared" si="0"/>
        <v>0</v>
      </c>
      <c r="K15" s="76"/>
      <c r="L15" s="320"/>
      <c r="M15" s="320">
        <f t="shared" si="1"/>
        <v>230834957.26733482</v>
      </c>
    </row>
    <row r="16" spans="1:13" ht="20.100000000000001" customHeight="1">
      <c r="A16" s="43">
        <v>9</v>
      </c>
      <c r="B16" s="33" t="s">
        <v>205</v>
      </c>
      <c r="C16" s="35">
        <f t="shared" si="2"/>
        <v>2026</v>
      </c>
      <c r="E16" s="76">
        <f t="shared" si="0"/>
        <v>0</v>
      </c>
      <c r="F16" s="76">
        <f t="shared" si="0"/>
        <v>231466624.05843866</v>
      </c>
      <c r="G16" s="76">
        <f t="shared" si="0"/>
        <v>0</v>
      </c>
      <c r="H16" s="76">
        <f t="shared" si="0"/>
        <v>0</v>
      </c>
      <c r="I16" s="76">
        <f t="shared" si="0"/>
        <v>719075.6096675758</v>
      </c>
      <c r="J16" s="76">
        <f t="shared" si="0"/>
        <v>0</v>
      </c>
      <c r="K16" s="76"/>
      <c r="L16" s="320"/>
      <c r="M16" s="320">
        <f t="shared" si="1"/>
        <v>232185699.66810623</v>
      </c>
    </row>
    <row r="17" spans="1:13" ht="20.100000000000001" customHeight="1">
      <c r="A17" s="43">
        <v>10</v>
      </c>
      <c r="B17" s="33" t="s">
        <v>206</v>
      </c>
      <c r="C17" s="35">
        <f t="shared" si="2"/>
        <v>2026</v>
      </c>
      <c r="E17" s="76">
        <f t="shared" si="0"/>
        <v>0</v>
      </c>
      <c r="F17" s="76">
        <f t="shared" si="0"/>
        <v>232657045.26669088</v>
      </c>
      <c r="G17" s="76">
        <f t="shared" si="0"/>
        <v>0</v>
      </c>
      <c r="H17" s="76">
        <f t="shared" si="0"/>
        <v>0</v>
      </c>
      <c r="I17" s="76">
        <f t="shared" si="0"/>
        <v>746285.69108974899</v>
      </c>
      <c r="J17" s="76">
        <f t="shared" si="0"/>
        <v>0</v>
      </c>
      <c r="K17" s="76"/>
      <c r="L17" s="320"/>
      <c r="M17" s="320">
        <f t="shared" si="1"/>
        <v>233403330.95778063</v>
      </c>
    </row>
    <row r="18" spans="1:13" ht="20.100000000000001" customHeight="1">
      <c r="A18" s="43">
        <v>11</v>
      </c>
      <c r="B18" s="33" t="s">
        <v>208</v>
      </c>
      <c r="C18" s="35">
        <f t="shared" si="2"/>
        <v>2026</v>
      </c>
      <c r="E18" s="76">
        <f t="shared" si="0"/>
        <v>0</v>
      </c>
      <c r="F18" s="76">
        <f t="shared" si="0"/>
        <v>233763454.79585171</v>
      </c>
      <c r="G18" s="76">
        <f t="shared" si="0"/>
        <v>0</v>
      </c>
      <c r="H18" s="76">
        <f t="shared" si="0"/>
        <v>0</v>
      </c>
      <c r="I18" s="76">
        <f t="shared" si="0"/>
        <v>773493.01099681819</v>
      </c>
      <c r="J18" s="76">
        <f t="shared" si="0"/>
        <v>0</v>
      </c>
      <c r="K18" s="76"/>
      <c r="L18" s="320"/>
      <c r="M18" s="320">
        <f t="shared" si="1"/>
        <v>234536947.80684853</v>
      </c>
    </row>
    <row r="19" spans="1:13" ht="20.100000000000001" customHeight="1">
      <c r="A19" s="43">
        <v>12</v>
      </c>
      <c r="B19" s="33" t="s">
        <v>207</v>
      </c>
      <c r="C19" s="35">
        <f t="shared" si="2"/>
        <v>2026</v>
      </c>
      <c r="E19" s="76">
        <f t="shared" si="0"/>
        <v>0</v>
      </c>
      <c r="F19" s="76">
        <f t="shared" si="0"/>
        <v>235006242.38222596</v>
      </c>
      <c r="G19" s="76">
        <f t="shared" si="0"/>
        <v>0</v>
      </c>
      <c r="H19" s="76">
        <f t="shared" si="0"/>
        <v>0</v>
      </c>
      <c r="I19" s="76">
        <f t="shared" si="0"/>
        <v>801012.401463905</v>
      </c>
      <c r="J19" s="76">
        <f t="shared" si="0"/>
        <v>0</v>
      </c>
      <c r="K19" s="76"/>
      <c r="L19" s="320"/>
      <c r="M19" s="320">
        <f t="shared" si="1"/>
        <v>235807254.78368986</v>
      </c>
    </row>
    <row r="20" spans="1:13" ht="20.100000000000001" customHeight="1">
      <c r="A20" s="43">
        <v>13</v>
      </c>
      <c r="B20" s="33" t="s">
        <v>198</v>
      </c>
      <c r="C20" s="35">
        <f t="shared" si="2"/>
        <v>2026</v>
      </c>
      <c r="E20" s="76">
        <f t="shared" si="0"/>
        <v>0</v>
      </c>
      <c r="F20" s="76">
        <f t="shared" si="0"/>
        <v>236007710.90903094</v>
      </c>
      <c r="G20" s="76">
        <f t="shared" si="0"/>
        <v>0</v>
      </c>
      <c r="H20" s="76">
        <f t="shared" si="0"/>
        <v>0</v>
      </c>
      <c r="I20" s="76">
        <f t="shared" si="0"/>
        <v>828842.55455055553</v>
      </c>
      <c r="J20" s="76">
        <f t="shared" si="0"/>
        <v>0</v>
      </c>
      <c r="K20" s="76"/>
      <c r="L20" s="320"/>
      <c r="M20" s="320">
        <f t="shared" si="1"/>
        <v>236836553.4635815</v>
      </c>
    </row>
    <row r="21" spans="1:13" ht="20.100000000000001" customHeight="1">
      <c r="E21" s="76"/>
      <c r="F21" s="76"/>
      <c r="G21" s="76"/>
      <c r="H21" s="76"/>
      <c r="I21" s="76"/>
      <c r="J21" s="76"/>
      <c r="K21" s="76"/>
      <c r="L21" s="320"/>
      <c r="M21" s="320"/>
    </row>
    <row r="22" spans="1:13" s="44" customFormat="1" ht="20.100000000000001" customHeight="1">
      <c r="A22" s="166">
        <v>14</v>
      </c>
      <c r="B22" s="44" t="s">
        <v>222</v>
      </c>
      <c r="D22" s="49" t="s">
        <v>532</v>
      </c>
      <c r="E22" s="319">
        <f>SUM(E8:E20)/13</f>
        <v>0</v>
      </c>
      <c r="F22" s="319">
        <f t="shared" ref="F22" si="3">SUM(F8:F20)/13</f>
        <v>228926847.21162897</v>
      </c>
      <c r="G22" s="319">
        <f>SUM(G8:G20)/13</f>
        <v>0</v>
      </c>
      <c r="H22" s="319">
        <f>SUM(H8:H20)/13</f>
        <v>0</v>
      </c>
      <c r="I22" s="319">
        <f>SUM(I8:I20)/13</f>
        <v>665099.54404992925</v>
      </c>
      <c r="J22" s="319">
        <f t="shared" ref="J22" si="4">SUM(J8:J20)/13</f>
        <v>0</v>
      </c>
      <c r="K22" s="319"/>
      <c r="L22" s="319"/>
      <c r="M22" s="319">
        <f t="shared" ref="M22" si="5">SUM(M8:M20)/13</f>
        <v>229591946.75567898</v>
      </c>
    </row>
    <row r="23" spans="1:13" s="44" customFormat="1" ht="20.100000000000001" customHeight="1">
      <c r="A23" s="166"/>
      <c r="D23" s="49"/>
      <c r="E23" s="319"/>
      <c r="F23" s="319"/>
      <c r="G23" s="319"/>
      <c r="H23" s="319"/>
      <c r="I23" s="319"/>
      <c r="J23" s="319"/>
      <c r="K23" s="319"/>
      <c r="L23" s="319"/>
      <c r="M23" s="319"/>
    </row>
    <row r="24" spans="1:13" ht="20.100000000000001" customHeight="1">
      <c r="A24" s="42"/>
    </row>
    <row r="25" spans="1:13" ht="20.100000000000001" customHeight="1">
      <c r="E25" s="41" t="s">
        <v>214</v>
      </c>
      <c r="F25" s="41" t="s">
        <v>25</v>
      </c>
      <c r="G25" s="41" t="s">
        <v>215</v>
      </c>
      <c r="H25" s="41" t="s">
        <v>217</v>
      </c>
      <c r="I25" s="41" t="s">
        <v>216</v>
      </c>
      <c r="J25" s="41" t="s">
        <v>218</v>
      </c>
      <c r="K25" s="33"/>
      <c r="M25" s="41" t="s">
        <v>10</v>
      </c>
    </row>
    <row r="26" spans="1:13" ht="20.100000000000001" customHeight="1">
      <c r="E26" s="41"/>
      <c r="F26" s="41"/>
      <c r="G26" s="41"/>
      <c r="H26" s="41"/>
      <c r="I26" s="41"/>
      <c r="J26" s="41"/>
      <c r="K26" s="33"/>
    </row>
    <row r="27" spans="1:13" ht="20.100000000000001" customHeight="1">
      <c r="D27" s="37" t="s">
        <v>236</v>
      </c>
      <c r="E27" s="40" t="s">
        <v>41</v>
      </c>
      <c r="F27" s="40" t="s">
        <v>226</v>
      </c>
      <c r="G27" s="40" t="s">
        <v>42</v>
      </c>
      <c r="H27" s="40" t="s">
        <v>227</v>
      </c>
      <c r="I27" s="40" t="s">
        <v>228</v>
      </c>
      <c r="J27" s="43">
        <v>356.1</v>
      </c>
      <c r="K27" s="33"/>
    </row>
    <row r="28" spans="1:13" ht="20.100000000000001" customHeight="1">
      <c r="A28" s="43">
        <v>15</v>
      </c>
      <c r="B28" s="33" t="s">
        <v>198</v>
      </c>
      <c r="C28" s="35">
        <f>C8</f>
        <v>2025</v>
      </c>
      <c r="E28" s="69"/>
      <c r="F28" s="69">
        <v>221637068.23601443</v>
      </c>
      <c r="G28" s="69"/>
      <c r="H28" s="69"/>
      <c r="I28" s="69">
        <v>503627.87637780316</v>
      </c>
      <c r="J28" s="69"/>
      <c r="K28" s="70"/>
      <c r="M28" s="70">
        <f t="shared" ref="M28:M40" si="6">SUM(E28:J28)</f>
        <v>222140696.11239222</v>
      </c>
    </row>
    <row r="29" spans="1:13" ht="20.100000000000001" customHeight="1">
      <c r="A29" s="43">
        <v>16</v>
      </c>
      <c r="B29" s="33" t="s">
        <v>199</v>
      </c>
      <c r="C29" s="35">
        <f>C28+1</f>
        <v>2026</v>
      </c>
      <c r="E29" s="69"/>
      <c r="F29" s="69">
        <v>222909065.62816164</v>
      </c>
      <c r="G29" s="69"/>
      <c r="H29" s="69"/>
      <c r="I29" s="69">
        <v>530205.55400010874</v>
      </c>
      <c r="J29" s="69"/>
      <c r="K29" s="70"/>
      <c r="M29" s="70">
        <f t="shared" si="6"/>
        <v>223439271.18216175</v>
      </c>
    </row>
    <row r="30" spans="1:13" ht="20.100000000000001" customHeight="1">
      <c r="A30" s="43">
        <v>17</v>
      </c>
      <c r="B30" s="33" t="s">
        <v>200</v>
      </c>
      <c r="C30" s="35">
        <f>C29</f>
        <v>2026</v>
      </c>
      <c r="E30" s="69"/>
      <c r="F30" s="69">
        <v>224227022.25347316</v>
      </c>
      <c r="G30" s="69"/>
      <c r="H30" s="69"/>
      <c r="I30" s="69">
        <v>557040.80880842474</v>
      </c>
      <c r="J30" s="69"/>
      <c r="K30" s="70"/>
      <c r="M30" s="70">
        <f t="shared" si="6"/>
        <v>224784063.06228158</v>
      </c>
    </row>
    <row r="31" spans="1:13" ht="20.100000000000001" customHeight="1">
      <c r="A31" s="43">
        <v>18</v>
      </c>
      <c r="B31" s="33" t="s">
        <v>201</v>
      </c>
      <c r="C31" s="35">
        <f t="shared" ref="C31:C40" si="7">C30</f>
        <v>2026</v>
      </c>
      <c r="E31" s="69"/>
      <c r="F31" s="69">
        <v>225351557.12793878</v>
      </c>
      <c r="G31" s="69"/>
      <c r="H31" s="69"/>
      <c r="I31" s="69">
        <v>583660.50284542073</v>
      </c>
      <c r="J31" s="69"/>
      <c r="K31" s="70"/>
      <c r="M31" s="70">
        <f>SUM(E31:J31)</f>
        <v>225935217.63078418</v>
      </c>
    </row>
    <row r="32" spans="1:13" ht="20.100000000000001" customHeight="1">
      <c r="A32" s="43">
        <v>19</v>
      </c>
      <c r="B32" s="33" t="s">
        <v>202</v>
      </c>
      <c r="C32" s="35">
        <f t="shared" si="7"/>
        <v>2026</v>
      </c>
      <c r="E32" s="69"/>
      <c r="F32" s="69">
        <v>226434189.44178149</v>
      </c>
      <c r="G32" s="69"/>
      <c r="H32" s="69"/>
      <c r="I32" s="69">
        <v>610207.61229145096</v>
      </c>
      <c r="J32" s="69"/>
      <c r="K32" s="70"/>
      <c r="M32" s="70">
        <f t="shared" si="6"/>
        <v>227044397.05407295</v>
      </c>
    </row>
    <row r="33" spans="1:13" ht="20.100000000000001" customHeight="1">
      <c r="A33" s="43">
        <v>20</v>
      </c>
      <c r="B33" s="33" t="s">
        <v>203</v>
      </c>
      <c r="C33" s="35">
        <f t="shared" si="7"/>
        <v>2026</v>
      </c>
      <c r="E33" s="69"/>
      <c r="F33" s="69">
        <v>227613433.70606378</v>
      </c>
      <c r="G33" s="69"/>
      <c r="H33" s="69"/>
      <c r="I33" s="69">
        <v>637040.81118263898</v>
      </c>
      <c r="J33" s="69"/>
      <c r="K33" s="70"/>
      <c r="M33" s="70">
        <f t="shared" si="6"/>
        <v>228250474.51724643</v>
      </c>
    </row>
    <row r="34" spans="1:13" ht="20.100000000000001" customHeight="1">
      <c r="A34" s="43">
        <v>21</v>
      </c>
      <c r="B34" s="33" t="s">
        <v>213</v>
      </c>
      <c r="C34" s="35">
        <f t="shared" si="7"/>
        <v>2026</v>
      </c>
      <c r="E34" s="69"/>
      <c r="F34" s="69">
        <v>228832257.38801107</v>
      </c>
      <c r="G34" s="69"/>
      <c r="H34" s="69"/>
      <c r="I34" s="69">
        <v>664186.9295347404</v>
      </c>
      <c r="J34" s="69"/>
      <c r="K34" s="70"/>
      <c r="M34" s="70">
        <f>SUM(E34:J34)</f>
        <v>229496444.3175458</v>
      </c>
    </row>
    <row r="35" spans="1:13" ht="20.100000000000001" customHeight="1">
      <c r="A35" s="43">
        <v>22</v>
      </c>
      <c r="B35" s="33" t="s">
        <v>204</v>
      </c>
      <c r="C35" s="35">
        <f t="shared" si="7"/>
        <v>2026</v>
      </c>
      <c r="E35" s="69"/>
      <c r="F35" s="69">
        <v>230143342.55749494</v>
      </c>
      <c r="G35" s="69"/>
      <c r="H35" s="69"/>
      <c r="I35" s="69">
        <v>691614.70983988757</v>
      </c>
      <c r="J35" s="69"/>
      <c r="K35" s="70"/>
      <c r="M35" s="70">
        <f t="shared" si="6"/>
        <v>230834957.26733482</v>
      </c>
    </row>
    <row r="36" spans="1:13" ht="20.100000000000001" customHeight="1">
      <c r="A36" s="43">
        <v>23</v>
      </c>
      <c r="B36" s="33" t="s">
        <v>205</v>
      </c>
      <c r="C36" s="35">
        <f t="shared" si="7"/>
        <v>2026</v>
      </c>
      <c r="E36" s="69"/>
      <c r="F36" s="69">
        <v>231466624.05843866</v>
      </c>
      <c r="G36" s="69"/>
      <c r="H36" s="69"/>
      <c r="I36" s="69">
        <v>719075.6096675758</v>
      </c>
      <c r="J36" s="69"/>
      <c r="K36" s="70"/>
      <c r="M36" s="70">
        <f t="shared" si="6"/>
        <v>232185699.66810623</v>
      </c>
    </row>
    <row r="37" spans="1:13" ht="20.100000000000001" customHeight="1">
      <c r="A37" s="43">
        <v>24</v>
      </c>
      <c r="B37" s="33" t="s">
        <v>206</v>
      </c>
      <c r="C37" s="35">
        <f t="shared" si="7"/>
        <v>2026</v>
      </c>
      <c r="E37" s="69"/>
      <c r="F37" s="69">
        <v>232657045.26669088</v>
      </c>
      <c r="G37" s="69"/>
      <c r="H37" s="69"/>
      <c r="I37" s="69">
        <v>746285.69108974899</v>
      </c>
      <c r="J37" s="69"/>
      <c r="K37" s="70"/>
      <c r="M37" s="70">
        <f>SUM(E37:J37)</f>
        <v>233403330.95778063</v>
      </c>
    </row>
    <row r="38" spans="1:13" ht="20.100000000000001" customHeight="1">
      <c r="A38" s="43">
        <v>25</v>
      </c>
      <c r="B38" s="33" t="s">
        <v>208</v>
      </c>
      <c r="C38" s="35">
        <f t="shared" si="7"/>
        <v>2026</v>
      </c>
      <c r="E38" s="69"/>
      <c r="F38" s="69">
        <v>233763454.79585171</v>
      </c>
      <c r="G38" s="69"/>
      <c r="H38" s="69"/>
      <c r="I38" s="69">
        <v>773493.01099681819</v>
      </c>
      <c r="J38" s="69"/>
      <c r="K38" s="70"/>
      <c r="M38" s="70">
        <f t="shared" si="6"/>
        <v>234536947.80684853</v>
      </c>
    </row>
    <row r="39" spans="1:13" ht="20.100000000000001" customHeight="1">
      <c r="A39" s="43">
        <v>26</v>
      </c>
      <c r="B39" s="33" t="s">
        <v>207</v>
      </c>
      <c r="C39" s="35">
        <f t="shared" si="7"/>
        <v>2026</v>
      </c>
      <c r="E39" s="69"/>
      <c r="F39" s="69">
        <v>235006242.38222596</v>
      </c>
      <c r="G39" s="69"/>
      <c r="H39" s="69"/>
      <c r="I39" s="69">
        <v>801012.401463905</v>
      </c>
      <c r="J39" s="69"/>
      <c r="K39" s="70"/>
      <c r="M39" s="70">
        <f t="shared" si="6"/>
        <v>235807254.78368986</v>
      </c>
    </row>
    <row r="40" spans="1:13" ht="20.100000000000001" customHeight="1">
      <c r="A40" s="43">
        <v>27</v>
      </c>
      <c r="B40" s="33" t="s">
        <v>198</v>
      </c>
      <c r="C40" s="35">
        <f t="shared" si="7"/>
        <v>2026</v>
      </c>
      <c r="E40" s="69"/>
      <c r="F40" s="69">
        <v>236007710.90903094</v>
      </c>
      <c r="G40" s="69"/>
      <c r="H40" s="69"/>
      <c r="I40" s="69">
        <v>828842.55455055553</v>
      </c>
      <c r="J40" s="69"/>
      <c r="K40" s="70"/>
      <c r="M40" s="70">
        <f t="shared" si="6"/>
        <v>236836553.4635815</v>
      </c>
    </row>
    <row r="41" spans="1:13" ht="20.100000000000001" customHeight="1">
      <c r="E41" s="71"/>
      <c r="F41" s="71"/>
      <c r="G41" s="71"/>
      <c r="H41" s="71"/>
      <c r="I41" s="71"/>
      <c r="J41" s="71"/>
      <c r="K41" s="70"/>
      <c r="M41" s="70"/>
    </row>
    <row r="42" spans="1:13" ht="20.100000000000001" customHeight="1">
      <c r="A42" s="43">
        <v>28</v>
      </c>
      <c r="B42" s="33" t="s">
        <v>222</v>
      </c>
      <c r="E42" s="71">
        <f t="shared" ref="E42:I42" si="8">SUM(E28:E40)/13</f>
        <v>0</v>
      </c>
      <c r="F42" s="71">
        <f t="shared" si="8"/>
        <v>228926847.21162897</v>
      </c>
      <c r="G42" s="71">
        <f t="shared" si="8"/>
        <v>0</v>
      </c>
      <c r="H42" s="71">
        <f t="shared" si="8"/>
        <v>0</v>
      </c>
      <c r="I42" s="71">
        <f t="shared" si="8"/>
        <v>665099.54404992925</v>
      </c>
      <c r="J42" s="71">
        <f>SUM(J28:J40)/13</f>
        <v>0</v>
      </c>
      <c r="K42" s="71"/>
      <c r="M42" s="71">
        <f>SUM(M28:M40)/13</f>
        <v>229591946.75567898</v>
      </c>
    </row>
    <row r="43" spans="1:13" ht="20.100000000000001" customHeight="1"/>
    <row r="44" spans="1:13" ht="20.100000000000001" customHeight="1"/>
    <row r="45" spans="1:13" ht="20.100000000000001" customHeight="1">
      <c r="B45" s="53" t="s">
        <v>548</v>
      </c>
      <c r="C45" s="766"/>
      <c r="D45" s="766"/>
      <c r="E45" s="767"/>
      <c r="F45" s="767"/>
      <c r="G45" s="56"/>
      <c r="H45" s="306"/>
      <c r="I45" s="306"/>
      <c r="J45" s="311"/>
      <c r="L45" s="768"/>
      <c r="M45" s="769"/>
    </row>
    <row r="46" spans="1:13" ht="20.100000000000001" customHeight="1">
      <c r="B46" s="57"/>
      <c r="E46" s="41" t="s">
        <v>214</v>
      </c>
      <c r="F46" s="41" t="s">
        <v>25</v>
      </c>
      <c r="G46" s="41" t="s">
        <v>215</v>
      </c>
      <c r="H46" s="41" t="s">
        <v>217</v>
      </c>
      <c r="I46" s="41" t="s">
        <v>216</v>
      </c>
      <c r="J46" s="304" t="s">
        <v>218</v>
      </c>
      <c r="L46" s="33"/>
    </row>
    <row r="47" spans="1:13" ht="20.100000000000001" customHeight="1">
      <c r="B47" s="57"/>
      <c r="E47" s="33"/>
      <c r="F47" s="41"/>
      <c r="G47" s="41"/>
      <c r="H47" s="33"/>
      <c r="I47" s="41"/>
      <c r="J47" s="58"/>
      <c r="L47" s="33"/>
    </row>
    <row r="48" spans="1:13" ht="20.100000000000001" customHeight="1">
      <c r="B48" s="57"/>
      <c r="D48" s="37" t="s">
        <v>236</v>
      </c>
      <c r="E48" s="33" t="s">
        <v>543</v>
      </c>
      <c r="F48" s="40" t="s">
        <v>543</v>
      </c>
      <c r="G48" s="40" t="s">
        <v>543</v>
      </c>
      <c r="H48" s="33" t="s">
        <v>543</v>
      </c>
      <c r="I48" s="40" t="s">
        <v>543</v>
      </c>
      <c r="J48" s="58" t="s">
        <v>543</v>
      </c>
      <c r="L48" s="33"/>
    </row>
    <row r="49" spans="1:12" ht="20.100000000000001" customHeight="1">
      <c r="A49" s="43">
        <v>29</v>
      </c>
      <c r="B49" s="57" t="s">
        <v>198</v>
      </c>
      <c r="C49" s="35">
        <f>C8</f>
        <v>2025</v>
      </c>
      <c r="E49" s="312"/>
      <c r="F49" s="69"/>
      <c r="G49" s="69"/>
      <c r="H49" s="312"/>
      <c r="I49" s="69"/>
      <c r="J49" s="313"/>
      <c r="L49" s="33"/>
    </row>
    <row r="50" spans="1:12" ht="20.100000000000001" customHeight="1">
      <c r="A50" s="43">
        <v>30</v>
      </c>
      <c r="B50" s="57" t="s">
        <v>199</v>
      </c>
      <c r="C50" s="35">
        <f>C49+1</f>
        <v>2026</v>
      </c>
      <c r="E50" s="312"/>
      <c r="F50" s="69"/>
      <c r="G50" s="69"/>
      <c r="H50" s="312"/>
      <c r="I50" s="69"/>
      <c r="J50" s="313"/>
      <c r="L50" s="33"/>
    </row>
    <row r="51" spans="1:12" ht="20.100000000000001" customHeight="1">
      <c r="A51" s="43">
        <v>31</v>
      </c>
      <c r="B51" s="57" t="s">
        <v>200</v>
      </c>
      <c r="C51" s="35">
        <f>C50</f>
        <v>2026</v>
      </c>
      <c r="E51" s="312"/>
      <c r="F51" s="69"/>
      <c r="G51" s="69"/>
      <c r="H51" s="312"/>
      <c r="I51" s="69"/>
      <c r="J51" s="313"/>
      <c r="L51" s="33"/>
    </row>
    <row r="52" spans="1:12" ht="20.100000000000001" customHeight="1">
      <c r="A52" s="43">
        <v>32</v>
      </c>
      <c r="B52" s="57" t="s">
        <v>201</v>
      </c>
      <c r="C52" s="35">
        <f t="shared" ref="C52:C61" si="9">C51</f>
        <v>2026</v>
      </c>
      <c r="E52" s="312"/>
      <c r="F52" s="69"/>
      <c r="G52" s="69"/>
      <c r="H52" s="312"/>
      <c r="I52" s="69"/>
      <c r="J52" s="313"/>
      <c r="L52" s="33"/>
    </row>
    <row r="53" spans="1:12" ht="20.100000000000001" customHeight="1">
      <c r="A53" s="43">
        <v>33</v>
      </c>
      <c r="B53" s="57" t="s">
        <v>202</v>
      </c>
      <c r="C53" s="35">
        <f t="shared" si="9"/>
        <v>2026</v>
      </c>
      <c r="E53" s="312"/>
      <c r="F53" s="69"/>
      <c r="G53" s="69"/>
      <c r="H53" s="312"/>
      <c r="I53" s="69"/>
      <c r="J53" s="313"/>
      <c r="L53" s="33"/>
    </row>
    <row r="54" spans="1:12" ht="20.100000000000001" customHeight="1">
      <c r="A54" s="43">
        <v>34</v>
      </c>
      <c r="B54" s="57" t="s">
        <v>203</v>
      </c>
      <c r="C54" s="35">
        <f t="shared" si="9"/>
        <v>2026</v>
      </c>
      <c r="E54" s="312"/>
      <c r="F54" s="69"/>
      <c r="G54" s="69"/>
      <c r="H54" s="312"/>
      <c r="I54" s="69"/>
      <c r="J54" s="313"/>
      <c r="L54" s="33"/>
    </row>
    <row r="55" spans="1:12" ht="20.100000000000001" customHeight="1">
      <c r="A55" s="43">
        <v>35</v>
      </c>
      <c r="B55" s="57" t="s">
        <v>213</v>
      </c>
      <c r="C55" s="35">
        <f t="shared" si="9"/>
        <v>2026</v>
      </c>
      <c r="E55" s="312"/>
      <c r="F55" s="69"/>
      <c r="G55" s="69"/>
      <c r="H55" s="312"/>
      <c r="I55" s="69"/>
      <c r="J55" s="313"/>
      <c r="L55" s="33"/>
    </row>
    <row r="56" spans="1:12" ht="20.100000000000001" customHeight="1">
      <c r="A56" s="43">
        <v>36</v>
      </c>
      <c r="B56" s="57" t="s">
        <v>204</v>
      </c>
      <c r="C56" s="35">
        <f t="shared" si="9"/>
        <v>2026</v>
      </c>
      <c r="E56" s="312"/>
      <c r="F56" s="69"/>
      <c r="G56" s="69"/>
      <c r="H56" s="312"/>
      <c r="I56" s="69"/>
      <c r="J56" s="313"/>
      <c r="L56" s="33"/>
    </row>
    <row r="57" spans="1:12" ht="20.100000000000001" customHeight="1">
      <c r="A57" s="43">
        <v>37</v>
      </c>
      <c r="B57" s="57" t="s">
        <v>205</v>
      </c>
      <c r="C57" s="35">
        <f t="shared" si="9"/>
        <v>2026</v>
      </c>
      <c r="E57" s="312"/>
      <c r="F57" s="69"/>
      <c r="G57" s="69"/>
      <c r="H57" s="312"/>
      <c r="I57" s="69"/>
      <c r="J57" s="313"/>
      <c r="L57" s="33"/>
    </row>
    <row r="58" spans="1:12" ht="20.100000000000001" customHeight="1">
      <c r="A58" s="43">
        <v>38</v>
      </c>
      <c r="B58" s="57" t="s">
        <v>206</v>
      </c>
      <c r="C58" s="35">
        <f t="shared" si="9"/>
        <v>2026</v>
      </c>
      <c r="E58" s="312"/>
      <c r="F58" s="69"/>
      <c r="G58" s="69"/>
      <c r="H58" s="312"/>
      <c r="I58" s="69"/>
      <c r="J58" s="313"/>
      <c r="L58" s="33"/>
    </row>
    <row r="59" spans="1:12" ht="20.100000000000001" customHeight="1">
      <c r="A59" s="43">
        <v>39</v>
      </c>
      <c r="B59" s="57" t="s">
        <v>208</v>
      </c>
      <c r="C59" s="35">
        <f t="shared" si="9"/>
        <v>2026</v>
      </c>
      <c r="E59" s="312"/>
      <c r="F59" s="69"/>
      <c r="G59" s="69"/>
      <c r="H59" s="312"/>
      <c r="I59" s="69"/>
      <c r="J59" s="313"/>
      <c r="L59" s="33"/>
    </row>
    <row r="60" spans="1:12" ht="20.100000000000001" customHeight="1">
      <c r="A60" s="43">
        <v>40</v>
      </c>
      <c r="B60" s="57" t="s">
        <v>207</v>
      </c>
      <c r="C60" s="35">
        <f t="shared" si="9"/>
        <v>2026</v>
      </c>
      <c r="E60" s="312"/>
      <c r="F60" s="69"/>
      <c r="G60" s="69"/>
      <c r="H60" s="312"/>
      <c r="I60" s="69"/>
      <c r="J60" s="313"/>
      <c r="L60" s="33"/>
    </row>
    <row r="61" spans="1:12" ht="20.100000000000001" customHeight="1">
      <c r="A61" s="43">
        <v>41</v>
      </c>
      <c r="B61" s="57" t="s">
        <v>198</v>
      </c>
      <c r="C61" s="35">
        <f t="shared" si="9"/>
        <v>2026</v>
      </c>
      <c r="E61" s="312"/>
      <c r="F61" s="69"/>
      <c r="G61" s="69"/>
      <c r="H61" s="312"/>
      <c r="I61" s="69"/>
      <c r="J61" s="313"/>
      <c r="L61" s="33"/>
    </row>
    <row r="62" spans="1:12" ht="20.100000000000001" customHeight="1">
      <c r="B62" s="57"/>
      <c r="E62" s="33"/>
      <c r="F62" s="73"/>
      <c r="G62" s="33"/>
      <c r="H62" s="33"/>
      <c r="I62" s="33"/>
      <c r="J62" s="58"/>
      <c r="L62" s="33"/>
    </row>
    <row r="63" spans="1:12" ht="20.100000000000001" customHeight="1">
      <c r="A63" s="43">
        <v>42</v>
      </c>
      <c r="B63" s="59" t="s">
        <v>222</v>
      </c>
      <c r="C63" s="60"/>
      <c r="D63" s="60"/>
      <c r="E63" s="74">
        <f t="shared" ref="E63" si="10">SUM(E49:E61)/13</f>
        <v>0</v>
      </c>
      <c r="F63" s="74">
        <f>SUM(F49:F61)/13</f>
        <v>0</v>
      </c>
      <c r="G63" s="74">
        <f>SUM(G49:G61)/13</f>
        <v>0</v>
      </c>
      <c r="H63" s="74">
        <f>SUM(H49:H61)/13</f>
        <v>0</v>
      </c>
      <c r="I63" s="74">
        <f>SUM(I49:I61)/13</f>
        <v>0</v>
      </c>
      <c r="J63" s="305">
        <f>SUM(J49:J61)/13</f>
        <v>0</v>
      </c>
      <c r="L63" s="33"/>
    </row>
    <row r="65" spans="1:2" ht="20.100000000000001" customHeight="1">
      <c r="A65" s="33" t="s">
        <v>224</v>
      </c>
    </row>
    <row r="66" spans="1:2" ht="20.100000000000001" customHeight="1">
      <c r="A66" s="39" t="s">
        <v>223</v>
      </c>
      <c r="B66" s="33" t="s">
        <v>968</v>
      </c>
    </row>
    <row r="67" spans="1:2" ht="20.100000000000001" customHeight="1">
      <c r="A67" s="39" t="s">
        <v>236</v>
      </c>
      <c r="B67" s="33" t="s">
        <v>225</v>
      </c>
    </row>
    <row r="68" spans="1:2" ht="20.100000000000001" customHeight="1">
      <c r="A68" s="39" t="s">
        <v>282</v>
      </c>
      <c r="B68" s="33" t="s">
        <v>550</v>
      </c>
    </row>
  </sheetData>
  <pageMargins left="0.7" right="0.7" top="0.75" bottom="0.75" header="0.3" footer="0.3"/>
  <pageSetup scale="45" orientation="portrait" r:id="rId1"/>
  <ignoredErrors>
    <ignoredError sqref="J42"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N39"/>
  <sheetViews>
    <sheetView view="pageBreakPreview" zoomScale="90" zoomScaleNormal="90" zoomScaleSheetLayoutView="90" workbookViewId="0"/>
  </sheetViews>
  <sheetFormatPr defaultColWidth="8.88671875" defaultRowHeight="20.100000000000001" customHeight="1"/>
  <cols>
    <col min="1" max="1" width="3" style="39" customWidth="1"/>
    <col min="2" max="2" width="17.33203125" style="33" customWidth="1"/>
    <col min="3" max="3" width="10.77734375" style="33" customWidth="1"/>
    <col min="4" max="4" width="2.77734375" style="33" customWidth="1"/>
    <col min="5" max="5" width="15.21875" style="39" customWidth="1"/>
    <col min="6" max="6" width="15.5546875" style="39" customWidth="1"/>
    <col min="7" max="7" width="15" style="39" customWidth="1"/>
    <col min="8" max="8" width="16" style="39" customWidth="1"/>
    <col min="9" max="10" width="16.33203125" style="39" customWidth="1"/>
    <col min="11" max="11" width="18.109375" style="33" customWidth="1"/>
    <col min="12" max="12" width="15.77734375" style="33" customWidth="1"/>
    <col min="13" max="16384" width="8.88671875" style="33"/>
  </cols>
  <sheetData>
    <row r="1" spans="1:13" ht="20.100000000000001" customHeight="1">
      <c r="M1" s="3" t="str">
        <f>'Attachment H-34A '!K1&amp;""&amp;", Attachment 5"</f>
        <v>Attachment H-34A, Attachment 5</v>
      </c>
    </row>
    <row r="2" spans="1:13" ht="20.100000000000001" customHeight="1">
      <c r="M2" s="3" t="s">
        <v>186</v>
      </c>
    </row>
    <row r="3" spans="1:13" ht="20.100000000000001" customHeight="1">
      <c r="M3" s="3" t="str">
        <f>'Attachment H-34A '!K4</f>
        <v>For the 12 months ended 12/31/2026</v>
      </c>
    </row>
    <row r="4" spans="1:13" ht="20.100000000000001" customHeight="1">
      <c r="A4" s="42"/>
    </row>
    <row r="5" spans="1:13" ht="20.100000000000001" customHeight="1">
      <c r="A5" s="42"/>
      <c r="E5" s="300" t="s">
        <v>449</v>
      </c>
      <c r="F5" s="300" t="s">
        <v>450</v>
      </c>
      <c r="G5" s="300" t="s">
        <v>451</v>
      </c>
      <c r="H5" s="300" t="s">
        <v>452</v>
      </c>
      <c r="I5" s="300" t="s">
        <v>453</v>
      </c>
      <c r="J5" s="300"/>
      <c r="L5" s="300" t="s">
        <v>454</v>
      </c>
    </row>
    <row r="6" spans="1:13" ht="20.100000000000001" customHeight="1">
      <c r="E6" s="1031" t="s">
        <v>537</v>
      </c>
      <c r="F6" s="1031"/>
      <c r="G6" s="1031"/>
      <c r="H6" s="1031"/>
      <c r="I6" s="1031"/>
      <c r="J6" s="1031"/>
      <c r="K6" s="1031"/>
      <c r="L6" s="1031"/>
    </row>
    <row r="7" spans="1:13" ht="20.100000000000001" customHeight="1">
      <c r="E7" s="41" t="s">
        <v>229</v>
      </c>
      <c r="F7" s="41" t="s">
        <v>230</v>
      </c>
      <c r="G7" s="41" t="s">
        <v>231</v>
      </c>
      <c r="H7" s="41" t="s">
        <v>232</v>
      </c>
      <c r="I7" s="41" t="s">
        <v>233</v>
      </c>
      <c r="J7" s="41"/>
      <c r="L7" s="41" t="s">
        <v>10</v>
      </c>
    </row>
    <row r="8" spans="1:13" ht="20.100000000000001" customHeight="1">
      <c r="E8" s="47" t="s">
        <v>235</v>
      </c>
      <c r="F8" s="47" t="s">
        <v>235</v>
      </c>
      <c r="G8" s="47" t="s">
        <v>235</v>
      </c>
      <c r="H8" s="41"/>
      <c r="I8" s="47" t="s">
        <v>235</v>
      </c>
      <c r="J8" s="47"/>
    </row>
    <row r="9" spans="1:13" ht="20.100000000000001" customHeight="1">
      <c r="D9" s="37"/>
      <c r="E9" s="40"/>
      <c r="F9" s="40" t="s">
        <v>236</v>
      </c>
      <c r="G9" s="40" t="s">
        <v>282</v>
      </c>
      <c r="H9" s="40" t="s">
        <v>295</v>
      </c>
      <c r="I9" s="40" t="s">
        <v>296</v>
      </c>
      <c r="J9" s="40"/>
    </row>
    <row r="10" spans="1:13" ht="20.100000000000001" customHeight="1">
      <c r="A10" s="43">
        <v>1</v>
      </c>
      <c r="B10" s="46" t="s">
        <v>234</v>
      </c>
      <c r="C10" s="35" t="str">
        <f>MID(M3:M3,25,10)</f>
        <v>12/31/2026</v>
      </c>
      <c r="D10" s="37" t="s">
        <v>223</v>
      </c>
      <c r="E10" s="319">
        <f>-(E16)</f>
        <v>0</v>
      </c>
      <c r="F10" s="76">
        <f>-(F16-F25-G25-H25-I25-K25-J25)</f>
        <v>-101208047.51731034</v>
      </c>
      <c r="G10" s="76">
        <f>-(G16-F29-G29-H29-I29-K29-J29)</f>
        <v>-2091751.315345156</v>
      </c>
      <c r="H10" s="76">
        <f>H16-F33-G33-H33-I33-K33-J33</f>
        <v>-1314507.6853186339</v>
      </c>
      <c r="I10" s="76">
        <v>0</v>
      </c>
      <c r="J10" s="76"/>
      <c r="L10" s="76">
        <f t="shared" ref="L10" si="0">SUM(E10:I10)</f>
        <v>-104614306.51797412</v>
      </c>
    </row>
    <row r="11" spans="1:13" ht="20.100000000000001" customHeight="1">
      <c r="D11" s="37"/>
      <c r="E11" s="40"/>
      <c r="F11" s="40"/>
      <c r="G11" s="40"/>
      <c r="H11" s="40"/>
      <c r="I11" s="40"/>
      <c r="J11" s="40"/>
    </row>
    <row r="13" spans="1:13" ht="20.100000000000001" customHeight="1">
      <c r="E13" s="1031" t="s">
        <v>551</v>
      </c>
      <c r="F13" s="1031"/>
      <c r="G13" s="1031"/>
      <c r="H13" s="1031"/>
      <c r="I13" s="1031"/>
      <c r="J13" s="1031"/>
      <c r="K13" s="1031"/>
      <c r="L13" s="1031"/>
    </row>
    <row r="14" spans="1:13" ht="20.100000000000001" customHeight="1">
      <c r="E14" s="41" t="s">
        <v>229</v>
      </c>
      <c r="F14" s="41" t="s">
        <v>230</v>
      </c>
      <c r="G14" s="41" t="s">
        <v>231</v>
      </c>
      <c r="H14" s="41" t="s">
        <v>232</v>
      </c>
      <c r="I14" s="41" t="s">
        <v>233</v>
      </c>
      <c r="J14" s="41"/>
      <c r="L14" s="41" t="s">
        <v>10</v>
      </c>
    </row>
    <row r="15" spans="1:13" ht="20.100000000000001" customHeight="1">
      <c r="D15" s="33" t="s">
        <v>909</v>
      </c>
      <c r="E15" s="40" t="s">
        <v>904</v>
      </c>
      <c r="F15" s="40" t="s">
        <v>905</v>
      </c>
      <c r="G15" s="40" t="s">
        <v>906</v>
      </c>
      <c r="H15" s="40" t="s">
        <v>907</v>
      </c>
      <c r="I15" s="40" t="s">
        <v>908</v>
      </c>
      <c r="J15" s="41"/>
      <c r="L15" s="41"/>
    </row>
    <row r="16" spans="1:13" ht="20.100000000000001" customHeight="1">
      <c r="A16" s="43">
        <v>2</v>
      </c>
      <c r="B16" s="46" t="s">
        <v>234</v>
      </c>
      <c r="C16" s="35" t="str">
        <f>C10</f>
        <v>12/31/2026</v>
      </c>
      <c r="D16" s="38" t="s">
        <v>522</v>
      </c>
      <c r="E16" s="69"/>
      <c r="F16" s="69">
        <f>'Attachment 5a - ADIT Detail'!C33</f>
        <v>100606028.87819998</v>
      </c>
      <c r="G16" s="69">
        <f>'Attachment 5a - ADIT Detail'!C53</f>
        <v>-2583918.7499892768</v>
      </c>
      <c r="H16" s="69">
        <f>'Attachment 5a - ADIT Detail'!C74</f>
        <v>12018141.345411751</v>
      </c>
      <c r="I16" s="69">
        <f>'Attachment 5a - ADIT Detail'!C14</f>
        <v>0</v>
      </c>
      <c r="J16" s="71"/>
      <c r="L16" s="71">
        <f t="shared" ref="L16" si="1">SUM(E16:I16)</f>
        <v>110040251.47362246</v>
      </c>
    </row>
    <row r="17" spans="1:14" ht="20.100000000000001" customHeight="1">
      <c r="B17" s="46"/>
      <c r="C17" s="35"/>
      <c r="E17" s="47"/>
      <c r="F17" s="47"/>
      <c r="G17" s="47"/>
      <c r="H17" s="41"/>
      <c r="I17" s="47"/>
      <c r="J17" s="47"/>
    </row>
    <row r="19" spans="1:14" ht="20.100000000000001" customHeight="1">
      <c r="A19" s="33" t="s">
        <v>224</v>
      </c>
      <c r="D19" s="39"/>
      <c r="I19" s="33"/>
      <c r="J19" s="33"/>
    </row>
    <row r="20" spans="1:14" ht="33.75" customHeight="1">
      <c r="A20" s="95" t="s">
        <v>223</v>
      </c>
      <c r="B20" s="1030" t="s">
        <v>969</v>
      </c>
      <c r="C20" s="1030"/>
      <c r="D20" s="1030"/>
      <c r="E20" s="1030"/>
      <c r="F20" s="1030"/>
      <c r="G20" s="1030"/>
      <c r="H20" s="1030"/>
      <c r="I20" s="1030"/>
      <c r="J20" s="1030"/>
      <c r="K20" s="1030"/>
      <c r="L20" s="1030"/>
      <c r="M20" s="1030"/>
    </row>
    <row r="21" spans="1:14" ht="20.100000000000001" customHeight="1">
      <c r="B21" s="1032"/>
      <c r="C21" s="1032"/>
      <c r="D21" s="1032"/>
      <c r="E21" s="1032"/>
      <c r="F21" s="1032"/>
      <c r="G21" s="1032"/>
      <c r="H21" s="1032"/>
      <c r="I21" s="1032"/>
      <c r="J21" s="1032"/>
      <c r="K21" s="1032"/>
      <c r="L21" s="1032"/>
    </row>
    <row r="22" spans="1:14" ht="20.100000000000001" customHeight="1">
      <c r="A22" s="39" t="s">
        <v>236</v>
      </c>
      <c r="B22" s="1032" t="s">
        <v>297</v>
      </c>
      <c r="C22" s="1032"/>
      <c r="D22" s="1032"/>
      <c r="E22" s="1032"/>
      <c r="F22" s="1032"/>
      <c r="G22" s="1032"/>
      <c r="H22" s="1032"/>
      <c r="I22" s="1032"/>
      <c r="J22" s="1032"/>
      <c r="K22" s="1032"/>
      <c r="L22" s="1032"/>
    </row>
    <row r="23" spans="1:14" ht="20.100000000000001" customHeight="1">
      <c r="B23" s="189"/>
      <c r="C23" s="189"/>
      <c r="D23" s="189"/>
      <c r="E23" s="189"/>
      <c r="F23" s="189"/>
      <c r="I23" s="189"/>
      <c r="J23" s="189"/>
      <c r="K23" s="189"/>
    </row>
    <row r="24" spans="1:14" ht="50.25" customHeight="1">
      <c r="B24" s="189"/>
      <c r="C24" s="189"/>
      <c r="D24" s="189"/>
      <c r="E24" s="189"/>
      <c r="F24" s="85" t="s">
        <v>291</v>
      </c>
      <c r="G24" s="85" t="s">
        <v>292</v>
      </c>
      <c r="H24" s="85" t="s">
        <v>293</v>
      </c>
      <c r="I24" s="85" t="s">
        <v>523</v>
      </c>
      <c r="J24" s="630" t="s">
        <v>689</v>
      </c>
      <c r="K24" s="85" t="s">
        <v>619</v>
      </c>
      <c r="L24" s="203"/>
      <c r="M24" s="203"/>
    </row>
    <row r="25" spans="1:14" s="84" customFormat="1" ht="20.100000000000001" customHeight="1">
      <c r="A25" s="43">
        <v>3</v>
      </c>
      <c r="B25" s="189"/>
      <c r="C25" s="189"/>
      <c r="D25" s="189"/>
      <c r="E25" s="86" t="str">
        <f>C10</f>
        <v>12/31/2026</v>
      </c>
      <c r="F25" s="96"/>
      <c r="G25" s="96"/>
      <c r="H25" s="96">
        <f>'Attachment 5a - ADIT Detail'!C31</f>
        <v>-9671050.7817999981</v>
      </c>
      <c r="I25" s="96"/>
      <c r="J25" s="96"/>
      <c r="K25" s="296">
        <f>'Attachment 5b - ADIT Norm PTRR'!J41</f>
        <v>9069032.1426896416</v>
      </c>
      <c r="L25" s="71"/>
      <c r="M25" s="71"/>
      <c r="N25" s="308"/>
    </row>
    <row r="26" spans="1:14" s="84" customFormat="1" ht="20.100000000000001" customHeight="1">
      <c r="A26" s="39" t="s">
        <v>282</v>
      </c>
      <c r="B26" s="33" t="s">
        <v>294</v>
      </c>
      <c r="C26" s="33"/>
      <c r="D26" s="33"/>
      <c r="E26" s="33"/>
      <c r="F26" s="33"/>
      <c r="G26" s="33"/>
      <c r="H26" s="33"/>
      <c r="I26" s="33"/>
      <c r="J26" s="33"/>
      <c r="K26" s="33"/>
      <c r="L26" s="33"/>
      <c r="M26" s="33"/>
    </row>
    <row r="27" spans="1:14" ht="20.100000000000001" customHeight="1">
      <c r="B27" s="189"/>
      <c r="C27" s="189"/>
      <c r="D27" s="189"/>
      <c r="E27" s="189"/>
      <c r="F27" s="189"/>
      <c r="H27" s="189"/>
      <c r="I27" s="189"/>
      <c r="J27" s="189"/>
      <c r="K27" s="189"/>
      <c r="L27" s="189"/>
    </row>
    <row r="28" spans="1:14" ht="50.25" customHeight="1">
      <c r="B28" s="189"/>
      <c r="C28" s="189"/>
      <c r="D28" s="189"/>
      <c r="E28" s="189"/>
      <c r="F28" s="85" t="s">
        <v>291</v>
      </c>
      <c r="G28" s="85" t="s">
        <v>292</v>
      </c>
      <c r="H28" s="85" t="s">
        <v>293</v>
      </c>
      <c r="I28" s="85" t="s">
        <v>523</v>
      </c>
      <c r="J28" s="630" t="s">
        <v>689</v>
      </c>
      <c r="K28" s="85" t="s">
        <v>619</v>
      </c>
      <c r="L28" s="203"/>
      <c r="M28" s="203"/>
    </row>
    <row r="29" spans="1:14" s="84" customFormat="1" ht="20.100000000000001" customHeight="1">
      <c r="A29" s="43">
        <v>4</v>
      </c>
      <c r="B29" s="189"/>
      <c r="C29" s="189"/>
      <c r="D29" s="189"/>
      <c r="E29" s="86" t="str">
        <f>E25</f>
        <v>12/31/2026</v>
      </c>
      <c r="F29" s="96"/>
      <c r="G29" s="96"/>
      <c r="H29" s="96">
        <f>'Attachment 5a - ADIT Detail'!C50-SUM('Attach 15 - Excess_Def ADIT'!I14:I47,'Attach 15 - Excess_Def ADIT'!I57:I75)</f>
        <v>-4095481.4965761844</v>
      </c>
      <c r="I29" s="96"/>
      <c r="J29" s="96"/>
      <c r="K29" s="296">
        <f>'Attachment 5b - ADIT Norm PTRR'!J43</f>
        <v>-580188.56875824835</v>
      </c>
      <c r="L29" s="71"/>
      <c r="M29" s="71"/>
    </row>
    <row r="30" spans="1:14" s="84" customFormat="1" ht="20.100000000000001" customHeight="1">
      <c r="A30" s="39" t="s">
        <v>295</v>
      </c>
      <c r="B30" s="33" t="s">
        <v>819</v>
      </c>
      <c r="C30" s="33"/>
      <c r="D30" s="33"/>
      <c r="E30" s="33"/>
      <c r="F30" s="33"/>
      <c r="G30" s="33"/>
      <c r="H30" s="33"/>
      <c r="I30" s="33"/>
      <c r="J30" s="33"/>
      <c r="K30" s="33"/>
      <c r="L30" s="33"/>
      <c r="M30" s="33"/>
    </row>
    <row r="31" spans="1:14" s="84" customFormat="1" ht="20.100000000000001" customHeight="1">
      <c r="A31" s="39"/>
      <c r="B31" s="189"/>
      <c r="C31" s="189"/>
      <c r="D31" s="189"/>
      <c r="E31" s="189"/>
      <c r="G31" s="39"/>
      <c r="H31" s="33"/>
      <c r="I31" s="33"/>
      <c r="J31" s="33"/>
      <c r="K31" s="189"/>
      <c r="L31" s="189"/>
      <c r="M31" s="33"/>
    </row>
    <row r="32" spans="1:14" s="84" customFormat="1" ht="50.25" customHeight="1">
      <c r="A32" s="39"/>
      <c r="B32" s="189"/>
      <c r="C32" s="189"/>
      <c r="D32" s="189"/>
      <c r="E32" s="86"/>
      <c r="F32" s="87" t="s">
        <v>291</v>
      </c>
      <c r="G32" s="85" t="s">
        <v>292</v>
      </c>
      <c r="H32" s="85" t="s">
        <v>293</v>
      </c>
      <c r="I32" s="85" t="s">
        <v>523</v>
      </c>
      <c r="J32" s="630" t="s">
        <v>689</v>
      </c>
      <c r="K32" s="85" t="s">
        <v>619</v>
      </c>
      <c r="L32" s="203"/>
      <c r="M32" s="203"/>
    </row>
    <row r="33" spans="1:13" s="84" customFormat="1" ht="20.100000000000001" customHeight="1">
      <c r="A33" s="43">
        <v>5</v>
      </c>
      <c r="B33" s="189"/>
      <c r="C33" s="189"/>
      <c r="D33" s="189"/>
      <c r="E33" s="86" t="str">
        <f>E29</f>
        <v>12/31/2026</v>
      </c>
      <c r="F33" s="96"/>
      <c r="G33" s="96"/>
      <c r="H33" s="96">
        <f>'Attachment 5a - ADIT Detail'!C71</f>
        <v>200589.1350999999</v>
      </c>
      <c r="I33" s="96">
        <f>'Attachment 5a - ADIT Detail'!C66</f>
        <v>10540023.959999999</v>
      </c>
      <c r="J33" s="96"/>
      <c r="K33" s="296">
        <f>'Attachment 5b - ADIT Norm PTRR'!J39</f>
        <v>2592035.9356303867</v>
      </c>
      <c r="L33" s="71"/>
      <c r="M33" s="71"/>
    </row>
    <row r="34" spans="1:13" s="84" customFormat="1" ht="20.100000000000001" customHeight="1">
      <c r="A34" s="43"/>
      <c r="B34" s="189"/>
      <c r="C34" s="189"/>
      <c r="D34" s="189"/>
      <c r="E34" s="86"/>
      <c r="F34" s="296"/>
      <c r="G34" s="296"/>
      <c r="H34" s="296"/>
      <c r="I34" s="296"/>
      <c r="J34" s="296"/>
      <c r="K34" s="296"/>
      <c r="L34" s="71"/>
      <c r="M34" s="71"/>
    </row>
    <row r="35" spans="1:13" ht="45" customHeight="1">
      <c r="A35" s="584" t="s">
        <v>296</v>
      </c>
      <c r="B35" s="1030" t="s">
        <v>970</v>
      </c>
      <c r="C35" s="1030"/>
      <c r="D35" s="1030"/>
      <c r="E35" s="1030"/>
      <c r="F35" s="1030"/>
      <c r="G35" s="1030"/>
      <c r="H35" s="1030"/>
      <c r="I35" s="1030"/>
      <c r="J35" s="1030"/>
      <c r="K35" s="1030"/>
      <c r="L35" s="1030"/>
    </row>
    <row r="36" spans="1:13" ht="20.100000000000001" customHeight="1">
      <c r="A36" s="39" t="s">
        <v>620</v>
      </c>
      <c r="B36" s="33" t="s">
        <v>621</v>
      </c>
    </row>
    <row r="37" spans="1:13" ht="20.100000000000001" customHeight="1">
      <c r="A37" s="39" t="s">
        <v>522</v>
      </c>
      <c r="B37" s="33" t="s">
        <v>996</v>
      </c>
    </row>
    <row r="38" spans="1:13" ht="20.100000000000001" customHeight="1">
      <c r="A38" s="39" t="s">
        <v>690</v>
      </c>
      <c r="B38" s="33" t="s">
        <v>691</v>
      </c>
      <c r="J38" s="33"/>
    </row>
    <row r="39" spans="1:13" ht="20.100000000000001" customHeight="1">
      <c r="A39" s="39" t="s">
        <v>909</v>
      </c>
      <c r="B39" s="33" t="s">
        <v>225</v>
      </c>
    </row>
  </sheetData>
  <mergeCells count="6">
    <mergeCell ref="B35:L35"/>
    <mergeCell ref="E6:L6"/>
    <mergeCell ref="E13:L13"/>
    <mergeCell ref="B20:M20"/>
    <mergeCell ref="B21:L21"/>
    <mergeCell ref="B22:L22"/>
  </mergeCells>
  <pageMargins left="0.7" right="0.7" top="0.75" bottom="0.75" header="0.3" footer="0.3"/>
  <pageSetup scale="4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8835E-B9D2-4E24-8FC8-025594181CAE}">
  <dimension ref="A1:E75"/>
  <sheetViews>
    <sheetView view="pageBreakPreview" zoomScale="110" zoomScaleNormal="90" zoomScaleSheetLayoutView="110" workbookViewId="0">
      <selection activeCell="S48" sqref="S48"/>
    </sheetView>
  </sheetViews>
  <sheetFormatPr defaultColWidth="8.88671875" defaultRowHeight="15"/>
  <cols>
    <col min="1" max="1" width="2.33203125" style="802" customWidth="1"/>
    <col min="2" max="2" width="33.44140625" style="802" bestFit="1" customWidth="1"/>
    <col min="3" max="3" width="16" style="802" bestFit="1" customWidth="1"/>
    <col min="4" max="4" width="10.33203125" style="802" customWidth="1"/>
    <col min="5" max="5" width="12.109375" style="802" customWidth="1"/>
    <col min="6" max="16384" width="8.88671875" style="802"/>
  </cols>
  <sheetData>
    <row r="1" spans="1:5">
      <c r="E1" s="803" t="str">
        <f>'Attachment H-34A '!K1&amp;""&amp;", Attachment 5a"</f>
        <v>Attachment H-34A, Attachment 5a</v>
      </c>
    </row>
    <row r="2" spans="1:5">
      <c r="E2" s="803" t="s">
        <v>889</v>
      </c>
    </row>
    <row r="3" spans="1:5" ht="15.75">
      <c r="B3" s="839" t="s">
        <v>890</v>
      </c>
      <c r="E3" s="805" t="str">
        <f>'Attachment H-34A '!K4</f>
        <v>For the 12 months ended 12/31/2026</v>
      </c>
    </row>
    <row r="4" spans="1:5">
      <c r="A4" s="1033"/>
      <c r="B4" s="1033"/>
      <c r="C4" s="1033"/>
      <c r="D4" s="1033"/>
      <c r="E4" s="806"/>
    </row>
    <row r="5" spans="1:5">
      <c r="A5" s="807"/>
      <c r="B5" s="808" t="s">
        <v>571</v>
      </c>
      <c r="C5" s="808" t="s">
        <v>572</v>
      </c>
    </row>
    <row r="6" spans="1:5">
      <c r="A6" s="807"/>
      <c r="B6" s="807"/>
      <c r="C6" s="807"/>
    </row>
    <row r="7" spans="1:5" ht="15" customHeight="1">
      <c r="A7" s="807"/>
      <c r="B7" s="807"/>
      <c r="C7" s="809" t="s">
        <v>900</v>
      </c>
    </row>
    <row r="8" spans="1:5">
      <c r="A8" s="807"/>
      <c r="B8" s="808"/>
      <c r="C8" s="810" t="s">
        <v>1300</v>
      </c>
    </row>
    <row r="9" spans="1:5">
      <c r="A9" s="807"/>
      <c r="B9" s="807"/>
      <c r="C9" s="807"/>
    </row>
    <row r="10" spans="1:5">
      <c r="A10" s="811"/>
      <c r="B10" s="807" t="s">
        <v>892</v>
      </c>
      <c r="C10" s="807"/>
    </row>
    <row r="11" spans="1:5">
      <c r="A11" s="811"/>
      <c r="B11" s="807"/>
      <c r="C11" s="807"/>
    </row>
    <row r="12" spans="1:5">
      <c r="A12" s="811"/>
      <c r="B12" s="812"/>
      <c r="C12" s="813"/>
      <c r="D12" s="814"/>
    </row>
    <row r="13" spans="1:5">
      <c r="A13" s="811"/>
      <c r="B13" s="807"/>
      <c r="C13" s="807"/>
    </row>
    <row r="14" spans="1:5" ht="15.75" thickBot="1">
      <c r="A14" s="811">
        <v>1</v>
      </c>
      <c r="B14" s="807" t="s">
        <v>893</v>
      </c>
      <c r="C14" s="815">
        <f>SUM(C12)</f>
        <v>0</v>
      </c>
    </row>
    <row r="15" spans="1:5" ht="15.75" thickTop="1">
      <c r="A15" s="811"/>
      <c r="B15" s="807"/>
      <c r="C15" s="816"/>
    </row>
    <row r="16" spans="1:5">
      <c r="A16" s="811"/>
      <c r="B16" s="807"/>
      <c r="C16" s="807"/>
    </row>
    <row r="17" spans="1:3">
      <c r="A17" s="811"/>
      <c r="B17" s="817" t="s">
        <v>894</v>
      </c>
      <c r="C17" s="816"/>
    </row>
    <row r="18" spans="1:3">
      <c r="A18" s="811"/>
      <c r="B18" s="807"/>
      <c r="C18" s="816"/>
    </row>
    <row r="19" spans="1:3">
      <c r="A19" s="811"/>
      <c r="B19" s="818" t="s">
        <v>1281</v>
      </c>
      <c r="C19" s="813">
        <v>8933380.8300000001</v>
      </c>
    </row>
    <row r="20" spans="1:3">
      <c r="A20" s="811"/>
      <c r="B20" s="818" t="s">
        <v>1282</v>
      </c>
      <c r="C20" s="813">
        <v>64793715</v>
      </c>
    </row>
    <row r="21" spans="1:3">
      <c r="A21" s="811"/>
      <c r="B21" s="818" t="s">
        <v>1283</v>
      </c>
      <c r="C21" s="813">
        <v>2296490.2200000002</v>
      </c>
    </row>
    <row r="22" spans="1:3">
      <c r="A22" s="811"/>
      <c r="B22" s="818" t="s">
        <v>1284</v>
      </c>
      <c r="C22" s="813">
        <v>326502.62</v>
      </c>
    </row>
    <row r="23" spans="1:3">
      <c r="A23" s="811"/>
      <c r="B23" s="818" t="s">
        <v>1285</v>
      </c>
      <c r="C23" s="813">
        <v>281460.70999999996</v>
      </c>
    </row>
    <row r="24" spans="1:3">
      <c r="A24" s="811"/>
      <c r="B24" s="818" t="s">
        <v>1286</v>
      </c>
      <c r="C24" s="813">
        <v>-10194.329999999998</v>
      </c>
    </row>
    <row r="25" spans="1:3">
      <c r="A25" s="811"/>
      <c r="B25" s="818" t="s">
        <v>1287</v>
      </c>
      <c r="C25" s="813">
        <v>7280.61</v>
      </c>
    </row>
    <row r="26" spans="1:3">
      <c r="A26" s="811"/>
      <c r="B26" s="818" t="s">
        <v>1288</v>
      </c>
      <c r="C26" s="813">
        <v>35117.879999999997</v>
      </c>
    </row>
    <row r="27" spans="1:3">
      <c r="A27" s="811"/>
      <c r="B27" s="818" t="s">
        <v>1289</v>
      </c>
      <c r="C27" s="813">
        <v>-977878.06000000017</v>
      </c>
    </row>
    <row r="28" spans="1:3">
      <c r="A28" s="811"/>
      <c r="B28" s="818" t="s">
        <v>1290</v>
      </c>
      <c r="C28" s="813">
        <v>128831.28999999995</v>
      </c>
    </row>
    <row r="29" spans="1:3">
      <c r="A29" s="811"/>
      <c r="B29" s="818" t="s">
        <v>1291</v>
      </c>
      <c r="C29" s="813">
        <v>34437270.499999978</v>
      </c>
    </row>
    <row r="30" spans="1:3">
      <c r="A30" s="811"/>
      <c r="B30" s="818" t="s">
        <v>1292</v>
      </c>
      <c r="C30" s="813">
        <v>25102.39</v>
      </c>
    </row>
    <row r="31" spans="1:3">
      <c r="A31" s="811"/>
      <c r="B31" s="985" t="s">
        <v>1280</v>
      </c>
      <c r="C31" s="813">
        <v>-9671050.7817999981</v>
      </c>
    </row>
    <row r="32" spans="1:3">
      <c r="A32" s="811"/>
      <c r="B32" s="807"/>
      <c r="C32" s="819"/>
    </row>
    <row r="33" spans="1:5" ht="15.75" thickBot="1">
      <c r="A33" s="811">
        <v>2</v>
      </c>
      <c r="B33" s="817" t="s">
        <v>895</v>
      </c>
      <c r="C33" s="815">
        <f>SUM(C19:C31)</f>
        <v>100606028.87819998</v>
      </c>
    </row>
    <row r="34" spans="1:5" ht="15.75" thickTop="1">
      <c r="A34" s="811"/>
      <c r="B34" s="807"/>
      <c r="C34" s="816"/>
    </row>
    <row r="35" spans="1:5">
      <c r="A35" s="811"/>
      <c r="B35" s="807"/>
      <c r="C35" s="816"/>
    </row>
    <row r="36" spans="1:5">
      <c r="A36" s="811"/>
      <c r="B36" s="807"/>
      <c r="C36" s="816"/>
      <c r="E36" s="840" t="str">
        <f>'Attachment H-34A '!K1&amp;""&amp;", Attachment 5a"</f>
        <v>Attachment H-34A, Attachment 5a</v>
      </c>
    </row>
    <row r="37" spans="1:5">
      <c r="A37" s="811"/>
      <c r="B37" s="807"/>
      <c r="C37" s="816"/>
      <c r="E37" s="803" t="s">
        <v>971</v>
      </c>
    </row>
    <row r="38" spans="1:5">
      <c r="A38" s="811"/>
      <c r="B38" s="807"/>
      <c r="C38" s="816"/>
      <c r="E38" s="840" t="str">
        <f>'Attachment H-34A '!K4</f>
        <v>For the 12 months ended 12/31/2026</v>
      </c>
    </row>
    <row r="39" spans="1:5">
      <c r="A39" s="811"/>
      <c r="B39" s="807"/>
      <c r="C39" s="816"/>
    </row>
    <row r="40" spans="1:5" ht="15.75">
      <c r="A40" s="811"/>
      <c r="B40" s="839" t="s">
        <v>890</v>
      </c>
      <c r="C40" s="816"/>
    </row>
    <row r="41" spans="1:5">
      <c r="A41" s="811"/>
      <c r="B41" s="804"/>
      <c r="C41" s="816"/>
    </row>
    <row r="42" spans="1:5">
      <c r="A42" s="811"/>
      <c r="B42" s="808" t="s">
        <v>571</v>
      </c>
      <c r="C42" s="808" t="s">
        <v>572</v>
      </c>
    </row>
    <row r="43" spans="1:5">
      <c r="A43" s="811"/>
      <c r="B43" s="807"/>
      <c r="C43" s="807"/>
    </row>
    <row r="44" spans="1:5">
      <c r="A44" s="811"/>
      <c r="B44" s="807"/>
      <c r="C44" s="809" t="s">
        <v>891</v>
      </c>
    </row>
    <row r="45" spans="1:5">
      <c r="A45" s="811"/>
      <c r="B45" s="808"/>
      <c r="C45" s="810" t="str">
        <f>C8</f>
        <v>OF 12-31-26</v>
      </c>
    </row>
    <row r="46" spans="1:5">
      <c r="A46" s="811"/>
      <c r="B46" s="817"/>
      <c r="C46" s="816"/>
    </row>
    <row r="47" spans="1:5">
      <c r="A47" s="811"/>
      <c r="B47" s="817" t="s">
        <v>896</v>
      </c>
      <c r="C47" s="816"/>
    </row>
    <row r="48" spans="1:5">
      <c r="A48" s="811"/>
      <c r="B48" s="817"/>
      <c r="C48" s="816"/>
    </row>
    <row r="49" spans="1:5">
      <c r="A49" s="811"/>
      <c r="B49" s="978" t="s">
        <v>1298</v>
      </c>
      <c r="C49" s="813">
        <v>1051896.4517499197</v>
      </c>
    </row>
    <row r="50" spans="1:5">
      <c r="A50" s="811"/>
      <c r="B50" s="985" t="s">
        <v>1280</v>
      </c>
      <c r="C50" s="813">
        <v>-3635815.2017391967</v>
      </c>
    </row>
    <row r="51" spans="1:5">
      <c r="A51" s="811"/>
      <c r="B51" s="812"/>
      <c r="C51" s="813"/>
    </row>
    <row r="52" spans="1:5">
      <c r="A52" s="811"/>
      <c r="B52" s="807"/>
      <c r="C52" s="816"/>
    </row>
    <row r="53" spans="1:5" ht="15.75" thickBot="1">
      <c r="A53" s="811">
        <v>3</v>
      </c>
      <c r="B53" s="817" t="s">
        <v>897</v>
      </c>
      <c r="C53" s="815">
        <f>SUM(C49:C51)</f>
        <v>-2583918.7499892768</v>
      </c>
    </row>
    <row r="54" spans="1:5" ht="15.75" thickTop="1"/>
    <row r="55" spans="1:5">
      <c r="E55" s="840" t="str">
        <f>'Attachment H-34A '!K1&amp;""&amp;", Attachment 5a"</f>
        <v>Attachment H-34A, Attachment 5a</v>
      </c>
    </row>
    <row r="56" spans="1:5">
      <c r="E56" s="841" t="s">
        <v>972</v>
      </c>
    </row>
    <row r="57" spans="1:5" ht="15.75">
      <c r="B57" s="839" t="s">
        <v>890</v>
      </c>
      <c r="E57" s="840" t="str">
        <f>'Attachment H-34A '!K4</f>
        <v>For the 12 months ended 12/31/2026</v>
      </c>
    </row>
    <row r="59" spans="1:5">
      <c r="A59" s="807"/>
      <c r="B59" s="808" t="s">
        <v>571</v>
      </c>
      <c r="C59" s="808" t="s">
        <v>572</v>
      </c>
    </row>
    <row r="60" spans="1:5">
      <c r="A60" s="807"/>
      <c r="B60" s="807"/>
      <c r="C60" s="807"/>
    </row>
    <row r="61" spans="1:5">
      <c r="A61" s="807"/>
      <c r="B61" s="807"/>
      <c r="C61" s="809" t="s">
        <v>891</v>
      </c>
    </row>
    <row r="62" spans="1:5">
      <c r="A62" s="807"/>
      <c r="B62" s="808"/>
      <c r="C62" s="810" t="str">
        <f>C8</f>
        <v>OF 12-31-26</v>
      </c>
    </row>
    <row r="63" spans="1:5">
      <c r="A63" s="807"/>
      <c r="B63" s="807"/>
      <c r="C63" s="807"/>
    </row>
    <row r="64" spans="1:5">
      <c r="A64" s="811"/>
      <c r="B64" s="816" t="s">
        <v>898</v>
      </c>
      <c r="C64" s="816"/>
    </row>
    <row r="65" spans="1:3">
      <c r="A65" s="811"/>
      <c r="B65" s="818" t="s">
        <v>1278</v>
      </c>
      <c r="C65" s="813">
        <v>4969855.91</v>
      </c>
    </row>
    <row r="66" spans="1:3">
      <c r="A66" s="811"/>
      <c r="B66" s="818" t="s">
        <v>523</v>
      </c>
      <c r="C66" s="813">
        <v>10540023.959999999</v>
      </c>
    </row>
    <row r="67" spans="1:3">
      <c r="A67" s="811"/>
      <c r="B67" s="813" t="s">
        <v>1279</v>
      </c>
      <c r="C67" s="813">
        <v>-4626518.6899999995</v>
      </c>
    </row>
    <row r="68" spans="1:3">
      <c r="A68" s="811"/>
      <c r="B68" s="978" t="s">
        <v>1293</v>
      </c>
      <c r="C68" s="813">
        <v>447170.61813427298</v>
      </c>
    </row>
    <row r="69" spans="1:3">
      <c r="A69" s="811"/>
      <c r="B69" s="978" t="s">
        <v>1263</v>
      </c>
      <c r="C69" s="813">
        <v>-488116.51559999993</v>
      </c>
    </row>
    <row r="70" spans="1:3">
      <c r="A70" s="811"/>
      <c r="B70" s="978" t="s">
        <v>1314</v>
      </c>
      <c r="C70" s="813">
        <v>975136.92777747801</v>
      </c>
    </row>
    <row r="71" spans="1:3">
      <c r="A71" s="811"/>
      <c r="B71" s="985" t="s">
        <v>1280</v>
      </c>
      <c r="C71" s="813">
        <v>200589.1350999999</v>
      </c>
    </row>
    <row r="72" spans="1:3">
      <c r="A72" s="811"/>
      <c r="B72" s="818"/>
      <c r="C72" s="813"/>
    </row>
    <row r="73" spans="1:3">
      <c r="A73" s="811"/>
      <c r="B73" s="816"/>
      <c r="C73" s="816"/>
    </row>
    <row r="74" spans="1:3" ht="15.75" thickBot="1">
      <c r="A74" s="811">
        <v>4</v>
      </c>
      <c r="B74" s="816" t="s">
        <v>899</v>
      </c>
      <c r="C74" s="815">
        <f>SUM(C65:C72)</f>
        <v>12018141.345411751</v>
      </c>
    </row>
    <row r="75" spans="1:3" ht="15.75" thickTop="1"/>
  </sheetData>
  <mergeCells count="1">
    <mergeCell ref="A4:D4"/>
  </mergeCells>
  <pageMargins left="0.7" right="0.7" top="0.75" bottom="0.75" header="0.3" footer="0.3"/>
  <pageSetup scale="62" orientation="portrait" r:id="rId1"/>
  <rowBreaks count="2" manualBreakCount="2">
    <brk id="35" max="4" man="1"/>
    <brk id="5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19</vt:i4>
      </vt:variant>
    </vt:vector>
  </HeadingPairs>
  <TitlesOfParts>
    <vt:vector size="48" baseType="lpstr">
      <vt:lpstr>Attachment H-34A </vt:lpstr>
      <vt:lpstr>Attachment 1 - Sched 1A</vt:lpstr>
      <vt:lpstr>Attachment 2 - ROE Calcs</vt:lpstr>
      <vt:lpstr>Attach 2a - Scaled ROE Adder</vt:lpstr>
      <vt:lpstr>Attach 2b - Incent ROE NITS</vt:lpstr>
      <vt:lpstr>Attachment 3 - Gross Plant</vt:lpstr>
      <vt:lpstr>Attachment 4 - Accum Depr</vt:lpstr>
      <vt:lpstr>Attachment 5 - ADIT Summary</vt:lpstr>
      <vt:lpstr>Attachment 5a - ADIT Detail</vt:lpstr>
      <vt:lpstr>Attachment 5b - ADIT Norm PTRR</vt:lpstr>
      <vt:lpstr>Attachment 5c - ADIT Norm ATRR</vt:lpstr>
      <vt:lpstr>Attachment 6 - PBOP</vt:lpstr>
      <vt:lpstr>Attachment 7 - Taxes Other </vt:lpstr>
      <vt:lpstr>Attachment 8 - Cap Structure</vt:lpstr>
      <vt:lpstr>Attach 9 - Stated-value Inputs</vt:lpstr>
      <vt:lpstr>Attachment 10 - Debt Cost</vt:lpstr>
      <vt:lpstr>Attachment 11 - TEC</vt:lpstr>
      <vt:lpstr>Attach 11a - TEC Cost Support</vt:lpstr>
      <vt:lpstr>Attachment 12 - TEC True-up</vt:lpstr>
      <vt:lpstr>Attachment 13 - NITS True-Up</vt:lpstr>
      <vt:lpstr>Attachment 13a - TEC True-Up</vt:lpstr>
      <vt:lpstr>Attachment 13b - PJM Billings</vt:lpstr>
      <vt:lpstr>Attachment 14 - Other RB</vt:lpstr>
      <vt:lpstr>Attach 15 - Excess_Def ADIT</vt:lpstr>
      <vt:lpstr>Attachment 16 - Abandoned Plant</vt:lpstr>
      <vt:lpstr>Attachment 17 - CWIP in RB</vt:lpstr>
      <vt:lpstr>Attachment 18 - Tax Rates</vt:lpstr>
      <vt:lpstr>Attachment 19 - Reg Asset</vt:lpstr>
      <vt:lpstr>Attachment 20 - O&amp;M and A&amp;G</vt:lpstr>
      <vt:lpstr>'Attach 11a - TEC Cost Support'!Print_Area</vt:lpstr>
      <vt:lpstr>'Attach 2a - Scaled ROE Adder'!Print_Area</vt:lpstr>
      <vt:lpstr>'Attach 2b - Incent ROE NITS'!Print_Area</vt:lpstr>
      <vt:lpstr>'Attach 9 - Stated-value Inputs'!Print_Area</vt:lpstr>
      <vt:lpstr>'Attachment 1 - Sched 1A'!Print_Area</vt:lpstr>
      <vt:lpstr>'Attachment 10 - Debt Cost'!Print_Area</vt:lpstr>
      <vt:lpstr>'Attachment 11 - TEC'!Print_Area</vt:lpstr>
      <vt:lpstr>'Attachment 12 - TEC True-up'!Print_Area</vt:lpstr>
      <vt:lpstr>'Attachment 18 - Tax Rates'!Print_Area</vt:lpstr>
      <vt:lpstr>'Attachment 19 - Reg Asset'!Print_Area</vt:lpstr>
      <vt:lpstr>'Attachment 2 - ROE Calcs'!Print_Area</vt:lpstr>
      <vt:lpstr>'Attachment 20 - O&amp;M and A&amp;G'!Print_Area</vt:lpstr>
      <vt:lpstr>'Attachment 3 - Gross Plant'!Print_Area</vt:lpstr>
      <vt:lpstr>'Attachment 5 - ADIT Summary'!Print_Area</vt:lpstr>
      <vt:lpstr>'Attachment 5a - ADIT Detail'!Print_Area</vt:lpstr>
      <vt:lpstr>'Attachment 5b - ADIT Norm PTRR'!Print_Area</vt:lpstr>
      <vt:lpstr>'Attachment H-34A '!Print_Area</vt:lpstr>
      <vt:lpstr>'Attachment 11 - TEC'!Print_Titles</vt:lpstr>
      <vt:lpstr>'Attachment 12 - TEC True-up'!Print_Titles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Schock, Michael C</dc:creator>
  <cp:lastModifiedBy>Sreenivasan, Preethi</cp:lastModifiedBy>
  <cp:lastPrinted>2025-10-01T16:21:39Z</cp:lastPrinted>
  <dcterms:created xsi:type="dcterms:W3CDTF">2008-03-20T17:17:42Z</dcterms:created>
  <dcterms:modified xsi:type="dcterms:W3CDTF">2025-10-01T19:22:20Z</dcterms:modified>
</cp:coreProperties>
</file>